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idri\Box\Prof. Stark\Prof. Stark's spreadsheet\2023\"/>
    </mc:Choice>
  </mc:AlternateContent>
  <xr:revisionPtr revIDLastSave="0" documentId="13_ncr:1_{9422FB10-F5D7-47D4-898F-0C10458937AE}" xr6:coauthVersionLast="47" xr6:coauthVersionMax="47" xr10:uidLastSave="{00000000-0000-0000-0000-000000000000}"/>
  <workbookProtection workbookAlgorithmName="SHA-512" workbookHashValue="y5gghzGQB42yN/ULaRbxpGF/dKiX0hbfSlYFWq5xUvl+G4cOCAYFubeINGQBPzlk07qGwqmvI08ofBSELhVxAw==" workbookSaltValue="GJT49i23FXgaMBHNFY0siQ==" workbookSpinCount="100000" lockStructure="1"/>
  <bookViews>
    <workbookView xWindow="28680" yWindow="-120" windowWidth="29040" windowHeight="15840" activeTab="3" xr2:uid="{00000000-000D-0000-FFFF-FFFF00000000}"/>
  </bookViews>
  <sheets>
    <sheet name="Stark Correlations (2023)LL&amp;CF" sheetId="1" r:id="rId1"/>
    <sheet name="Stark Correlations (2023)(PI)" sheetId="3" r:id="rId2"/>
    <sheet name="Laboratory (2023) (LL&amp;CF)" sheetId="4" r:id="rId3"/>
    <sheet name="Laboratory (2023) (PI)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6" l="1"/>
  <c r="G10" i="6"/>
  <c r="O10" i="6"/>
  <c r="O11" i="6"/>
  <c r="O13" i="6"/>
  <c r="O14" i="6"/>
  <c r="F10" i="6"/>
  <c r="E10" i="6"/>
  <c r="K5" i="6"/>
  <c r="H5" i="6"/>
  <c r="G5" i="6"/>
  <c r="F5" i="6"/>
  <c r="E5" i="6"/>
  <c r="L63" i="6"/>
  <c r="K63" i="6"/>
  <c r="V63" i="6"/>
  <c r="V70" i="6" s="1"/>
  <c r="W70" i="6" s="1"/>
  <c r="U63" i="6"/>
  <c r="V66" i="6" s="1"/>
  <c r="Y16" i="6"/>
  <c r="X16" i="6"/>
  <c r="AC27" i="6"/>
  <c r="AC26" i="6"/>
  <c r="AC25" i="6"/>
  <c r="AC24" i="6"/>
  <c r="AC23" i="6"/>
  <c r="AC22" i="6"/>
  <c r="Y22" i="6"/>
  <c r="Z22" i="6" s="1"/>
  <c r="AA22" i="6" s="1"/>
  <c r="AB22" i="6" s="1"/>
  <c r="AC21" i="6"/>
  <c r="AC20" i="6"/>
  <c r="AC19" i="6"/>
  <c r="P63" i="6"/>
  <c r="Q67" i="6" s="1"/>
  <c r="Q63" i="6"/>
  <c r="S65" i="6"/>
  <c r="X65" i="6"/>
  <c r="Q66" i="6"/>
  <c r="S66" i="6" s="1"/>
  <c r="R66" i="6"/>
  <c r="Q68" i="6"/>
  <c r="R68" i="6" s="1"/>
  <c r="Q69" i="6"/>
  <c r="R69" i="6" s="1"/>
  <c r="Q70" i="6"/>
  <c r="S70" i="6" s="1"/>
  <c r="R70" i="6"/>
  <c r="Q71" i="6"/>
  <c r="R71" i="6" s="1"/>
  <c r="S71" i="6"/>
  <c r="Q72" i="6"/>
  <c r="R72" i="6" s="1"/>
  <c r="V72" i="6"/>
  <c r="X72" i="6" s="1"/>
  <c r="Q73" i="6"/>
  <c r="R73" i="6" s="1"/>
  <c r="S73" i="6"/>
  <c r="V73" i="6"/>
  <c r="W73" i="6" s="1"/>
  <c r="Q74" i="6"/>
  <c r="S74" i="6" s="1"/>
  <c r="R74" i="6"/>
  <c r="V74" i="6"/>
  <c r="X74" i="6" s="1"/>
  <c r="W74" i="6"/>
  <c r="N65" i="6"/>
  <c r="N49" i="6"/>
  <c r="N86" i="4"/>
  <c r="N70" i="4"/>
  <c r="O57" i="4"/>
  <c r="P57" i="4"/>
  <c r="Q57" i="4"/>
  <c r="R57" i="4"/>
  <c r="O49" i="4"/>
  <c r="P49" i="4"/>
  <c r="Q49" i="4"/>
  <c r="R49" i="4"/>
  <c r="P10" i="4"/>
  <c r="D11" i="3"/>
  <c r="L36" i="3"/>
  <c r="K36" i="3"/>
  <c r="L20" i="3"/>
  <c r="K20" i="3"/>
  <c r="D10" i="3" s="1"/>
  <c r="J10" i="3" s="1"/>
  <c r="N38" i="3"/>
  <c r="N22" i="3"/>
  <c r="O10" i="3"/>
  <c r="N86" i="1"/>
  <c r="N70" i="1"/>
  <c r="O57" i="1"/>
  <c r="P57" i="1"/>
  <c r="Q57" i="1"/>
  <c r="R57" i="1"/>
  <c r="S57" i="1"/>
  <c r="Q49" i="1"/>
  <c r="P49" i="1"/>
  <c r="O49" i="1"/>
  <c r="R49" i="1"/>
  <c r="P10" i="1"/>
  <c r="B29" i="6"/>
  <c r="C29" i="6"/>
  <c r="N29" i="6"/>
  <c r="M29" i="6"/>
  <c r="G40" i="6"/>
  <c r="G39" i="6"/>
  <c r="G38" i="6"/>
  <c r="G37" i="6"/>
  <c r="G36" i="6"/>
  <c r="G35" i="6"/>
  <c r="G34" i="6"/>
  <c r="G33" i="6"/>
  <c r="G32" i="6"/>
  <c r="R40" i="6"/>
  <c r="R39" i="6"/>
  <c r="R38" i="6"/>
  <c r="R37" i="6"/>
  <c r="R36" i="6"/>
  <c r="R35" i="6"/>
  <c r="R34" i="6"/>
  <c r="R33" i="6"/>
  <c r="R32" i="6"/>
  <c r="N16" i="6"/>
  <c r="R21" i="6"/>
  <c r="M16" i="6"/>
  <c r="G21" i="6"/>
  <c r="C16" i="6"/>
  <c r="B16" i="6"/>
  <c r="G22" i="6"/>
  <c r="R27" i="6"/>
  <c r="R26" i="6"/>
  <c r="R25" i="6"/>
  <c r="R24" i="6"/>
  <c r="R23" i="6"/>
  <c r="R22" i="6"/>
  <c r="R20" i="6"/>
  <c r="R19" i="6"/>
  <c r="AF63" i="6"/>
  <c r="AE63" i="6"/>
  <c r="AA63" i="6"/>
  <c r="Z63" i="6"/>
  <c r="AC65" i="6"/>
  <c r="AH65" i="6"/>
  <c r="AH49" i="6"/>
  <c r="AC49" i="6"/>
  <c r="X49" i="6"/>
  <c r="AF36" i="3"/>
  <c r="AE36" i="3"/>
  <c r="AA36" i="3"/>
  <c r="Z36" i="3"/>
  <c r="V36" i="3"/>
  <c r="U36" i="3"/>
  <c r="Q36" i="3"/>
  <c r="P36" i="3"/>
  <c r="AF20" i="3"/>
  <c r="AE20" i="3"/>
  <c r="AA20" i="3"/>
  <c r="Z20" i="3"/>
  <c r="V20" i="3"/>
  <c r="U20" i="3"/>
  <c r="D12" i="3" s="1"/>
  <c r="Q20" i="3"/>
  <c r="P20" i="3"/>
  <c r="AH86" i="4"/>
  <c r="AC86" i="4"/>
  <c r="AH70" i="4"/>
  <c r="AC70" i="4"/>
  <c r="X86" i="4"/>
  <c r="X70" i="4"/>
  <c r="P59" i="1"/>
  <c r="O59" i="4"/>
  <c r="P59" i="4"/>
  <c r="Q59" i="4"/>
  <c r="R59" i="4"/>
  <c r="O60" i="4"/>
  <c r="P60" i="4"/>
  <c r="Q60" i="4"/>
  <c r="R60" i="4"/>
  <c r="O61" i="4"/>
  <c r="P61" i="4"/>
  <c r="Q61" i="4"/>
  <c r="R61" i="4"/>
  <c r="O51" i="4"/>
  <c r="P51" i="4"/>
  <c r="Q51" i="4"/>
  <c r="R51" i="4"/>
  <c r="O52" i="4"/>
  <c r="P52" i="4"/>
  <c r="Q52" i="4"/>
  <c r="R52" i="4"/>
  <c r="O53" i="4"/>
  <c r="P53" i="4"/>
  <c r="Q53" i="4"/>
  <c r="R53" i="4"/>
  <c r="AH38" i="3"/>
  <c r="AC38" i="3"/>
  <c r="AH22" i="3"/>
  <c r="AC22" i="3"/>
  <c r="X38" i="3"/>
  <c r="X22" i="3"/>
  <c r="O12" i="3"/>
  <c r="O13" i="3"/>
  <c r="O14" i="3"/>
  <c r="M52" i="6" l="1"/>
  <c r="AD19" i="6"/>
  <c r="AD20" i="6" s="1"/>
  <c r="L67" i="6"/>
  <c r="N67" i="6" s="1"/>
  <c r="L72" i="6"/>
  <c r="V71" i="6"/>
  <c r="W71" i="6" s="1"/>
  <c r="V67" i="6"/>
  <c r="W67" i="6" s="1"/>
  <c r="W72" i="6"/>
  <c r="V69" i="6"/>
  <c r="W69" i="6" s="1"/>
  <c r="X70" i="6"/>
  <c r="V68" i="6"/>
  <c r="Y26" i="6"/>
  <c r="Z26" i="6" s="1"/>
  <c r="Y25" i="6"/>
  <c r="Z25" i="6" s="1"/>
  <c r="Y19" i="6"/>
  <c r="Z19" i="6" s="1"/>
  <c r="Y27" i="6"/>
  <c r="Z27" i="6" s="1"/>
  <c r="Y20" i="6"/>
  <c r="Z20" i="6" s="1"/>
  <c r="Y21" i="6"/>
  <c r="Z21" i="6" s="1"/>
  <c r="Y24" i="6"/>
  <c r="Z24" i="6" s="1"/>
  <c r="Y23" i="6"/>
  <c r="Z23" i="6" s="1"/>
  <c r="W66" i="6"/>
  <c r="X66" i="6"/>
  <c r="S67" i="6"/>
  <c r="R67" i="6"/>
  <c r="X73" i="6"/>
  <c r="X69" i="6"/>
  <c r="S72" i="6"/>
  <c r="S68" i="6"/>
  <c r="S69" i="6"/>
  <c r="X71" i="6"/>
  <c r="X67" i="6"/>
  <c r="N72" i="6"/>
  <c r="M72" i="6"/>
  <c r="M67" i="6"/>
  <c r="L70" i="6"/>
  <c r="L73" i="6"/>
  <c r="L68" i="6"/>
  <c r="L71" i="6"/>
  <c r="L66" i="6"/>
  <c r="L74" i="6"/>
  <c r="L69" i="6"/>
  <c r="S57" i="4"/>
  <c r="S49" i="4"/>
  <c r="P10" i="3"/>
  <c r="L45" i="3"/>
  <c r="N45" i="3" s="1"/>
  <c r="L30" i="3"/>
  <c r="M30" i="3" s="1"/>
  <c r="G10" i="3" s="1"/>
  <c r="M10" i="3" s="1"/>
  <c r="L27" i="3"/>
  <c r="M27" i="3"/>
  <c r="F10" i="3" s="1"/>
  <c r="N27" i="3"/>
  <c r="M45" i="3"/>
  <c r="L40" i="3"/>
  <c r="L28" i="3"/>
  <c r="L43" i="3"/>
  <c r="L23" i="3"/>
  <c r="L46" i="3"/>
  <c r="L26" i="3"/>
  <c r="L41" i="3"/>
  <c r="L25" i="3"/>
  <c r="L29" i="3"/>
  <c r="L44" i="3"/>
  <c r="L24" i="3"/>
  <c r="L39" i="3"/>
  <c r="L47" i="3"/>
  <c r="L42" i="3"/>
  <c r="S49" i="1"/>
  <c r="C19" i="6"/>
  <c r="N21" i="6"/>
  <c r="AF67" i="6"/>
  <c r="N22" i="6"/>
  <c r="N32" i="6"/>
  <c r="O32" i="6" s="1"/>
  <c r="N33" i="6"/>
  <c r="C34" i="6"/>
  <c r="D34" i="6" s="1"/>
  <c r="C40" i="6"/>
  <c r="D40" i="6" s="1"/>
  <c r="C39" i="6"/>
  <c r="D39" i="6" s="1"/>
  <c r="C38" i="6"/>
  <c r="D38" i="6" s="1"/>
  <c r="AB55" i="6" s="1"/>
  <c r="C23" i="6"/>
  <c r="N34" i="6"/>
  <c r="N40" i="6"/>
  <c r="H32" i="6"/>
  <c r="K32" i="6" s="1"/>
  <c r="C37" i="6"/>
  <c r="D37" i="6" s="1"/>
  <c r="AB54" i="6" s="1"/>
  <c r="F13" i="6" s="1"/>
  <c r="L13" i="6" s="1"/>
  <c r="R13" i="6" s="1"/>
  <c r="N39" i="6"/>
  <c r="N19" i="6"/>
  <c r="C36" i="6"/>
  <c r="D36" i="6" s="1"/>
  <c r="N38" i="6"/>
  <c r="N27" i="6"/>
  <c r="N23" i="6"/>
  <c r="C35" i="6"/>
  <c r="D35" i="6" s="1"/>
  <c r="AB52" i="6" s="1"/>
  <c r="N37" i="6"/>
  <c r="N25" i="6"/>
  <c r="N26" i="6"/>
  <c r="N20" i="6"/>
  <c r="N36" i="6"/>
  <c r="N24" i="6"/>
  <c r="N35" i="6"/>
  <c r="O35" i="6" s="1"/>
  <c r="AG52" i="6" s="1"/>
  <c r="C32" i="6"/>
  <c r="D32" i="6" s="1"/>
  <c r="AB50" i="6" s="1"/>
  <c r="C33" i="6"/>
  <c r="D33" i="6" s="1"/>
  <c r="E33" i="6" s="1"/>
  <c r="S32" i="6"/>
  <c r="S33" i="6" s="1"/>
  <c r="AA66" i="6"/>
  <c r="C26" i="6"/>
  <c r="AA67" i="6"/>
  <c r="AA68" i="6"/>
  <c r="AA74" i="6"/>
  <c r="C25" i="6"/>
  <c r="AA73" i="6"/>
  <c r="C24" i="6"/>
  <c r="AA72" i="6"/>
  <c r="AA71" i="6"/>
  <c r="AA69" i="6"/>
  <c r="C22" i="6"/>
  <c r="C21" i="6"/>
  <c r="C20" i="6"/>
  <c r="C27" i="6"/>
  <c r="AA70" i="6"/>
  <c r="S19" i="6"/>
  <c r="S20" i="6" s="1"/>
  <c r="S21" i="6" s="1"/>
  <c r="V21" i="6" s="1"/>
  <c r="AF74" i="6"/>
  <c r="AF72" i="6"/>
  <c r="AF70" i="6"/>
  <c r="AF68" i="6"/>
  <c r="AF66" i="6"/>
  <c r="AF73" i="6"/>
  <c r="AF71" i="6"/>
  <c r="AF69" i="6"/>
  <c r="S53" i="4"/>
  <c r="S60" i="4"/>
  <c r="S52" i="4"/>
  <c r="S61" i="4"/>
  <c r="S59" i="4"/>
  <c r="S51" i="4"/>
  <c r="J11" i="3"/>
  <c r="P11" i="3" s="1"/>
  <c r="J12" i="3"/>
  <c r="P12" i="3" s="1"/>
  <c r="D13" i="3"/>
  <c r="J13" i="3" s="1"/>
  <c r="P13" i="3" s="1"/>
  <c r="D14" i="3"/>
  <c r="J14" i="3" s="1"/>
  <c r="P14" i="3" s="1"/>
  <c r="AH86" i="1"/>
  <c r="AC86" i="1"/>
  <c r="AH70" i="1"/>
  <c r="AC70" i="1"/>
  <c r="X86" i="1"/>
  <c r="X70" i="1"/>
  <c r="O59" i="1"/>
  <c r="Q59" i="1"/>
  <c r="R59" i="1"/>
  <c r="O60" i="1"/>
  <c r="P60" i="1"/>
  <c r="Q60" i="1"/>
  <c r="R60" i="1"/>
  <c r="O61" i="1"/>
  <c r="P61" i="1"/>
  <c r="Q61" i="1"/>
  <c r="R61" i="1"/>
  <c r="O51" i="1"/>
  <c r="P51" i="1"/>
  <c r="Q51" i="1"/>
  <c r="R51" i="1"/>
  <c r="O52" i="1"/>
  <c r="P52" i="1"/>
  <c r="Q52" i="1"/>
  <c r="R52" i="1"/>
  <c r="O53" i="1"/>
  <c r="P53" i="1"/>
  <c r="Q53" i="1"/>
  <c r="R53" i="1"/>
  <c r="AR79" i="1"/>
  <c r="AW79" i="1" s="1"/>
  <c r="AS79" i="1"/>
  <c r="AX79" i="1" s="1"/>
  <c r="AT79" i="1"/>
  <c r="AY79" i="1" s="1"/>
  <c r="AU79" i="1"/>
  <c r="AZ79" i="1" s="1"/>
  <c r="BB79" i="1"/>
  <c r="BC79" i="1"/>
  <c r="BD79" i="1"/>
  <c r="BE79" i="1"/>
  <c r="AR80" i="1"/>
  <c r="AW80" i="1" s="1"/>
  <c r="AS80" i="1"/>
  <c r="AX80" i="1" s="1"/>
  <c r="AT80" i="1"/>
  <c r="AY80" i="1" s="1"/>
  <c r="AU80" i="1"/>
  <c r="AZ80" i="1" s="1"/>
  <c r="BB80" i="1"/>
  <c r="BC80" i="1"/>
  <c r="BD80" i="1"/>
  <c r="BE80" i="1"/>
  <c r="AR81" i="1"/>
  <c r="AW81" i="1" s="1"/>
  <c r="AS81" i="1"/>
  <c r="AX81" i="1" s="1"/>
  <c r="AT81" i="1"/>
  <c r="AY81" i="1" s="1"/>
  <c r="AU81" i="1"/>
  <c r="AZ81" i="1" s="1"/>
  <c r="BB81" i="1"/>
  <c r="BC81" i="1"/>
  <c r="BD81" i="1"/>
  <c r="BE81" i="1"/>
  <c r="AR82" i="1"/>
  <c r="AW82" i="1" s="1"/>
  <c r="AS82" i="1"/>
  <c r="AX82" i="1" s="1"/>
  <c r="AT82" i="1"/>
  <c r="AY82" i="1" s="1"/>
  <c r="AU82" i="1"/>
  <c r="AZ82" i="1" s="1"/>
  <c r="BB82" i="1"/>
  <c r="BC82" i="1"/>
  <c r="BD82" i="1"/>
  <c r="BE82" i="1"/>
  <c r="AR83" i="1"/>
  <c r="AW83" i="1" s="1"/>
  <c r="AS83" i="1"/>
  <c r="AX83" i="1" s="1"/>
  <c r="AT83" i="1"/>
  <c r="AY83" i="1" s="1"/>
  <c r="AU83" i="1"/>
  <c r="AZ83" i="1" s="1"/>
  <c r="BB83" i="1"/>
  <c r="BC83" i="1"/>
  <c r="BD83" i="1"/>
  <c r="BE83" i="1"/>
  <c r="AR84" i="1"/>
  <c r="AW84" i="1" s="1"/>
  <c r="AS84" i="1"/>
  <c r="AX84" i="1" s="1"/>
  <c r="AT84" i="1"/>
  <c r="AY84" i="1" s="1"/>
  <c r="AU84" i="1"/>
  <c r="AZ84" i="1" s="1"/>
  <c r="BB84" i="1"/>
  <c r="BC84" i="1"/>
  <c r="BD84" i="1"/>
  <c r="BE84" i="1"/>
  <c r="AR85" i="1"/>
  <c r="AW85" i="1" s="1"/>
  <c r="AS85" i="1"/>
  <c r="AX85" i="1" s="1"/>
  <c r="AT85" i="1"/>
  <c r="AY85" i="1" s="1"/>
  <c r="AU85" i="1"/>
  <c r="AZ85" i="1" s="1"/>
  <c r="BB85" i="1"/>
  <c r="BC85" i="1"/>
  <c r="BD85" i="1"/>
  <c r="BE85" i="1"/>
  <c r="AR98" i="1"/>
  <c r="AW98" i="1" s="1"/>
  <c r="AS98" i="1"/>
  <c r="AX98" i="1" s="1"/>
  <c r="AT98" i="1"/>
  <c r="AY98" i="1" s="1"/>
  <c r="AU98" i="1"/>
  <c r="AZ98" i="1" s="1"/>
  <c r="BB98" i="1"/>
  <c r="BC98" i="1"/>
  <c r="BD98" i="1"/>
  <c r="BE98" i="1"/>
  <c r="AR99" i="1"/>
  <c r="AW99" i="1" s="1"/>
  <c r="AS99" i="1"/>
  <c r="AX99" i="1" s="1"/>
  <c r="AT99" i="1"/>
  <c r="AY99" i="1" s="1"/>
  <c r="AU99" i="1"/>
  <c r="AZ99" i="1" s="1"/>
  <c r="BB99" i="1"/>
  <c r="BC99" i="1"/>
  <c r="BD99" i="1"/>
  <c r="BE99" i="1"/>
  <c r="AR100" i="1"/>
  <c r="AW100" i="1" s="1"/>
  <c r="AS100" i="1"/>
  <c r="AX100" i="1" s="1"/>
  <c r="AT100" i="1"/>
  <c r="AY100" i="1" s="1"/>
  <c r="AU100" i="1"/>
  <c r="AZ100" i="1" s="1"/>
  <c r="BB100" i="1"/>
  <c r="BC100" i="1"/>
  <c r="BD100" i="1"/>
  <c r="BE100" i="1"/>
  <c r="BE78" i="1"/>
  <c r="BD78" i="1"/>
  <c r="BC78" i="1"/>
  <c r="BB78" i="1"/>
  <c r="AU78" i="1"/>
  <c r="AZ78" i="1" s="1"/>
  <c r="AT78" i="1"/>
  <c r="AY78" i="1" s="1"/>
  <c r="AS78" i="1"/>
  <c r="AX78" i="1" s="1"/>
  <c r="AR78" i="1"/>
  <c r="AW78" i="1" s="1"/>
  <c r="BE77" i="1"/>
  <c r="BD77" i="1"/>
  <c r="BC77" i="1"/>
  <c r="BB77" i="1"/>
  <c r="AU77" i="1"/>
  <c r="AZ77" i="1" s="1"/>
  <c r="AT77" i="1"/>
  <c r="AY77" i="1" s="1"/>
  <c r="AS77" i="1"/>
  <c r="AX77" i="1" s="1"/>
  <c r="AR77" i="1"/>
  <c r="AW77" i="1" s="1"/>
  <c r="BE76" i="1"/>
  <c r="BD76" i="1"/>
  <c r="BC76" i="1"/>
  <c r="BB76" i="1"/>
  <c r="AU76" i="1"/>
  <c r="AZ76" i="1" s="1"/>
  <c r="AT76" i="1"/>
  <c r="AY76" i="1" s="1"/>
  <c r="AS76" i="1"/>
  <c r="AX76" i="1" s="1"/>
  <c r="AR76" i="1"/>
  <c r="AW76" i="1" s="1"/>
  <c r="BE75" i="1"/>
  <c r="BD75" i="1"/>
  <c r="BC75" i="1"/>
  <c r="BB75" i="1"/>
  <c r="AU75" i="1"/>
  <c r="AZ75" i="1" s="1"/>
  <c r="AT75" i="1"/>
  <c r="AY75" i="1" s="1"/>
  <c r="AS75" i="1"/>
  <c r="AX75" i="1" s="1"/>
  <c r="AR75" i="1"/>
  <c r="AW75" i="1" s="1"/>
  <c r="BE74" i="1"/>
  <c r="BD74" i="1"/>
  <c r="BC74" i="1"/>
  <c r="BB74" i="1"/>
  <c r="AU74" i="1"/>
  <c r="AZ74" i="1" s="1"/>
  <c r="AT74" i="1"/>
  <c r="AY74" i="1" s="1"/>
  <c r="AS74" i="1"/>
  <c r="AX74" i="1" s="1"/>
  <c r="AR74" i="1"/>
  <c r="AW74" i="1" s="1"/>
  <c r="BE73" i="1"/>
  <c r="BD73" i="1"/>
  <c r="BC73" i="1"/>
  <c r="BB73" i="1"/>
  <c r="AU73" i="1"/>
  <c r="AZ73" i="1" s="1"/>
  <c r="AT73" i="1"/>
  <c r="AY73" i="1" s="1"/>
  <c r="AS73" i="1"/>
  <c r="AX73" i="1" s="1"/>
  <c r="AR73" i="1"/>
  <c r="AW73" i="1" s="1"/>
  <c r="BE72" i="1"/>
  <c r="BD72" i="1"/>
  <c r="BC72" i="1"/>
  <c r="BB72" i="1"/>
  <c r="AU72" i="1"/>
  <c r="AZ72" i="1" s="1"/>
  <c r="AT72" i="1"/>
  <c r="AY72" i="1" s="1"/>
  <c r="AS72" i="1"/>
  <c r="AX72" i="1" s="1"/>
  <c r="AR72" i="1"/>
  <c r="AW72" i="1" s="1"/>
  <c r="BE71" i="1"/>
  <c r="BD71" i="1"/>
  <c r="BC71" i="1"/>
  <c r="BB71" i="1"/>
  <c r="AU71" i="1"/>
  <c r="AZ71" i="1" s="1"/>
  <c r="AT71" i="1"/>
  <c r="AY71" i="1" s="1"/>
  <c r="AS71" i="1"/>
  <c r="AX71" i="1" s="1"/>
  <c r="AR71" i="1"/>
  <c r="AW71" i="1" s="1"/>
  <c r="BE70" i="1"/>
  <c r="BD70" i="1"/>
  <c r="BC70" i="1"/>
  <c r="BB70" i="1"/>
  <c r="AU70" i="1"/>
  <c r="AZ70" i="1" s="1"/>
  <c r="AT70" i="1"/>
  <c r="AY70" i="1" s="1"/>
  <c r="AS70" i="1"/>
  <c r="AX70" i="1" s="1"/>
  <c r="AR70" i="1"/>
  <c r="AW70" i="1" s="1"/>
  <c r="BE69" i="1"/>
  <c r="BD69" i="1"/>
  <c r="BC69" i="1"/>
  <c r="BB69" i="1"/>
  <c r="AU69" i="1"/>
  <c r="AZ69" i="1" s="1"/>
  <c r="AT69" i="1"/>
  <c r="AY69" i="1" s="1"/>
  <c r="AS69" i="1"/>
  <c r="AX69" i="1" s="1"/>
  <c r="AR69" i="1"/>
  <c r="AW69" i="1" s="1"/>
  <c r="BE68" i="1"/>
  <c r="BD68" i="1"/>
  <c r="BC68" i="1"/>
  <c r="BB68" i="1"/>
  <c r="AU68" i="1"/>
  <c r="AZ68" i="1" s="1"/>
  <c r="AT68" i="1"/>
  <c r="AY68" i="1" s="1"/>
  <c r="AS68" i="1"/>
  <c r="AX68" i="1" s="1"/>
  <c r="AR68" i="1"/>
  <c r="AW68" i="1" s="1"/>
  <c r="BE67" i="1"/>
  <c r="BD67" i="1"/>
  <c r="BC67" i="1"/>
  <c r="BB67" i="1"/>
  <c r="AU67" i="1"/>
  <c r="AZ67" i="1" s="1"/>
  <c r="AT67" i="1"/>
  <c r="AY67" i="1" s="1"/>
  <c r="AS67" i="1"/>
  <c r="AX67" i="1" s="1"/>
  <c r="AR67" i="1"/>
  <c r="AW67" i="1" s="1"/>
  <c r="BE66" i="1"/>
  <c r="BD66" i="1"/>
  <c r="BC66" i="1"/>
  <c r="BB66" i="1"/>
  <c r="AU66" i="1"/>
  <c r="AZ66" i="1" s="1"/>
  <c r="AT66" i="1"/>
  <c r="AY66" i="1" s="1"/>
  <c r="AS66" i="1"/>
  <c r="AX66" i="1" s="1"/>
  <c r="AR66" i="1"/>
  <c r="AW66" i="1" s="1"/>
  <c r="BE65" i="1"/>
  <c r="BD65" i="1"/>
  <c r="BC65" i="1"/>
  <c r="BB65" i="1"/>
  <c r="AU65" i="1"/>
  <c r="AZ65" i="1" s="1"/>
  <c r="AT65" i="1"/>
  <c r="AY65" i="1" s="1"/>
  <c r="AS65" i="1"/>
  <c r="AX65" i="1" s="1"/>
  <c r="AR65" i="1"/>
  <c r="AW65" i="1" s="1"/>
  <c r="BE64" i="1"/>
  <c r="BD64" i="1"/>
  <c r="BC64" i="1"/>
  <c r="BB64" i="1"/>
  <c r="AU64" i="1"/>
  <c r="AZ64" i="1" s="1"/>
  <c r="AT64" i="1"/>
  <c r="AY64" i="1" s="1"/>
  <c r="AS64" i="1"/>
  <c r="AX64" i="1" s="1"/>
  <c r="AR64" i="1"/>
  <c r="AW64" i="1" s="1"/>
  <c r="BE63" i="1"/>
  <c r="BD63" i="1"/>
  <c r="BC63" i="1"/>
  <c r="BB63" i="1"/>
  <c r="AU63" i="1"/>
  <c r="AZ63" i="1" s="1"/>
  <c r="AT63" i="1"/>
  <c r="AY63" i="1" s="1"/>
  <c r="AS63" i="1"/>
  <c r="AX63" i="1" s="1"/>
  <c r="AR63" i="1"/>
  <c r="AW63" i="1" s="1"/>
  <c r="BE62" i="1"/>
  <c r="BD62" i="1"/>
  <c r="BC62" i="1"/>
  <c r="BB62" i="1"/>
  <c r="AU62" i="1"/>
  <c r="AZ62" i="1" s="1"/>
  <c r="AT62" i="1"/>
  <c r="AY62" i="1" s="1"/>
  <c r="AS62" i="1"/>
  <c r="AX62" i="1" s="1"/>
  <c r="AR62" i="1"/>
  <c r="AW62" i="1" s="1"/>
  <c r="BE58" i="1"/>
  <c r="BD58" i="1"/>
  <c r="BC58" i="1"/>
  <c r="BB58" i="1"/>
  <c r="AU58" i="1"/>
  <c r="AZ58" i="1" s="1"/>
  <c r="AT58" i="1"/>
  <c r="AY58" i="1" s="1"/>
  <c r="AS58" i="1"/>
  <c r="AX58" i="1" s="1"/>
  <c r="AR58" i="1"/>
  <c r="AW58" i="1" s="1"/>
  <c r="BE56" i="1"/>
  <c r="BD56" i="1"/>
  <c r="BC56" i="1"/>
  <c r="BB56" i="1"/>
  <c r="AU56" i="1"/>
  <c r="AZ56" i="1" s="1"/>
  <c r="AT56" i="1"/>
  <c r="AY56" i="1" s="1"/>
  <c r="AS56" i="1"/>
  <c r="AX56" i="1" s="1"/>
  <c r="AR56" i="1"/>
  <c r="AW56" i="1" s="1"/>
  <c r="BE55" i="1"/>
  <c r="BD55" i="1"/>
  <c r="BC55" i="1"/>
  <c r="BB55" i="1"/>
  <c r="AU55" i="1"/>
  <c r="AZ55" i="1" s="1"/>
  <c r="AT55" i="1"/>
  <c r="AY55" i="1" s="1"/>
  <c r="AS55" i="1"/>
  <c r="AX55" i="1" s="1"/>
  <c r="AR55" i="1"/>
  <c r="AW55" i="1" s="1"/>
  <c r="BE54" i="1"/>
  <c r="BD54" i="1"/>
  <c r="BC54" i="1"/>
  <c r="BB54" i="1"/>
  <c r="AU54" i="1"/>
  <c r="AZ54" i="1" s="1"/>
  <c r="AT54" i="1"/>
  <c r="AY54" i="1" s="1"/>
  <c r="AS54" i="1"/>
  <c r="AX54" i="1" s="1"/>
  <c r="AR54" i="1"/>
  <c r="AW54" i="1" s="1"/>
  <c r="BE50" i="1"/>
  <c r="BD50" i="1"/>
  <c r="BC50" i="1"/>
  <c r="BB50" i="1"/>
  <c r="AU50" i="1"/>
  <c r="AZ50" i="1" s="1"/>
  <c r="AT50" i="1"/>
  <c r="AY50" i="1" s="1"/>
  <c r="AS50" i="1"/>
  <c r="AX50" i="1" s="1"/>
  <c r="AR50" i="1"/>
  <c r="AW50" i="1" s="1"/>
  <c r="BE48" i="1"/>
  <c r="BD48" i="1"/>
  <c r="BC48" i="1"/>
  <c r="BB48" i="1"/>
  <c r="AU48" i="1"/>
  <c r="AZ48" i="1" s="1"/>
  <c r="AT48" i="1"/>
  <c r="AY48" i="1" s="1"/>
  <c r="AS48" i="1"/>
  <c r="AX48" i="1" s="1"/>
  <c r="AR48" i="1"/>
  <c r="AW48" i="1" s="1"/>
  <c r="BE47" i="1"/>
  <c r="BD47" i="1"/>
  <c r="BC47" i="1"/>
  <c r="BB47" i="1"/>
  <c r="AU47" i="1"/>
  <c r="AZ47" i="1" s="1"/>
  <c r="AT47" i="1"/>
  <c r="AY47" i="1" s="1"/>
  <c r="AS47" i="1"/>
  <c r="AX47" i="1" s="1"/>
  <c r="AR47" i="1"/>
  <c r="AW47" i="1" s="1"/>
  <c r="BE46" i="1"/>
  <c r="BD46" i="1"/>
  <c r="BC46" i="1"/>
  <c r="BB46" i="1"/>
  <c r="AU46" i="1"/>
  <c r="AZ46" i="1" s="1"/>
  <c r="AT46" i="1"/>
  <c r="AY46" i="1" s="1"/>
  <c r="AS46" i="1"/>
  <c r="AX46" i="1" s="1"/>
  <c r="AR46" i="1"/>
  <c r="AW46" i="1" s="1"/>
  <c r="BE45" i="1"/>
  <c r="BD45" i="1"/>
  <c r="BC45" i="1"/>
  <c r="BB45" i="1"/>
  <c r="AU45" i="1"/>
  <c r="AZ45" i="1" s="1"/>
  <c r="AT45" i="1"/>
  <c r="AY45" i="1" s="1"/>
  <c r="AS45" i="1"/>
  <c r="AX45" i="1" s="1"/>
  <c r="AR45" i="1"/>
  <c r="AW45" i="1" s="1"/>
  <c r="BE44" i="1"/>
  <c r="BD44" i="1"/>
  <c r="BC44" i="1"/>
  <c r="BB44" i="1"/>
  <c r="AU44" i="1"/>
  <c r="AZ44" i="1" s="1"/>
  <c r="AT44" i="1"/>
  <c r="AY44" i="1" s="1"/>
  <c r="AS44" i="1"/>
  <c r="AX44" i="1" s="1"/>
  <c r="AR44" i="1"/>
  <c r="AW44" i="1" s="1"/>
  <c r="BE43" i="1"/>
  <c r="BD43" i="1"/>
  <c r="BC43" i="1"/>
  <c r="BB43" i="1"/>
  <c r="AU43" i="1"/>
  <c r="AZ43" i="1" s="1"/>
  <c r="AT43" i="1"/>
  <c r="AY43" i="1" s="1"/>
  <c r="AS43" i="1"/>
  <c r="AX43" i="1" s="1"/>
  <c r="AR43" i="1"/>
  <c r="AW43" i="1" s="1"/>
  <c r="BE42" i="1"/>
  <c r="BD42" i="1"/>
  <c r="BC42" i="1"/>
  <c r="BB42" i="1"/>
  <c r="AU42" i="1"/>
  <c r="AZ42" i="1" s="1"/>
  <c r="AT42" i="1"/>
  <c r="AY42" i="1" s="1"/>
  <c r="AS42" i="1"/>
  <c r="AX42" i="1" s="1"/>
  <c r="AR42" i="1"/>
  <c r="AW42" i="1" s="1"/>
  <c r="BE41" i="1"/>
  <c r="BD41" i="1"/>
  <c r="BC41" i="1"/>
  <c r="BB41" i="1"/>
  <c r="AU41" i="1"/>
  <c r="AZ41" i="1" s="1"/>
  <c r="AT41" i="1"/>
  <c r="AY41" i="1" s="1"/>
  <c r="AS41" i="1"/>
  <c r="AX41" i="1" s="1"/>
  <c r="AR41" i="1"/>
  <c r="AW41" i="1" s="1"/>
  <c r="BE40" i="1"/>
  <c r="BD40" i="1"/>
  <c r="BC40" i="1"/>
  <c r="BB40" i="1"/>
  <c r="AU40" i="1"/>
  <c r="AZ40" i="1" s="1"/>
  <c r="AT40" i="1"/>
  <c r="AY40" i="1" s="1"/>
  <c r="AS40" i="1"/>
  <c r="AX40" i="1" s="1"/>
  <c r="AR40" i="1"/>
  <c r="AW40" i="1" s="1"/>
  <c r="AU4" i="1"/>
  <c r="AZ4" i="1" s="1"/>
  <c r="AU5" i="1"/>
  <c r="AZ5" i="1" s="1"/>
  <c r="AU7" i="1"/>
  <c r="AZ7" i="1" s="1"/>
  <c r="AU8" i="1"/>
  <c r="AZ8" i="1" s="1"/>
  <c r="AU9" i="1"/>
  <c r="AZ9" i="1" s="1"/>
  <c r="AU11" i="1"/>
  <c r="AZ11" i="1" s="1"/>
  <c r="AU12" i="1"/>
  <c r="AZ12" i="1" s="1"/>
  <c r="AU13" i="1"/>
  <c r="AZ13" i="1" s="1"/>
  <c r="AU14" i="1"/>
  <c r="AZ14" i="1" s="1"/>
  <c r="AU15" i="1"/>
  <c r="AZ15" i="1" s="1"/>
  <c r="AU16" i="1"/>
  <c r="AZ16" i="1" s="1"/>
  <c r="AU17" i="1"/>
  <c r="AZ17" i="1" s="1"/>
  <c r="AU18" i="1"/>
  <c r="AZ18" i="1" s="1"/>
  <c r="AU19" i="1"/>
  <c r="AZ19" i="1" s="1"/>
  <c r="AU20" i="1"/>
  <c r="AZ20" i="1" s="1"/>
  <c r="AU21" i="1"/>
  <c r="AZ21" i="1" s="1"/>
  <c r="AU22" i="1"/>
  <c r="AZ22" i="1" s="1"/>
  <c r="AU23" i="1"/>
  <c r="AZ23" i="1" s="1"/>
  <c r="AU24" i="1"/>
  <c r="AZ24" i="1" s="1"/>
  <c r="AU25" i="1"/>
  <c r="AZ25" i="1" s="1"/>
  <c r="AU26" i="1"/>
  <c r="AZ26" i="1" s="1"/>
  <c r="AU27" i="1"/>
  <c r="AZ27" i="1" s="1"/>
  <c r="AU28" i="1"/>
  <c r="AZ28" i="1" s="1"/>
  <c r="AU29" i="1"/>
  <c r="AZ29" i="1" s="1"/>
  <c r="AU30" i="1"/>
  <c r="AZ30" i="1" s="1"/>
  <c r="AU31" i="1"/>
  <c r="AZ31" i="1" s="1"/>
  <c r="AU32" i="1"/>
  <c r="AZ32" i="1" s="1"/>
  <c r="AU33" i="1"/>
  <c r="AZ33" i="1" s="1"/>
  <c r="AU34" i="1"/>
  <c r="AZ34" i="1" s="1"/>
  <c r="AU35" i="1"/>
  <c r="AZ35" i="1" s="1"/>
  <c r="AU3" i="1"/>
  <c r="AZ3" i="1" s="1"/>
  <c r="AT3" i="1"/>
  <c r="AY3" i="1" s="1"/>
  <c r="AT4" i="1"/>
  <c r="AY4" i="1" s="1"/>
  <c r="AT5" i="1"/>
  <c r="AY5" i="1" s="1"/>
  <c r="AT7" i="1"/>
  <c r="AY7" i="1" s="1"/>
  <c r="AT8" i="1"/>
  <c r="AY8" i="1" s="1"/>
  <c r="AT9" i="1"/>
  <c r="AY9" i="1" s="1"/>
  <c r="AT11" i="1"/>
  <c r="AY11" i="1" s="1"/>
  <c r="AT12" i="1"/>
  <c r="AY12" i="1" s="1"/>
  <c r="AT13" i="1"/>
  <c r="AY13" i="1" s="1"/>
  <c r="AT14" i="1"/>
  <c r="AY14" i="1" s="1"/>
  <c r="AT15" i="1"/>
  <c r="AY15" i="1" s="1"/>
  <c r="AT16" i="1"/>
  <c r="AY16" i="1" s="1"/>
  <c r="AT17" i="1"/>
  <c r="AY17" i="1" s="1"/>
  <c r="AT18" i="1"/>
  <c r="AY18" i="1" s="1"/>
  <c r="AT19" i="1"/>
  <c r="AY19" i="1" s="1"/>
  <c r="AT20" i="1"/>
  <c r="AY20" i="1" s="1"/>
  <c r="AT21" i="1"/>
  <c r="AY21" i="1" s="1"/>
  <c r="AT22" i="1"/>
  <c r="AY22" i="1" s="1"/>
  <c r="AT23" i="1"/>
  <c r="AY23" i="1" s="1"/>
  <c r="AT24" i="1"/>
  <c r="AY24" i="1" s="1"/>
  <c r="AT25" i="1"/>
  <c r="AY25" i="1" s="1"/>
  <c r="AT26" i="1"/>
  <c r="AY26" i="1" s="1"/>
  <c r="AT27" i="1"/>
  <c r="AY27" i="1" s="1"/>
  <c r="AT28" i="1"/>
  <c r="AY28" i="1" s="1"/>
  <c r="AT29" i="1"/>
  <c r="AY29" i="1" s="1"/>
  <c r="AT30" i="1"/>
  <c r="AY30" i="1" s="1"/>
  <c r="AT31" i="1"/>
  <c r="AY31" i="1" s="1"/>
  <c r="AT32" i="1"/>
  <c r="AY32" i="1" s="1"/>
  <c r="AT33" i="1"/>
  <c r="AY33" i="1" s="1"/>
  <c r="AT34" i="1"/>
  <c r="AY34" i="1" s="1"/>
  <c r="AT35" i="1"/>
  <c r="AY35" i="1" s="1"/>
  <c r="AS4" i="1"/>
  <c r="AX4" i="1" s="1"/>
  <c r="AS5" i="1"/>
  <c r="AX5" i="1" s="1"/>
  <c r="AS7" i="1"/>
  <c r="AX7" i="1" s="1"/>
  <c r="AS8" i="1"/>
  <c r="AX8" i="1" s="1"/>
  <c r="AS9" i="1"/>
  <c r="AX9" i="1" s="1"/>
  <c r="AS11" i="1"/>
  <c r="AX11" i="1" s="1"/>
  <c r="AS12" i="1"/>
  <c r="AX12" i="1" s="1"/>
  <c r="AS13" i="1"/>
  <c r="AX13" i="1" s="1"/>
  <c r="AS14" i="1"/>
  <c r="AX14" i="1" s="1"/>
  <c r="AS15" i="1"/>
  <c r="AX15" i="1" s="1"/>
  <c r="AS16" i="1"/>
  <c r="AX16" i="1" s="1"/>
  <c r="AS17" i="1"/>
  <c r="AX17" i="1" s="1"/>
  <c r="AS18" i="1"/>
  <c r="AX18" i="1" s="1"/>
  <c r="AS19" i="1"/>
  <c r="AX19" i="1" s="1"/>
  <c r="AS20" i="1"/>
  <c r="AX20" i="1" s="1"/>
  <c r="AS21" i="1"/>
  <c r="AX21" i="1" s="1"/>
  <c r="AS22" i="1"/>
  <c r="AX22" i="1" s="1"/>
  <c r="AS23" i="1"/>
  <c r="AX23" i="1" s="1"/>
  <c r="AS24" i="1"/>
  <c r="AX24" i="1" s="1"/>
  <c r="AS25" i="1"/>
  <c r="AX25" i="1" s="1"/>
  <c r="AS26" i="1"/>
  <c r="AX26" i="1" s="1"/>
  <c r="AS27" i="1"/>
  <c r="AX27" i="1" s="1"/>
  <c r="AS28" i="1"/>
  <c r="AX28" i="1" s="1"/>
  <c r="AS29" i="1"/>
  <c r="AX29" i="1" s="1"/>
  <c r="AS30" i="1"/>
  <c r="AX30" i="1" s="1"/>
  <c r="AS31" i="1"/>
  <c r="AX31" i="1" s="1"/>
  <c r="AS32" i="1"/>
  <c r="AX32" i="1" s="1"/>
  <c r="AS33" i="1"/>
  <c r="AX33" i="1" s="1"/>
  <c r="AS34" i="1"/>
  <c r="AX34" i="1" s="1"/>
  <c r="AS35" i="1"/>
  <c r="AX35" i="1" s="1"/>
  <c r="AS3" i="1"/>
  <c r="AX3" i="1" s="1"/>
  <c r="AR3" i="1"/>
  <c r="AW3" i="1" s="1"/>
  <c r="AR4" i="1"/>
  <c r="AW4" i="1" s="1"/>
  <c r="AR5" i="1"/>
  <c r="AW5" i="1" s="1"/>
  <c r="AR7" i="1"/>
  <c r="AW7" i="1" s="1"/>
  <c r="AR8" i="1"/>
  <c r="AW8" i="1" s="1"/>
  <c r="AR9" i="1"/>
  <c r="AW9" i="1" s="1"/>
  <c r="AR11" i="1"/>
  <c r="AW11" i="1" s="1"/>
  <c r="AR12" i="1"/>
  <c r="AW12" i="1" s="1"/>
  <c r="AR13" i="1"/>
  <c r="AW13" i="1" s="1"/>
  <c r="AR14" i="1"/>
  <c r="AW14" i="1" s="1"/>
  <c r="AR15" i="1"/>
  <c r="AW15" i="1" s="1"/>
  <c r="AR16" i="1"/>
  <c r="AW16" i="1" s="1"/>
  <c r="AR17" i="1"/>
  <c r="AW17" i="1" s="1"/>
  <c r="AR18" i="1"/>
  <c r="AW18" i="1" s="1"/>
  <c r="AR19" i="1"/>
  <c r="AW19" i="1" s="1"/>
  <c r="AR20" i="1"/>
  <c r="AW20" i="1" s="1"/>
  <c r="AR21" i="1"/>
  <c r="AW21" i="1" s="1"/>
  <c r="AR22" i="1"/>
  <c r="AW22" i="1" s="1"/>
  <c r="AR23" i="1"/>
  <c r="AW23" i="1" s="1"/>
  <c r="AR24" i="1"/>
  <c r="AW24" i="1" s="1"/>
  <c r="AR25" i="1"/>
  <c r="AW25" i="1" s="1"/>
  <c r="AR26" i="1"/>
  <c r="AW26" i="1" s="1"/>
  <c r="AR27" i="1"/>
  <c r="AW27" i="1" s="1"/>
  <c r="AR28" i="1"/>
  <c r="AW28" i="1" s="1"/>
  <c r="AR29" i="1"/>
  <c r="AW29" i="1" s="1"/>
  <c r="AR30" i="1"/>
  <c r="AW30" i="1" s="1"/>
  <c r="AR31" i="1"/>
  <c r="AW31" i="1" s="1"/>
  <c r="AR32" i="1"/>
  <c r="AW32" i="1" s="1"/>
  <c r="AR33" i="1"/>
  <c r="AW33" i="1" s="1"/>
  <c r="AR34" i="1"/>
  <c r="AW34" i="1" s="1"/>
  <c r="AR35" i="1"/>
  <c r="AW35" i="1" s="1"/>
  <c r="BB4" i="1"/>
  <c r="BB5" i="1"/>
  <c r="BB7" i="1"/>
  <c r="BB8" i="1"/>
  <c r="BB9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" i="1"/>
  <c r="BC3" i="1"/>
  <c r="BE35" i="1"/>
  <c r="BD35" i="1"/>
  <c r="BC35" i="1"/>
  <c r="BE34" i="1"/>
  <c r="BD34" i="1"/>
  <c r="BC34" i="1"/>
  <c r="BE33" i="1"/>
  <c r="BD33" i="1"/>
  <c r="BC33" i="1"/>
  <c r="BE32" i="1"/>
  <c r="BD32" i="1"/>
  <c r="BC32" i="1"/>
  <c r="BE31" i="1"/>
  <c r="BD31" i="1"/>
  <c r="BC31" i="1"/>
  <c r="BE30" i="1"/>
  <c r="BD30" i="1"/>
  <c r="BC30" i="1"/>
  <c r="BE29" i="1"/>
  <c r="BD29" i="1"/>
  <c r="BC29" i="1"/>
  <c r="BE28" i="1"/>
  <c r="BD28" i="1"/>
  <c r="BC28" i="1"/>
  <c r="BE27" i="1"/>
  <c r="BD27" i="1"/>
  <c r="BC27" i="1"/>
  <c r="BE26" i="1"/>
  <c r="BD26" i="1"/>
  <c r="BC26" i="1"/>
  <c r="BE25" i="1"/>
  <c r="BD25" i="1"/>
  <c r="BC25" i="1"/>
  <c r="BE24" i="1"/>
  <c r="BD24" i="1"/>
  <c r="BC24" i="1"/>
  <c r="BE23" i="1"/>
  <c r="BD23" i="1"/>
  <c r="BC23" i="1"/>
  <c r="BE22" i="1"/>
  <c r="BD22" i="1"/>
  <c r="BC22" i="1"/>
  <c r="BE21" i="1"/>
  <c r="BD21" i="1"/>
  <c r="BC21" i="1"/>
  <c r="BE20" i="1"/>
  <c r="BD20" i="1"/>
  <c r="BC20" i="1"/>
  <c r="BE19" i="1"/>
  <c r="BD19" i="1"/>
  <c r="BC19" i="1"/>
  <c r="BE18" i="1"/>
  <c r="BD18" i="1"/>
  <c r="BC18" i="1"/>
  <c r="BE17" i="1"/>
  <c r="BD17" i="1"/>
  <c r="BC17" i="1"/>
  <c r="BE16" i="1"/>
  <c r="BD16" i="1"/>
  <c r="BC16" i="1"/>
  <c r="BE15" i="1"/>
  <c r="BD15" i="1"/>
  <c r="BC15" i="1"/>
  <c r="BE14" i="1"/>
  <c r="BD14" i="1"/>
  <c r="BC14" i="1"/>
  <c r="BE13" i="1"/>
  <c r="BD13" i="1"/>
  <c r="BC13" i="1"/>
  <c r="BE12" i="1"/>
  <c r="BD12" i="1"/>
  <c r="BC12" i="1"/>
  <c r="BE11" i="1"/>
  <c r="BD11" i="1"/>
  <c r="BC11" i="1"/>
  <c r="BE9" i="1"/>
  <c r="BD9" i="1"/>
  <c r="BC9" i="1"/>
  <c r="BE8" i="1"/>
  <c r="BD8" i="1"/>
  <c r="BC8" i="1"/>
  <c r="BE7" i="1"/>
  <c r="BD7" i="1"/>
  <c r="BC7" i="1"/>
  <c r="BE5" i="1"/>
  <c r="BD5" i="1"/>
  <c r="BC5" i="1"/>
  <c r="BE4" i="1"/>
  <c r="BD4" i="1"/>
  <c r="BC4" i="1"/>
  <c r="BE3" i="1"/>
  <c r="BD3" i="1"/>
  <c r="AA27" i="6" l="1"/>
  <c r="AB27" i="6" s="1"/>
  <c r="M57" i="6"/>
  <c r="AG19" i="6"/>
  <c r="AA19" i="6"/>
  <c r="AB19" i="6" s="1"/>
  <c r="M50" i="6"/>
  <c r="AA25" i="6"/>
  <c r="AB25" i="6" s="1"/>
  <c r="M55" i="6"/>
  <c r="AA23" i="6"/>
  <c r="AB23" i="6" s="1"/>
  <c r="M53" i="6"/>
  <c r="AA26" i="6"/>
  <c r="AB26" i="6" s="1"/>
  <c r="M56" i="6"/>
  <c r="AA20" i="6"/>
  <c r="AB20" i="6" s="1"/>
  <c r="M51" i="6"/>
  <c r="AA24" i="6"/>
  <c r="AB24" i="6" s="1"/>
  <c r="M54" i="6"/>
  <c r="AA21" i="6"/>
  <c r="AB21" i="6" s="1"/>
  <c r="AE19" i="6" s="1"/>
  <c r="AE20" i="6" s="1"/>
  <c r="AF20" i="6" s="1"/>
  <c r="D10" i="6"/>
  <c r="W68" i="6"/>
  <c r="L5" i="6" s="1"/>
  <c r="R5" i="6" s="1"/>
  <c r="X68" i="6"/>
  <c r="AD23" i="6"/>
  <c r="AG20" i="6"/>
  <c r="AD22" i="6"/>
  <c r="AD21" i="6"/>
  <c r="H7" i="6"/>
  <c r="N7" i="6" s="1"/>
  <c r="T7" i="6" s="1"/>
  <c r="E7" i="6"/>
  <c r="N73" i="6"/>
  <c r="M73" i="6"/>
  <c r="N74" i="6"/>
  <c r="M74" i="6"/>
  <c r="N66" i="6"/>
  <c r="M66" i="6"/>
  <c r="N70" i="6"/>
  <c r="M70" i="6"/>
  <c r="M69" i="6"/>
  <c r="N69" i="6"/>
  <c r="N71" i="6"/>
  <c r="M71" i="6"/>
  <c r="N68" i="6"/>
  <c r="M68" i="6"/>
  <c r="N30" i="3"/>
  <c r="M28" i="3"/>
  <c r="N28" i="3"/>
  <c r="N40" i="3"/>
  <c r="M40" i="3"/>
  <c r="N25" i="3"/>
  <c r="M25" i="3"/>
  <c r="N44" i="3"/>
  <c r="M44" i="3"/>
  <c r="N29" i="3"/>
  <c r="M29" i="3"/>
  <c r="N41" i="3"/>
  <c r="M41" i="3"/>
  <c r="M42" i="3"/>
  <c r="E5" i="3" s="1"/>
  <c r="K5" i="3" s="1"/>
  <c r="Q5" i="3" s="1"/>
  <c r="N42" i="3"/>
  <c r="N26" i="3"/>
  <c r="M26" i="3"/>
  <c r="E10" i="3" s="1"/>
  <c r="N47" i="3"/>
  <c r="M47" i="3"/>
  <c r="H5" i="3" s="1"/>
  <c r="N46" i="3"/>
  <c r="M46" i="3"/>
  <c r="G5" i="3" s="1"/>
  <c r="N39" i="3"/>
  <c r="M39" i="3"/>
  <c r="N23" i="3"/>
  <c r="M23" i="3"/>
  <c r="N24" i="3"/>
  <c r="M24" i="3"/>
  <c r="N43" i="3"/>
  <c r="M43" i="3"/>
  <c r="F5" i="3" s="1"/>
  <c r="L5" i="3" s="1"/>
  <c r="E34" i="6"/>
  <c r="F34" i="6" s="1"/>
  <c r="D13" i="6"/>
  <c r="E40" i="6"/>
  <c r="F40" i="6" s="1"/>
  <c r="AB57" i="6"/>
  <c r="G13" i="6" s="1"/>
  <c r="M13" i="6" s="1"/>
  <c r="S13" i="6" s="1"/>
  <c r="E36" i="6"/>
  <c r="F36" i="6" s="1"/>
  <c r="AB53" i="6"/>
  <c r="E13" i="6" s="1"/>
  <c r="K13" i="6" s="1"/>
  <c r="Q13" i="6" s="1"/>
  <c r="E39" i="6"/>
  <c r="F39" i="6" s="1"/>
  <c r="AB56" i="6"/>
  <c r="AB66" i="6"/>
  <c r="AC73" i="6"/>
  <c r="AC72" i="6"/>
  <c r="Q5" i="6"/>
  <c r="AC68" i="6"/>
  <c r="AC70" i="6"/>
  <c r="AC69" i="6"/>
  <c r="AC67" i="6"/>
  <c r="AG67" i="6"/>
  <c r="AC71" i="6"/>
  <c r="P35" i="6"/>
  <c r="AG50" i="6"/>
  <c r="P32" i="6"/>
  <c r="AH67" i="6"/>
  <c r="AC66" i="6"/>
  <c r="H33" i="6"/>
  <c r="H37" i="6" s="1"/>
  <c r="E38" i="6"/>
  <c r="F38" i="6" s="1"/>
  <c r="E32" i="6"/>
  <c r="F32" i="6" s="1"/>
  <c r="F33" i="6"/>
  <c r="AB51" i="6"/>
  <c r="E37" i="6"/>
  <c r="F37" i="6" s="1"/>
  <c r="E35" i="6"/>
  <c r="F35" i="6" s="1"/>
  <c r="V32" i="6"/>
  <c r="S36" i="6"/>
  <c r="S35" i="6"/>
  <c r="S34" i="6"/>
  <c r="V33" i="6"/>
  <c r="AB72" i="6"/>
  <c r="AB68" i="6"/>
  <c r="AB67" i="6"/>
  <c r="AB70" i="6"/>
  <c r="F8" i="6" s="1"/>
  <c r="L8" i="6" s="1"/>
  <c r="R8" i="6" s="1"/>
  <c r="AB71" i="6"/>
  <c r="AB73" i="6"/>
  <c r="G8" i="6" s="1"/>
  <c r="M8" i="6" s="1"/>
  <c r="S8" i="6" s="1"/>
  <c r="AC74" i="6"/>
  <c r="AB74" i="6"/>
  <c r="H8" i="6" s="1"/>
  <c r="N8" i="6" s="1"/>
  <c r="T8" i="6" s="1"/>
  <c r="AB69" i="6"/>
  <c r="E8" i="6" s="1"/>
  <c r="V19" i="6"/>
  <c r="S23" i="6"/>
  <c r="S22" i="6"/>
  <c r="V20" i="6"/>
  <c r="E6" i="6"/>
  <c r="K6" i="6" s="1"/>
  <c r="H6" i="6"/>
  <c r="N6" i="6" s="1"/>
  <c r="G6" i="6"/>
  <c r="M6" i="6" s="1"/>
  <c r="F6" i="6"/>
  <c r="L6" i="6" s="1"/>
  <c r="AH73" i="6"/>
  <c r="AG73" i="6"/>
  <c r="G9" i="6" s="1"/>
  <c r="M9" i="6" s="1"/>
  <c r="S9" i="6" s="1"/>
  <c r="AG72" i="6"/>
  <c r="AH72" i="6"/>
  <c r="AG66" i="6"/>
  <c r="AH66" i="6"/>
  <c r="AG74" i="6"/>
  <c r="H9" i="6" s="1"/>
  <c r="AH74" i="6"/>
  <c r="AG69" i="6"/>
  <c r="E9" i="6" s="1"/>
  <c r="AH69" i="6"/>
  <c r="AG68" i="6"/>
  <c r="AH68" i="6"/>
  <c r="AG71" i="6"/>
  <c r="AH71" i="6"/>
  <c r="AG70" i="6"/>
  <c r="F9" i="6" s="1"/>
  <c r="L9" i="6" s="1"/>
  <c r="R9" i="6" s="1"/>
  <c r="AH70" i="6"/>
  <c r="S59" i="1"/>
  <c r="S61" i="1"/>
  <c r="S53" i="1"/>
  <c r="S51" i="1"/>
  <c r="S60" i="1"/>
  <c r="S52" i="1"/>
  <c r="BG44" i="1"/>
  <c r="BG48" i="1"/>
  <c r="BG50" i="1"/>
  <c r="BG7" i="1"/>
  <c r="BG72" i="1"/>
  <c r="BG74" i="1"/>
  <c r="BG78" i="1"/>
  <c r="BG98" i="1"/>
  <c r="BG14" i="1"/>
  <c r="BG27" i="1"/>
  <c r="BG32" i="1"/>
  <c r="BG71" i="1"/>
  <c r="BG19" i="1"/>
  <c r="BG66" i="1"/>
  <c r="BG22" i="1"/>
  <c r="BG35" i="1"/>
  <c r="BG4" i="1"/>
  <c r="BG77" i="1"/>
  <c r="BG34" i="1"/>
  <c r="BG9" i="1"/>
  <c r="BG46" i="1"/>
  <c r="BG20" i="1"/>
  <c r="BG58" i="1"/>
  <c r="BG62" i="1"/>
  <c r="BG65" i="1"/>
  <c r="BG68" i="1"/>
  <c r="BG69" i="1"/>
  <c r="BG70" i="1"/>
  <c r="BG33" i="1"/>
  <c r="BG25" i="1"/>
  <c r="BG17" i="1"/>
  <c r="BG8" i="1"/>
  <c r="BG54" i="1"/>
  <c r="BG55" i="1"/>
  <c r="BG56" i="1"/>
  <c r="BG18" i="1"/>
  <c r="BG80" i="1"/>
  <c r="BG31" i="1"/>
  <c r="BG23" i="1"/>
  <c r="BG15" i="1"/>
  <c r="BG5" i="1"/>
  <c r="BH43" i="1"/>
  <c r="BG26" i="1"/>
  <c r="BG30" i="1"/>
  <c r="BG3" i="1"/>
  <c r="BG29" i="1"/>
  <c r="BG21" i="1"/>
  <c r="BG13" i="1"/>
  <c r="BG63" i="1"/>
  <c r="BG64" i="1"/>
  <c r="BG73" i="1"/>
  <c r="BG11" i="1"/>
  <c r="BG24" i="1"/>
  <c r="BG28" i="1"/>
  <c r="BG40" i="1"/>
  <c r="BG41" i="1"/>
  <c r="BG42" i="1"/>
  <c r="BG43" i="1"/>
  <c r="BG75" i="1"/>
  <c r="BG12" i="1"/>
  <c r="BG16" i="1"/>
  <c r="BG45" i="1"/>
  <c r="BG47" i="1"/>
  <c r="BG67" i="1"/>
  <c r="BG76" i="1"/>
  <c r="BG100" i="1"/>
  <c r="BG99" i="1"/>
  <c r="BG79" i="1"/>
  <c r="BH70" i="1"/>
  <c r="BG85" i="1"/>
  <c r="BH40" i="1"/>
  <c r="BG84" i="1"/>
  <c r="BH81" i="1"/>
  <c r="BH72" i="1"/>
  <c r="BH76" i="1"/>
  <c r="BG83" i="1"/>
  <c r="BH71" i="1"/>
  <c r="BG82" i="1"/>
  <c r="BH98" i="1"/>
  <c r="BG81" i="1"/>
  <c r="BH85" i="1"/>
  <c r="BH84" i="1"/>
  <c r="BH83" i="1"/>
  <c r="BH82" i="1"/>
  <c r="BH100" i="1"/>
  <c r="BH80" i="1"/>
  <c r="BH99" i="1"/>
  <c r="BH79" i="1"/>
  <c r="BH69" i="1"/>
  <c r="BH78" i="1"/>
  <c r="BH74" i="1"/>
  <c r="BH77" i="1"/>
  <c r="BH55" i="1"/>
  <c r="BH67" i="1"/>
  <c r="BH68" i="1"/>
  <c r="BH73" i="1"/>
  <c r="BH75" i="1"/>
  <c r="BH50" i="1"/>
  <c r="BH65" i="1"/>
  <c r="BH41" i="1"/>
  <c r="BH44" i="1"/>
  <c r="BH56" i="1"/>
  <c r="BH47" i="1"/>
  <c r="BH54" i="1"/>
  <c r="BH63" i="1"/>
  <c r="BI63" i="1" s="1"/>
  <c r="BJ63" i="1" s="1"/>
  <c r="BH66" i="1"/>
  <c r="BH48" i="1"/>
  <c r="BH64" i="1"/>
  <c r="BH58" i="1"/>
  <c r="BH45" i="1"/>
  <c r="BH46" i="1"/>
  <c r="BH62" i="1"/>
  <c r="BI62" i="1" s="1"/>
  <c r="BJ62" i="1" s="1"/>
  <c r="BH42" i="1"/>
  <c r="BI42" i="1" s="1"/>
  <c r="BI43" i="1"/>
  <c r="BJ43" i="1" s="1"/>
  <c r="BH32" i="1"/>
  <c r="BH31" i="1"/>
  <c r="BH30" i="1"/>
  <c r="BH16" i="1"/>
  <c r="BH15" i="1"/>
  <c r="BH5" i="1"/>
  <c r="BH17" i="1"/>
  <c r="BH25" i="1"/>
  <c r="BH14" i="1"/>
  <c r="BH27" i="1"/>
  <c r="BH24" i="1"/>
  <c r="BI24" i="1" s="1"/>
  <c r="BJ24" i="1" s="1"/>
  <c r="BH11" i="1"/>
  <c r="BH35" i="1"/>
  <c r="BH8" i="1"/>
  <c r="BH29" i="1"/>
  <c r="BH21" i="1"/>
  <c r="BH13" i="1"/>
  <c r="BH33" i="1"/>
  <c r="BH22" i="1"/>
  <c r="BH7" i="1"/>
  <c r="BH28" i="1"/>
  <c r="BH20" i="1"/>
  <c r="BH12" i="1"/>
  <c r="BH19" i="1"/>
  <c r="BH34" i="1"/>
  <c r="BH26" i="1"/>
  <c r="BH18" i="1"/>
  <c r="BH9" i="1"/>
  <c r="BH23" i="1"/>
  <c r="BI23" i="1" s="1"/>
  <c r="BH4" i="1"/>
  <c r="BH3" i="1"/>
  <c r="AF19" i="6" l="1"/>
  <c r="AG22" i="6"/>
  <c r="AD24" i="6"/>
  <c r="AG23" i="6"/>
  <c r="AG21" i="6"/>
  <c r="AE23" i="6"/>
  <c r="AE24" i="6" s="1"/>
  <c r="AE25" i="6" s="1"/>
  <c r="AE26" i="6" s="1"/>
  <c r="AE27" i="6" s="1"/>
  <c r="AE22" i="6"/>
  <c r="AF22" i="6" s="1"/>
  <c r="AE21" i="6"/>
  <c r="AF21" i="6" s="1"/>
  <c r="N5" i="6"/>
  <c r="T5" i="6" s="1"/>
  <c r="F7" i="6"/>
  <c r="L7" i="6" s="1"/>
  <c r="R7" i="6" s="1"/>
  <c r="M5" i="6"/>
  <c r="S5" i="6" s="1"/>
  <c r="G7" i="6"/>
  <c r="M7" i="6" s="1"/>
  <c r="S7" i="6" s="1"/>
  <c r="K9" i="6"/>
  <c r="Q9" i="6" s="1"/>
  <c r="K8" i="6"/>
  <c r="Q8" i="6" s="1"/>
  <c r="N9" i="6"/>
  <c r="T9" i="6" s="1"/>
  <c r="K7" i="6"/>
  <c r="Q7" i="6" s="1"/>
  <c r="J13" i="6"/>
  <c r="P13" i="6" s="1"/>
  <c r="BI19" i="1"/>
  <c r="BJ19" i="1" s="1"/>
  <c r="BI21" i="1"/>
  <c r="BJ21" i="1" s="1"/>
  <c r="BI72" i="1"/>
  <c r="BJ72" i="1" s="1"/>
  <c r="BI29" i="1"/>
  <c r="BJ29" i="1" s="1"/>
  <c r="BI17" i="1"/>
  <c r="BJ17" i="1" s="1"/>
  <c r="H36" i="6"/>
  <c r="K36" i="6" s="1"/>
  <c r="H34" i="6"/>
  <c r="K34" i="6" s="1"/>
  <c r="K33" i="6"/>
  <c r="H35" i="6"/>
  <c r="K35" i="6" s="1"/>
  <c r="I32" i="6"/>
  <c r="I33" i="6" s="1"/>
  <c r="H38" i="6"/>
  <c r="K37" i="6"/>
  <c r="V35" i="6"/>
  <c r="S37" i="6"/>
  <c r="V36" i="6"/>
  <c r="V34" i="6"/>
  <c r="V22" i="6"/>
  <c r="S24" i="6"/>
  <c r="V23" i="6"/>
  <c r="BI50" i="1"/>
  <c r="BJ50" i="1" s="1"/>
  <c r="BI33" i="1"/>
  <c r="BJ33" i="1" s="1"/>
  <c r="BI75" i="1"/>
  <c r="BJ75" i="1" s="1"/>
  <c r="BI69" i="1"/>
  <c r="BJ69" i="1" s="1"/>
  <c r="BI22" i="1"/>
  <c r="BJ22" i="1" s="1"/>
  <c r="BI70" i="1"/>
  <c r="BJ70" i="1" s="1"/>
  <c r="BI71" i="1"/>
  <c r="BJ71" i="1" s="1"/>
  <c r="BI3" i="1"/>
  <c r="BJ3" i="1" s="1"/>
  <c r="BI46" i="1"/>
  <c r="BJ46" i="1" s="1"/>
  <c r="BI16" i="1"/>
  <c r="BJ16" i="1" s="1"/>
  <c r="BI48" i="1"/>
  <c r="BJ48" i="1" s="1"/>
  <c r="BI7" i="1"/>
  <c r="BJ7" i="1" s="1"/>
  <c r="BI68" i="1"/>
  <c r="BJ68" i="1" s="1"/>
  <c r="BI45" i="1"/>
  <c r="BJ45" i="1" s="1"/>
  <c r="BI9" i="1"/>
  <c r="BJ9" i="1" s="1"/>
  <c r="BI27" i="1"/>
  <c r="BJ27" i="1" s="1"/>
  <c r="BI31" i="1"/>
  <c r="BJ31" i="1" s="1"/>
  <c r="BI47" i="1"/>
  <c r="BJ47" i="1" s="1"/>
  <c r="BI25" i="1"/>
  <c r="BJ25" i="1" s="1"/>
  <c r="BI44" i="1"/>
  <c r="BJ44" i="1" s="1"/>
  <c r="BI20" i="1"/>
  <c r="BJ20" i="1" s="1"/>
  <c r="BI74" i="1"/>
  <c r="BJ74" i="1" s="1"/>
  <c r="BI28" i="1"/>
  <c r="BJ28" i="1" s="1"/>
  <c r="BI55" i="1"/>
  <c r="BJ55" i="1" s="1"/>
  <c r="BI77" i="1"/>
  <c r="BJ77" i="1" s="1"/>
  <c r="BI98" i="1"/>
  <c r="BJ98" i="1" s="1"/>
  <c r="BI58" i="1"/>
  <c r="BJ58" i="1" s="1"/>
  <c r="BI85" i="1"/>
  <c r="BJ85" i="1" s="1"/>
  <c r="BI5" i="1"/>
  <c r="BJ5" i="1" s="1"/>
  <c r="BI34" i="1"/>
  <c r="BJ34" i="1" s="1"/>
  <c r="BI14" i="1"/>
  <c r="BJ14" i="1" s="1"/>
  <c r="BI32" i="1"/>
  <c r="BJ32" i="1" s="1"/>
  <c r="BI64" i="1"/>
  <c r="BJ64" i="1" s="1"/>
  <c r="BI82" i="1"/>
  <c r="BJ82" i="1" s="1"/>
  <c r="BI83" i="1"/>
  <c r="BJ83" i="1" s="1"/>
  <c r="BI8" i="1"/>
  <c r="BJ8" i="1" s="1"/>
  <c r="BI54" i="1"/>
  <c r="BJ54" i="1" s="1"/>
  <c r="BI35" i="1"/>
  <c r="BJ35" i="1" s="1"/>
  <c r="BI15" i="1"/>
  <c r="BJ15" i="1" s="1"/>
  <c r="BI67" i="1"/>
  <c r="BJ67" i="1" s="1"/>
  <c r="BI41" i="1"/>
  <c r="BJ41" i="1" s="1"/>
  <c r="BI79" i="1"/>
  <c r="BJ79" i="1" s="1"/>
  <c r="BI30" i="1"/>
  <c r="BJ30" i="1" s="1"/>
  <c r="BI65" i="1"/>
  <c r="BJ65" i="1" s="1"/>
  <c r="BI76" i="1"/>
  <c r="BJ76" i="1" s="1"/>
  <c r="BI73" i="1"/>
  <c r="BJ73" i="1" s="1"/>
  <c r="BI56" i="1"/>
  <c r="BJ56" i="1" s="1"/>
  <c r="BI13" i="1"/>
  <c r="BJ13" i="1" s="1"/>
  <c r="BI12" i="1"/>
  <c r="BJ12" i="1" s="1"/>
  <c r="BI81" i="1"/>
  <c r="BJ81" i="1" s="1"/>
  <c r="BI84" i="1"/>
  <c r="BJ84" i="1" s="1"/>
  <c r="BI18" i="1"/>
  <c r="BJ18" i="1" s="1"/>
  <c r="BI11" i="1"/>
  <c r="BJ11" i="1" s="1"/>
  <c r="BI99" i="1"/>
  <c r="BJ99" i="1" s="1"/>
  <c r="BI40" i="1"/>
  <c r="BJ40" i="1" s="1"/>
  <c r="BI80" i="1"/>
  <c r="BJ80" i="1" s="1"/>
  <c r="BI100" i="1"/>
  <c r="BJ100" i="1" s="1"/>
  <c r="BI78" i="1"/>
  <c r="BJ78" i="1" s="1"/>
  <c r="BI66" i="1"/>
  <c r="BJ66" i="1" s="1"/>
  <c r="BJ42" i="1"/>
  <c r="BI26" i="1"/>
  <c r="BJ26" i="1" s="1"/>
  <c r="BJ23" i="1"/>
  <c r="BI4" i="1"/>
  <c r="BJ4" i="1" s="1"/>
  <c r="AF23" i="6" l="1"/>
  <c r="AD25" i="6"/>
  <c r="AG24" i="6"/>
  <c r="AF24" i="6"/>
  <c r="I35" i="6"/>
  <c r="J35" i="6" s="1"/>
  <c r="I37" i="6"/>
  <c r="I36" i="6"/>
  <c r="J36" i="6" s="1"/>
  <c r="J33" i="6"/>
  <c r="I34" i="6"/>
  <c r="J34" i="6" s="1"/>
  <c r="J32" i="6"/>
  <c r="H39" i="6"/>
  <c r="K38" i="6"/>
  <c r="S38" i="6"/>
  <c r="V37" i="6"/>
  <c r="S25" i="6"/>
  <c r="V24" i="6"/>
  <c r="P14" i="4"/>
  <c r="P13" i="4"/>
  <c r="P12" i="4"/>
  <c r="P12" i="1"/>
  <c r="P13" i="1"/>
  <c r="P14" i="1"/>
  <c r="G23" i="6"/>
  <c r="T4" i="6"/>
  <c r="S4" i="6"/>
  <c r="R4" i="6"/>
  <c r="Q4" i="6"/>
  <c r="P4" i="6"/>
  <c r="O11" i="3"/>
  <c r="T4" i="3"/>
  <c r="S4" i="3"/>
  <c r="R4" i="3"/>
  <c r="Q4" i="3"/>
  <c r="P4" i="3"/>
  <c r="G27" i="6"/>
  <c r="G26" i="6"/>
  <c r="G25" i="6"/>
  <c r="G24" i="6"/>
  <c r="G20" i="6"/>
  <c r="G19" i="6"/>
  <c r="L103" i="6"/>
  <c r="S49" i="6"/>
  <c r="Q42" i="3"/>
  <c r="R42" i="3" s="1"/>
  <c r="AD26" i="6" l="1"/>
  <c r="AG25" i="6"/>
  <c r="AF25" i="6"/>
  <c r="K6" i="3"/>
  <c r="Q6" i="3" s="1"/>
  <c r="E6" i="3"/>
  <c r="I38" i="6"/>
  <c r="J37" i="6"/>
  <c r="H40" i="6"/>
  <c r="K39" i="6"/>
  <c r="V38" i="6"/>
  <c r="S39" i="6"/>
  <c r="S26" i="6"/>
  <c r="V25" i="6"/>
  <c r="H19" i="6"/>
  <c r="H20" i="6" s="1"/>
  <c r="H21" i="6" s="1"/>
  <c r="AD27" i="6" l="1"/>
  <c r="AG26" i="6"/>
  <c r="AF26" i="6"/>
  <c r="I39" i="6"/>
  <c r="J38" i="6"/>
  <c r="K40" i="6"/>
  <c r="S40" i="6"/>
  <c r="V39" i="6"/>
  <c r="K21" i="6"/>
  <c r="H23" i="6"/>
  <c r="K23" i="6" s="1"/>
  <c r="H22" i="6"/>
  <c r="S27" i="6"/>
  <c r="V26" i="6"/>
  <c r="R6" i="6"/>
  <c r="K19" i="6"/>
  <c r="H24" i="6"/>
  <c r="K20" i="6"/>
  <c r="Q6" i="6"/>
  <c r="T6" i="6"/>
  <c r="S6" i="6"/>
  <c r="AF27" i="6" l="1"/>
  <c r="AF18" i="6" s="1"/>
  <c r="AG27" i="6"/>
  <c r="I40" i="6"/>
  <c r="J40" i="6" s="1"/>
  <c r="J39" i="6"/>
  <c r="V40" i="6"/>
  <c r="K22" i="6"/>
  <c r="V27" i="6"/>
  <c r="H25" i="6"/>
  <c r="K24" i="6"/>
  <c r="AG18" i="6" l="1"/>
  <c r="K47" i="6" s="1"/>
  <c r="L47" i="6"/>
  <c r="J31" i="6"/>
  <c r="K31" i="6" s="1"/>
  <c r="Z47" i="6" s="1"/>
  <c r="H26" i="6"/>
  <c r="K25" i="6"/>
  <c r="AA47" i="6" l="1"/>
  <c r="AA55" i="6" s="1"/>
  <c r="H27" i="6"/>
  <c r="K26" i="6"/>
  <c r="AC55" i="6" l="1"/>
  <c r="AA52" i="6"/>
  <c r="AA50" i="6"/>
  <c r="AA56" i="6"/>
  <c r="AA57" i="6"/>
  <c r="AA54" i="6"/>
  <c r="AA53" i="6"/>
  <c r="AA51" i="6"/>
  <c r="K27" i="6"/>
  <c r="AC54" i="6" l="1"/>
  <c r="AC56" i="6"/>
  <c r="AC51" i="6"/>
  <c r="AC53" i="6"/>
  <c r="AC57" i="6"/>
  <c r="AC50" i="6"/>
  <c r="AC52" i="6"/>
  <c r="I38" i="4"/>
  <c r="I37" i="4"/>
  <c r="I36" i="4"/>
  <c r="H38" i="4"/>
  <c r="H37" i="4"/>
  <c r="H36" i="4"/>
  <c r="G159" i="4" l="1"/>
  <c r="D159" i="4"/>
  <c r="H156" i="4"/>
  <c r="G156" i="4"/>
  <c r="E156" i="4"/>
  <c r="D156" i="4"/>
  <c r="C156" i="4"/>
  <c r="B156" i="4"/>
  <c r="G139" i="4"/>
  <c r="D139" i="4"/>
  <c r="C139" i="4"/>
  <c r="G138" i="4"/>
  <c r="D138" i="4"/>
  <c r="C138" i="4"/>
  <c r="M124" i="4"/>
  <c r="C118" i="4"/>
  <c r="F100" i="4"/>
  <c r="D100" i="4"/>
  <c r="C100" i="4"/>
  <c r="S86" i="4"/>
  <c r="S70" i="4"/>
  <c r="R58" i="4"/>
  <c r="Q58" i="4"/>
  <c r="P58" i="4"/>
  <c r="O58" i="4"/>
  <c r="R50" i="4"/>
  <c r="Q50" i="4"/>
  <c r="P50" i="4"/>
  <c r="O50" i="4"/>
  <c r="E38" i="4"/>
  <c r="D38" i="4"/>
  <c r="E37" i="4"/>
  <c r="D37" i="4"/>
  <c r="E36" i="4"/>
  <c r="D36" i="4"/>
  <c r="C30" i="4"/>
  <c r="C31" i="4" s="1"/>
  <c r="C28" i="4"/>
  <c r="C26" i="4"/>
  <c r="D26" i="4" s="1"/>
  <c r="C23" i="4"/>
  <c r="C21" i="4"/>
  <c r="C22" i="4" s="1"/>
  <c r="G22" i="4" s="1"/>
  <c r="C19" i="4"/>
  <c r="C17" i="4"/>
  <c r="P11" i="4"/>
  <c r="U4" i="4"/>
  <c r="T4" i="4"/>
  <c r="S4" i="4"/>
  <c r="R4" i="4"/>
  <c r="Q4" i="4"/>
  <c r="F28" i="4" l="1"/>
  <c r="D28" i="4"/>
  <c r="E28" i="4"/>
  <c r="H19" i="4"/>
  <c r="F19" i="4"/>
  <c r="G19" i="4"/>
  <c r="H17" i="4"/>
  <c r="E17" i="4"/>
  <c r="C171" i="4"/>
  <c r="C117" i="4"/>
  <c r="C129" i="4" s="1"/>
  <c r="D129" i="4" s="1"/>
  <c r="C170" i="4"/>
  <c r="C20" i="4"/>
  <c r="E19" i="4"/>
  <c r="E21" i="4"/>
  <c r="F26" i="4"/>
  <c r="C18" i="4"/>
  <c r="F21" i="4"/>
  <c r="G26" i="4"/>
  <c r="G21" i="4"/>
  <c r="G23" i="4" s="1"/>
  <c r="C27" i="4"/>
  <c r="E26" i="4"/>
  <c r="H21" i="4"/>
  <c r="F22" i="4"/>
  <c r="H22" i="4"/>
  <c r="D30" i="4"/>
  <c r="D31" i="4" s="1"/>
  <c r="G28" i="4"/>
  <c r="E30" i="4"/>
  <c r="E31" i="4" s="1"/>
  <c r="S50" i="4"/>
  <c r="S58" i="4"/>
  <c r="F17" i="4"/>
  <c r="E22" i="4"/>
  <c r="C29" i="4"/>
  <c r="F30" i="4"/>
  <c r="F31" i="4" s="1"/>
  <c r="G30" i="4"/>
  <c r="G31" i="4" s="1"/>
  <c r="G17" i="4"/>
  <c r="I38" i="1"/>
  <c r="I37" i="1"/>
  <c r="I36" i="1"/>
  <c r="H38" i="1"/>
  <c r="H37" i="1"/>
  <c r="H36" i="1"/>
  <c r="D37" i="1"/>
  <c r="D36" i="1"/>
  <c r="E20" i="4" l="1"/>
  <c r="D29" i="4"/>
  <c r="E11" i="4" s="1"/>
  <c r="E10" i="4" s="1"/>
  <c r="K10" i="4" s="1"/>
  <c r="E18" i="4"/>
  <c r="F18" i="4"/>
  <c r="G18" i="4"/>
  <c r="H18" i="4"/>
  <c r="D27" i="4"/>
  <c r="E27" i="4"/>
  <c r="F27" i="4"/>
  <c r="G27" i="4"/>
  <c r="E29" i="4"/>
  <c r="F11" i="4" s="1"/>
  <c r="F29" i="4"/>
  <c r="G29" i="4"/>
  <c r="F20" i="4"/>
  <c r="G20" i="4"/>
  <c r="H20" i="4"/>
  <c r="F23" i="4"/>
  <c r="E23" i="4"/>
  <c r="H23" i="4"/>
  <c r="C179" i="4"/>
  <c r="D179" i="4" s="1"/>
  <c r="C127" i="4"/>
  <c r="D127" i="4" s="1"/>
  <c r="C126" i="4"/>
  <c r="D126" i="4" s="1"/>
  <c r="C125" i="4"/>
  <c r="D125" i="4" s="1"/>
  <c r="C130" i="4"/>
  <c r="D130" i="4" s="1"/>
  <c r="C122" i="4"/>
  <c r="D122" i="4" s="1"/>
  <c r="C128" i="4"/>
  <c r="D128" i="4" s="1"/>
  <c r="C124" i="4"/>
  <c r="D124" i="4" s="1"/>
  <c r="C131" i="4"/>
  <c r="D131" i="4" s="1"/>
  <c r="C132" i="4"/>
  <c r="D132" i="4" s="1"/>
  <c r="C123" i="4"/>
  <c r="D123" i="4" s="1"/>
  <c r="C177" i="4"/>
  <c r="D177" i="4" s="1"/>
  <c r="C181" i="4"/>
  <c r="D181" i="4" s="1"/>
  <c r="C180" i="4"/>
  <c r="D180" i="4" s="1"/>
  <c r="C184" i="4"/>
  <c r="D184" i="4" s="1"/>
  <c r="C178" i="4"/>
  <c r="D178" i="4" s="1"/>
  <c r="C182" i="4"/>
  <c r="D182" i="4" s="1"/>
  <c r="C183" i="4"/>
  <c r="D183" i="4" s="1"/>
  <c r="C176" i="4"/>
  <c r="D176" i="4" s="1"/>
  <c r="C175" i="4"/>
  <c r="D175" i="4" s="1"/>
  <c r="C185" i="4"/>
  <c r="D185" i="4" s="1"/>
  <c r="E37" i="1"/>
  <c r="F12" i="4" l="1"/>
  <c r="F13" i="4" s="1"/>
  <c r="F14" i="4" s="1"/>
  <c r="F10" i="4"/>
  <c r="L10" i="4" s="1"/>
  <c r="H57" i="4" s="1"/>
  <c r="L57" i="4" s="1"/>
  <c r="G57" i="4"/>
  <c r="K57" i="4" s="1"/>
  <c r="Q10" i="4"/>
  <c r="G11" i="4"/>
  <c r="G6" i="4"/>
  <c r="G5" i="4" s="1"/>
  <c r="M5" i="4" s="1"/>
  <c r="F6" i="4"/>
  <c r="F5" i="4" s="1"/>
  <c r="L5" i="4" s="1"/>
  <c r="I6" i="4"/>
  <c r="H11" i="4"/>
  <c r="H10" i="4" s="1"/>
  <c r="H6" i="4"/>
  <c r="H5" i="4" s="1"/>
  <c r="N5" i="4" s="1"/>
  <c r="S86" i="1"/>
  <c r="S70" i="1"/>
  <c r="S38" i="3"/>
  <c r="S22" i="3"/>
  <c r="L76" i="3"/>
  <c r="E36" i="1"/>
  <c r="E38" i="1"/>
  <c r="D38" i="1"/>
  <c r="S5" i="4" l="1"/>
  <c r="H49" i="4"/>
  <c r="L49" i="4" s="1"/>
  <c r="G12" i="4"/>
  <c r="G13" i="4" s="1"/>
  <c r="G14" i="4" s="1"/>
  <c r="M14" i="4" s="1"/>
  <c r="I61" i="4" s="1"/>
  <c r="M61" i="4" s="1"/>
  <c r="G10" i="4"/>
  <c r="I7" i="4"/>
  <c r="I8" i="4" s="1"/>
  <c r="I9" i="4" s="1"/>
  <c r="I5" i="4"/>
  <c r="O5" i="4" s="1"/>
  <c r="R5" i="4"/>
  <c r="G49" i="4"/>
  <c r="K49" i="4" s="1"/>
  <c r="T5" i="4"/>
  <c r="I49" i="4"/>
  <c r="M49" i="4" s="1"/>
  <c r="M11" i="4"/>
  <c r="I58" i="4" s="1"/>
  <c r="M58" i="4" s="1"/>
  <c r="M12" i="4"/>
  <c r="S12" i="4" s="1"/>
  <c r="M6" i="4"/>
  <c r="S6" i="4" s="1"/>
  <c r="G7" i="4"/>
  <c r="G8" i="4" s="1"/>
  <c r="G9" i="4" s="1"/>
  <c r="N11" i="4"/>
  <c r="T11" i="4" s="1"/>
  <c r="H12" i="4"/>
  <c r="N12" i="4" s="1"/>
  <c r="H13" i="4"/>
  <c r="N13" i="4" s="1"/>
  <c r="H14" i="4"/>
  <c r="N6" i="4"/>
  <c r="I50" i="4" s="1"/>
  <c r="M50" i="4" s="1"/>
  <c r="H7" i="4"/>
  <c r="K11" i="4"/>
  <c r="G58" i="4" s="1"/>
  <c r="K58" i="4" s="1"/>
  <c r="E13" i="4"/>
  <c r="E12" i="4"/>
  <c r="E14" i="4"/>
  <c r="O6" i="4"/>
  <c r="U6" i="4" s="1"/>
  <c r="L6" i="4"/>
  <c r="R6" i="4" s="1"/>
  <c r="F8" i="4"/>
  <c r="F7" i="4"/>
  <c r="F9" i="4"/>
  <c r="R10" i="4" s="1"/>
  <c r="L11" i="4"/>
  <c r="H58" i="4" s="1"/>
  <c r="L58" i="4" s="1"/>
  <c r="L12" i="4"/>
  <c r="L13" i="4"/>
  <c r="Q43" i="3"/>
  <c r="R43" i="3" s="1"/>
  <c r="F6" i="3" s="1"/>
  <c r="L6" i="3" s="1"/>
  <c r="Q39" i="3"/>
  <c r="Q41" i="3"/>
  <c r="Q46" i="3"/>
  <c r="Q45" i="3"/>
  <c r="Q47" i="3"/>
  <c r="Q29" i="3"/>
  <c r="Q27" i="3"/>
  <c r="Q25" i="3"/>
  <c r="Q23" i="3"/>
  <c r="Q30" i="3"/>
  <c r="R30" i="3" s="1"/>
  <c r="G11" i="3" s="1"/>
  <c r="M11" i="3" s="1"/>
  <c r="Q28" i="3"/>
  <c r="Q26" i="3"/>
  <c r="Q24" i="3"/>
  <c r="Q40" i="3"/>
  <c r="Q44" i="3"/>
  <c r="M13" i="4" l="1"/>
  <c r="I60" i="4" s="1"/>
  <c r="M60" i="4" s="1"/>
  <c r="U5" i="4"/>
  <c r="J49" i="4"/>
  <c r="N49" i="4" s="1"/>
  <c r="T49" i="4"/>
  <c r="U49" i="4" s="1"/>
  <c r="M9" i="4"/>
  <c r="S9" i="4" s="1"/>
  <c r="M10" i="4"/>
  <c r="H50" i="4"/>
  <c r="L50" i="4" s="1"/>
  <c r="S11" i="4"/>
  <c r="I59" i="4"/>
  <c r="M59" i="4" s="1"/>
  <c r="M7" i="4"/>
  <c r="H51" i="4" s="1"/>
  <c r="L51" i="4" s="1"/>
  <c r="M8" i="4"/>
  <c r="S8" i="4" s="1"/>
  <c r="S14" i="4"/>
  <c r="N14" i="4"/>
  <c r="T14" i="4" s="1"/>
  <c r="K14" i="4"/>
  <c r="Q14" i="4" s="1"/>
  <c r="K12" i="4"/>
  <c r="G59" i="4" s="1"/>
  <c r="K59" i="4" s="1"/>
  <c r="L9" i="4"/>
  <c r="G53" i="4" s="1"/>
  <c r="K53" i="4" s="1"/>
  <c r="K13" i="4"/>
  <c r="G60" i="4" s="1"/>
  <c r="K60" i="4" s="1"/>
  <c r="L14" i="4"/>
  <c r="H61" i="4" s="1"/>
  <c r="L61" i="4" s="1"/>
  <c r="L7" i="4"/>
  <c r="R7" i="4" s="1"/>
  <c r="L8" i="4"/>
  <c r="R8" i="4" s="1"/>
  <c r="J58" i="4"/>
  <c r="N58" i="4" s="1"/>
  <c r="T58" i="4" s="1"/>
  <c r="U58" i="4" s="1"/>
  <c r="Q68" i="4" s="1"/>
  <c r="R12" i="4"/>
  <c r="H59" i="4"/>
  <c r="L59" i="4" s="1"/>
  <c r="T12" i="4"/>
  <c r="J59" i="4"/>
  <c r="N59" i="4" s="1"/>
  <c r="T13" i="4"/>
  <c r="J60" i="4"/>
  <c r="N60" i="4" s="1"/>
  <c r="J50" i="4"/>
  <c r="N50" i="4" s="1"/>
  <c r="R13" i="4"/>
  <c r="H60" i="4"/>
  <c r="L60" i="4" s="1"/>
  <c r="R11" i="4"/>
  <c r="T6" i="4"/>
  <c r="Q11" i="4"/>
  <c r="H8" i="4"/>
  <c r="N7" i="4"/>
  <c r="O7" i="4"/>
  <c r="G50" i="4"/>
  <c r="K50" i="4" s="1"/>
  <c r="R6" i="3"/>
  <c r="S43" i="3"/>
  <c r="S42" i="3"/>
  <c r="R46" i="3"/>
  <c r="G6" i="3" s="1"/>
  <c r="M6" i="3" s="1"/>
  <c r="S46" i="3"/>
  <c r="R40" i="3"/>
  <c r="S40" i="3"/>
  <c r="R23" i="3"/>
  <c r="S23" i="3"/>
  <c r="R25" i="3"/>
  <c r="S25" i="3"/>
  <c r="R27" i="3"/>
  <c r="S27" i="3"/>
  <c r="S11" i="3"/>
  <c r="S30" i="3"/>
  <c r="R29" i="3"/>
  <c r="S29" i="3"/>
  <c r="R47" i="3"/>
  <c r="H6" i="3" s="1"/>
  <c r="N6" i="3" s="1"/>
  <c r="S47" i="3"/>
  <c r="R41" i="3"/>
  <c r="S41" i="3"/>
  <c r="R24" i="3"/>
  <c r="S24" i="3"/>
  <c r="R45" i="3"/>
  <c r="S45" i="3"/>
  <c r="R39" i="3"/>
  <c r="S39" i="3"/>
  <c r="R26" i="3"/>
  <c r="S26" i="3"/>
  <c r="R44" i="3"/>
  <c r="S44" i="3"/>
  <c r="R28" i="3"/>
  <c r="S28" i="3"/>
  <c r="H53" i="4" l="1"/>
  <c r="L53" i="4" s="1"/>
  <c r="S13" i="4"/>
  <c r="V49" i="4"/>
  <c r="K84" i="4" s="1"/>
  <c r="L84" i="4"/>
  <c r="S10" i="4"/>
  <c r="I57" i="4"/>
  <c r="M57" i="4" s="1"/>
  <c r="H52" i="4"/>
  <c r="L52" i="4" s="1"/>
  <c r="R14" i="4"/>
  <c r="S7" i="4"/>
  <c r="G61" i="4"/>
  <c r="K61" i="4" s="1"/>
  <c r="Q13" i="4"/>
  <c r="Q12" i="4"/>
  <c r="G51" i="4"/>
  <c r="K51" i="4" s="1"/>
  <c r="L89" i="4" s="1"/>
  <c r="R9" i="4"/>
  <c r="G52" i="4"/>
  <c r="K52" i="4" s="1"/>
  <c r="J61" i="4"/>
  <c r="N61" i="4" s="1"/>
  <c r="U7" i="4"/>
  <c r="J51" i="4"/>
  <c r="N51" i="4" s="1"/>
  <c r="T7" i="4"/>
  <c r="I51" i="4"/>
  <c r="M51" i="4" s="1"/>
  <c r="T60" i="4"/>
  <c r="U60" i="4" s="1"/>
  <c r="AA68" i="4" s="1"/>
  <c r="T59" i="4"/>
  <c r="U59" i="4" s="1"/>
  <c r="T50" i="4"/>
  <c r="U50" i="4" s="1"/>
  <c r="Q84" i="4" s="1"/>
  <c r="O8" i="4"/>
  <c r="H9" i="4"/>
  <c r="N10" i="4" s="1"/>
  <c r="N8" i="4"/>
  <c r="T6" i="3"/>
  <c r="AA45" i="3"/>
  <c r="AA46" i="3"/>
  <c r="AA42" i="3"/>
  <c r="AA47" i="3"/>
  <c r="AA40" i="3"/>
  <c r="AA39" i="3"/>
  <c r="AA41" i="3"/>
  <c r="AA44" i="3"/>
  <c r="AA43" i="3"/>
  <c r="S6" i="3"/>
  <c r="AA30" i="3"/>
  <c r="AA24" i="3"/>
  <c r="AA25" i="3"/>
  <c r="AA29" i="3"/>
  <c r="AA28" i="3"/>
  <c r="AA23" i="3"/>
  <c r="AA26" i="3"/>
  <c r="AA27" i="3"/>
  <c r="F11" i="3"/>
  <c r="E11" i="3"/>
  <c r="V58" i="4"/>
  <c r="L87" i="4" l="1"/>
  <c r="L95" i="4"/>
  <c r="L92" i="4"/>
  <c r="N92" i="4" s="1"/>
  <c r="L94" i="4"/>
  <c r="N94" i="4" s="1"/>
  <c r="L91" i="4"/>
  <c r="M91" i="4" s="1"/>
  <c r="M92" i="4"/>
  <c r="M94" i="4"/>
  <c r="T10" i="4"/>
  <c r="J57" i="4"/>
  <c r="N57" i="4" s="1"/>
  <c r="T57" i="4" s="1"/>
  <c r="L88" i="4"/>
  <c r="L93" i="4"/>
  <c r="L90" i="4"/>
  <c r="N89" i="4"/>
  <c r="M89" i="4"/>
  <c r="T61" i="4"/>
  <c r="U61" i="4" s="1"/>
  <c r="V61" i="4" s="1"/>
  <c r="AE68" i="4" s="1"/>
  <c r="N9" i="4"/>
  <c r="T9" i="4" s="1"/>
  <c r="O9" i="4"/>
  <c r="U9" i="4" s="1"/>
  <c r="T51" i="4"/>
  <c r="U51" i="4" s="1"/>
  <c r="V51" i="4" s="1"/>
  <c r="U84" i="4" s="1"/>
  <c r="V59" i="4"/>
  <c r="U68" i="4" s="1"/>
  <c r="V68" i="4"/>
  <c r="P68" i="4"/>
  <c r="V60" i="4"/>
  <c r="Z68" i="4" s="1"/>
  <c r="T8" i="4"/>
  <c r="I52" i="4"/>
  <c r="M52" i="4" s="1"/>
  <c r="V50" i="4"/>
  <c r="U8" i="4"/>
  <c r="J52" i="4"/>
  <c r="N52" i="4" s="1"/>
  <c r="K11" i="3"/>
  <c r="Q11" i="3" s="1"/>
  <c r="L11" i="3"/>
  <c r="R11" i="3" s="1"/>
  <c r="AF23" i="3"/>
  <c r="AB30" i="3"/>
  <c r="G13" i="3" s="1"/>
  <c r="M13" i="3" s="1"/>
  <c r="S13" i="3" s="1"/>
  <c r="AC30" i="3"/>
  <c r="AB41" i="3"/>
  <c r="AC41" i="3"/>
  <c r="AC24" i="3"/>
  <c r="AB24" i="3"/>
  <c r="AC44" i="3"/>
  <c r="AB44" i="3"/>
  <c r="AB27" i="3"/>
  <c r="F13" i="3" s="1"/>
  <c r="L13" i="3" s="1"/>
  <c r="R13" i="3" s="1"/>
  <c r="AC27" i="3"/>
  <c r="V45" i="3"/>
  <c r="V43" i="3"/>
  <c r="V42" i="3"/>
  <c r="V46" i="3"/>
  <c r="V41" i="3"/>
  <c r="V39" i="3"/>
  <c r="V40" i="3"/>
  <c r="V47" i="3"/>
  <c r="V44" i="3"/>
  <c r="AC39" i="3"/>
  <c r="AB39" i="3"/>
  <c r="AB26" i="3"/>
  <c r="E13" i="3" s="1"/>
  <c r="K13" i="3" s="1"/>
  <c r="Q13" i="3" s="1"/>
  <c r="AC26" i="3"/>
  <c r="AC40" i="3"/>
  <c r="AB40" i="3"/>
  <c r="AC23" i="3"/>
  <c r="AB23" i="3"/>
  <c r="V30" i="3"/>
  <c r="V27" i="3"/>
  <c r="V23" i="3"/>
  <c r="V26" i="3"/>
  <c r="V25" i="3"/>
  <c r="V29" i="3"/>
  <c r="V24" i="3"/>
  <c r="V28" i="3"/>
  <c r="AC47" i="3"/>
  <c r="AB47" i="3"/>
  <c r="H8" i="3" s="1"/>
  <c r="N8" i="3" s="1"/>
  <c r="T8" i="3" s="1"/>
  <c r="AF28" i="3"/>
  <c r="AF30" i="3"/>
  <c r="AF25" i="3"/>
  <c r="AF29" i="3"/>
  <c r="AF24" i="3"/>
  <c r="AF27" i="3"/>
  <c r="AF26" i="3"/>
  <c r="AC28" i="3"/>
  <c r="AB28" i="3"/>
  <c r="AC42" i="3"/>
  <c r="AB42" i="3"/>
  <c r="E8" i="3" s="1"/>
  <c r="K8" i="3" s="1"/>
  <c r="Q8" i="3" s="1"/>
  <c r="AF46" i="3"/>
  <c r="AF41" i="3"/>
  <c r="AF40" i="3"/>
  <c r="AF39" i="3"/>
  <c r="AF45" i="3"/>
  <c r="AF44" i="3"/>
  <c r="AF43" i="3"/>
  <c r="AF47" i="3"/>
  <c r="AF42" i="3"/>
  <c r="AB29" i="3"/>
  <c r="AC29" i="3"/>
  <c r="AC46" i="3"/>
  <c r="AB46" i="3"/>
  <c r="G8" i="3" s="1"/>
  <c r="M8" i="3" s="1"/>
  <c r="S8" i="3" s="1"/>
  <c r="AC25" i="3"/>
  <c r="AB25" i="3"/>
  <c r="AC43" i="3"/>
  <c r="AB43" i="3"/>
  <c r="F8" i="3" s="1"/>
  <c r="L8" i="3" s="1"/>
  <c r="R8" i="3" s="1"/>
  <c r="AB45" i="3"/>
  <c r="AC45" i="3"/>
  <c r="R58" i="1"/>
  <c r="Q58" i="1"/>
  <c r="P58" i="1"/>
  <c r="O58" i="1"/>
  <c r="P50" i="1"/>
  <c r="Q50" i="1"/>
  <c r="R50" i="1"/>
  <c r="O50" i="1"/>
  <c r="N91" i="4" l="1"/>
  <c r="U57" i="4"/>
  <c r="L68" i="4" s="1"/>
  <c r="M87" i="4"/>
  <c r="N87" i="4"/>
  <c r="Q71" i="4"/>
  <c r="S71" i="4" s="1"/>
  <c r="N95" i="4"/>
  <c r="M95" i="4"/>
  <c r="M90" i="4"/>
  <c r="N90" i="4"/>
  <c r="N93" i="4"/>
  <c r="M93" i="4"/>
  <c r="N88" i="4"/>
  <c r="M88" i="4"/>
  <c r="I53" i="4"/>
  <c r="M53" i="4" s="1"/>
  <c r="J53" i="4"/>
  <c r="N53" i="4" s="1"/>
  <c r="AF68" i="4"/>
  <c r="V84" i="4"/>
  <c r="V88" i="4" s="1"/>
  <c r="Q75" i="4"/>
  <c r="S75" i="4" s="1"/>
  <c r="Q72" i="4"/>
  <c r="S72" i="4" s="1"/>
  <c r="P84" i="4"/>
  <c r="Q91" i="4" s="1"/>
  <c r="Q74" i="4"/>
  <c r="Q77" i="4"/>
  <c r="R77" i="4" s="1"/>
  <c r="AA76" i="4"/>
  <c r="V76" i="4"/>
  <c r="V72" i="4"/>
  <c r="V78" i="4"/>
  <c r="V77" i="4"/>
  <c r="AF78" i="4"/>
  <c r="V74" i="4"/>
  <c r="AA71" i="4"/>
  <c r="AA78" i="4"/>
  <c r="AF75" i="4"/>
  <c r="AA73" i="4"/>
  <c r="V71" i="4"/>
  <c r="AA72" i="4"/>
  <c r="AF73" i="4"/>
  <c r="AF77" i="4"/>
  <c r="AA75" i="4"/>
  <c r="AF72" i="4"/>
  <c r="V75" i="4"/>
  <c r="AF74" i="4"/>
  <c r="AF76" i="4"/>
  <c r="AA74" i="4"/>
  <c r="V73" i="4"/>
  <c r="AA77" i="4"/>
  <c r="AF71" i="4"/>
  <c r="Q73" i="4"/>
  <c r="R73" i="4" s="1"/>
  <c r="Q76" i="4"/>
  <c r="S76" i="4" s="1"/>
  <c r="Q78" i="4"/>
  <c r="R78" i="4" s="1"/>
  <c r="T52" i="4"/>
  <c r="U52" i="4" s="1"/>
  <c r="AH30" i="3"/>
  <c r="AG30" i="3"/>
  <c r="G14" i="3" s="1"/>
  <c r="M14" i="3" s="1"/>
  <c r="S14" i="3" s="1"/>
  <c r="W23" i="3"/>
  <c r="X23" i="3"/>
  <c r="AG45" i="3"/>
  <c r="AH45" i="3"/>
  <c r="W27" i="3"/>
  <c r="F12" i="3" s="1"/>
  <c r="L12" i="3" s="1"/>
  <c r="R12" i="3" s="1"/>
  <c r="X27" i="3"/>
  <c r="W42" i="3"/>
  <c r="E7" i="3" s="1"/>
  <c r="K7" i="3" s="1"/>
  <c r="Q7" i="3" s="1"/>
  <c r="X42" i="3"/>
  <c r="AH43" i="3"/>
  <c r="AG43" i="3"/>
  <c r="F9" i="3" s="1"/>
  <c r="L9" i="3" s="1"/>
  <c r="R9" i="3" s="1"/>
  <c r="AH26" i="3"/>
  <c r="AG26" i="3"/>
  <c r="E14" i="3" s="1"/>
  <c r="K14" i="3" s="1"/>
  <c r="Q14" i="3" s="1"/>
  <c r="X30" i="3"/>
  <c r="W30" i="3"/>
  <c r="G12" i="3" s="1"/>
  <c r="M12" i="3" s="1"/>
  <c r="S12" i="3" s="1"/>
  <c r="X43" i="3"/>
  <c r="W43" i="3"/>
  <c r="F7" i="3" s="1"/>
  <c r="L7" i="3" s="1"/>
  <c r="R7" i="3" s="1"/>
  <c r="W26" i="3"/>
  <c r="E12" i="3" s="1"/>
  <c r="K12" i="3" s="1"/>
  <c r="Q12" i="3" s="1"/>
  <c r="X26" i="3"/>
  <c r="X46" i="3"/>
  <c r="W46" i="3"/>
  <c r="G7" i="3" s="1"/>
  <c r="M7" i="3" s="1"/>
  <c r="S7" i="3" s="1"/>
  <c r="AG40" i="3"/>
  <c r="AH40" i="3"/>
  <c r="AH27" i="3"/>
  <c r="AG27" i="3"/>
  <c r="F14" i="3" s="1"/>
  <c r="L14" i="3" s="1"/>
  <c r="R14" i="3" s="1"/>
  <c r="X28" i="3"/>
  <c r="W28" i="3"/>
  <c r="S10" i="3" s="1"/>
  <c r="W44" i="3"/>
  <c r="M5" i="3" s="1"/>
  <c r="S5" i="3" s="1"/>
  <c r="X44" i="3"/>
  <c r="X45" i="3"/>
  <c r="W45" i="3"/>
  <c r="N5" i="3" s="1"/>
  <c r="T5" i="3" s="1"/>
  <c r="AH44" i="3"/>
  <c r="AG44" i="3"/>
  <c r="AH39" i="3"/>
  <c r="AG39" i="3"/>
  <c r="AH41" i="3"/>
  <c r="AG41" i="3"/>
  <c r="AH24" i="3"/>
  <c r="AG24" i="3"/>
  <c r="X24" i="3"/>
  <c r="W24" i="3"/>
  <c r="K10" i="3" s="1"/>
  <c r="Q10" i="3" s="1"/>
  <c r="X47" i="3"/>
  <c r="W47" i="3"/>
  <c r="H7" i="3" s="1"/>
  <c r="N7" i="3" s="1"/>
  <c r="T7" i="3" s="1"/>
  <c r="X41" i="3"/>
  <c r="W41" i="3"/>
  <c r="R5" i="3" s="1"/>
  <c r="AH28" i="3"/>
  <c r="AG28" i="3"/>
  <c r="AH42" i="3"/>
  <c r="AG42" i="3"/>
  <c r="E9" i="3" s="1"/>
  <c r="K9" i="3" s="1"/>
  <c r="Q9" i="3" s="1"/>
  <c r="AH46" i="3"/>
  <c r="AG46" i="3"/>
  <c r="G9" i="3" s="1"/>
  <c r="M9" i="3" s="1"/>
  <c r="S9" i="3" s="1"/>
  <c r="AH29" i="3"/>
  <c r="AG29" i="3"/>
  <c r="X29" i="3"/>
  <c r="W29" i="3"/>
  <c r="W40" i="3"/>
  <c r="X40" i="3"/>
  <c r="AH47" i="3"/>
  <c r="AG47" i="3"/>
  <c r="H9" i="3" s="1"/>
  <c r="N9" i="3" s="1"/>
  <c r="T9" i="3" s="1"/>
  <c r="AG25" i="3"/>
  <c r="AH25" i="3"/>
  <c r="X25" i="3"/>
  <c r="W25" i="3"/>
  <c r="L10" i="3" s="1"/>
  <c r="R10" i="3" s="1"/>
  <c r="X39" i="3"/>
  <c r="W39" i="3"/>
  <c r="AH23" i="3"/>
  <c r="AG23" i="3"/>
  <c r="R71" i="4"/>
  <c r="S50" i="1"/>
  <c r="S58" i="1"/>
  <c r="V57" i="4" l="1"/>
  <c r="K68" i="4" s="1"/>
  <c r="T53" i="4"/>
  <c r="U53" i="4" s="1"/>
  <c r="AF84" i="4" s="1"/>
  <c r="Q94" i="4"/>
  <c r="R94" i="4" s="1"/>
  <c r="R72" i="4"/>
  <c r="Q92" i="4"/>
  <c r="S92" i="4" s="1"/>
  <c r="V90" i="4"/>
  <c r="X90" i="4" s="1"/>
  <c r="Q90" i="4"/>
  <c r="S90" i="4" s="1"/>
  <c r="V93" i="4"/>
  <c r="X93" i="4" s="1"/>
  <c r="V87" i="4"/>
  <c r="W87" i="4" s="1"/>
  <c r="V89" i="4"/>
  <c r="X89" i="4" s="1"/>
  <c r="Q88" i="4"/>
  <c r="R88" i="4" s="1"/>
  <c r="V91" i="4"/>
  <c r="X91" i="4" s="1"/>
  <c r="V94" i="4"/>
  <c r="X94" i="4" s="1"/>
  <c r="R75" i="4"/>
  <c r="Q95" i="4"/>
  <c r="S95" i="4" s="1"/>
  <c r="V92" i="4"/>
  <c r="X92" i="4" s="1"/>
  <c r="V95" i="4"/>
  <c r="X95" i="4" s="1"/>
  <c r="Q93" i="4"/>
  <c r="S93" i="4" s="1"/>
  <c r="Q87" i="4"/>
  <c r="S87" i="4" s="1"/>
  <c r="Q89" i="4"/>
  <c r="S89" i="4" s="1"/>
  <c r="R76" i="4"/>
  <c r="S73" i="4"/>
  <c r="R91" i="4"/>
  <c r="S91" i="4"/>
  <c r="AH76" i="4"/>
  <c r="AG76" i="4"/>
  <c r="X78" i="4"/>
  <c r="W78" i="4"/>
  <c r="AH74" i="4"/>
  <c r="AG74" i="4"/>
  <c r="AC73" i="4"/>
  <c r="AB73" i="4"/>
  <c r="X72" i="4"/>
  <c r="W72" i="4"/>
  <c r="AH72" i="4"/>
  <c r="AG72" i="4"/>
  <c r="X71" i="4"/>
  <c r="W71" i="4"/>
  <c r="S77" i="4"/>
  <c r="X75" i="4"/>
  <c r="W75" i="4"/>
  <c r="AG75" i="4"/>
  <c r="AH75" i="4"/>
  <c r="X76" i="4"/>
  <c r="W76" i="4"/>
  <c r="AB78" i="4"/>
  <c r="AC78" i="4"/>
  <c r="AC75" i="4"/>
  <c r="AB75" i="4"/>
  <c r="V53" i="4"/>
  <c r="AE84" i="4" s="1"/>
  <c r="AC77" i="4"/>
  <c r="AB77" i="4"/>
  <c r="AH77" i="4"/>
  <c r="AG77" i="4"/>
  <c r="X74" i="4"/>
  <c r="W74" i="4"/>
  <c r="S74" i="4"/>
  <c r="R74" i="4"/>
  <c r="AC76" i="4"/>
  <c r="AB76" i="4"/>
  <c r="AG71" i="4"/>
  <c r="AH71" i="4"/>
  <c r="AC71" i="4"/>
  <c r="AB71" i="4"/>
  <c r="S78" i="4"/>
  <c r="X73" i="4"/>
  <c r="W73" i="4"/>
  <c r="AH73" i="4"/>
  <c r="AG73" i="4"/>
  <c r="AG78" i="4"/>
  <c r="AH78" i="4"/>
  <c r="V52" i="4"/>
  <c r="Z84" i="4" s="1"/>
  <c r="AA84" i="4"/>
  <c r="X88" i="4"/>
  <c r="W88" i="4"/>
  <c r="AB74" i="4"/>
  <c r="AC74" i="4"/>
  <c r="AC72" i="4"/>
  <c r="AB72" i="4"/>
  <c r="X77" i="4"/>
  <c r="W77" i="4"/>
  <c r="P11" i="1"/>
  <c r="R4" i="1"/>
  <c r="S4" i="1"/>
  <c r="T4" i="1"/>
  <c r="U4" i="1"/>
  <c r="Q4" i="1"/>
  <c r="G159" i="1"/>
  <c r="D159" i="1"/>
  <c r="H156" i="1"/>
  <c r="G156" i="1"/>
  <c r="E156" i="1"/>
  <c r="D156" i="1"/>
  <c r="C156" i="1"/>
  <c r="B156" i="1"/>
  <c r="G139" i="1"/>
  <c r="D139" i="1"/>
  <c r="C139" i="1"/>
  <c r="G138" i="1"/>
  <c r="D138" i="1"/>
  <c r="C138" i="1"/>
  <c r="M124" i="1"/>
  <c r="C118" i="1"/>
  <c r="F100" i="1"/>
  <c r="D100" i="1"/>
  <c r="C100" i="1"/>
  <c r="C30" i="1"/>
  <c r="C28" i="1"/>
  <c r="C26" i="1"/>
  <c r="C23" i="1"/>
  <c r="C21" i="1"/>
  <c r="H21" i="1" s="1"/>
  <c r="C19" i="1"/>
  <c r="C17" i="1"/>
  <c r="H17" i="1" s="1"/>
  <c r="L77" i="4" l="1"/>
  <c r="L72" i="4"/>
  <c r="L78" i="4"/>
  <c r="L73" i="4"/>
  <c r="L74" i="4"/>
  <c r="L71" i="4"/>
  <c r="N71" i="4" s="1"/>
  <c r="L75" i="4"/>
  <c r="L76" i="4"/>
  <c r="S94" i="4"/>
  <c r="W89" i="4"/>
  <c r="W90" i="4"/>
  <c r="R92" i="4"/>
  <c r="W93" i="4"/>
  <c r="R90" i="4"/>
  <c r="X87" i="4"/>
  <c r="S88" i="4"/>
  <c r="R87" i="4"/>
  <c r="W94" i="4"/>
  <c r="R93" i="4"/>
  <c r="W95" i="4"/>
  <c r="W91" i="4"/>
  <c r="R95" i="4"/>
  <c r="W92" i="4"/>
  <c r="R89" i="4"/>
  <c r="AF94" i="4"/>
  <c r="AF89" i="4"/>
  <c r="AF88" i="4"/>
  <c r="AF92" i="4"/>
  <c r="AF93" i="4"/>
  <c r="AF90" i="4"/>
  <c r="AF91" i="4"/>
  <c r="AF95" i="4"/>
  <c r="AF87" i="4"/>
  <c r="AA90" i="4"/>
  <c r="AA88" i="4"/>
  <c r="AA94" i="4"/>
  <c r="AA89" i="4"/>
  <c r="AA93" i="4"/>
  <c r="AA91" i="4"/>
  <c r="AA87" i="4"/>
  <c r="AA95" i="4"/>
  <c r="AA92" i="4"/>
  <c r="G26" i="1"/>
  <c r="D26" i="1"/>
  <c r="E28" i="1"/>
  <c r="G28" i="1"/>
  <c r="F28" i="1"/>
  <c r="D28" i="1"/>
  <c r="E21" i="1"/>
  <c r="H19" i="1"/>
  <c r="G19" i="1"/>
  <c r="F19" i="1"/>
  <c r="E19" i="1"/>
  <c r="E30" i="1"/>
  <c r="D30" i="1"/>
  <c r="G30" i="1"/>
  <c r="F30" i="1"/>
  <c r="F26" i="1"/>
  <c r="E26" i="1"/>
  <c r="C27" i="1"/>
  <c r="C18" i="1"/>
  <c r="E17" i="1"/>
  <c r="G17" i="1"/>
  <c r="F17" i="1"/>
  <c r="C22" i="1"/>
  <c r="F21" i="1"/>
  <c r="G21" i="1"/>
  <c r="C171" i="1"/>
  <c r="C117" i="1"/>
  <c r="C123" i="1" s="1"/>
  <c r="D123" i="1" s="1"/>
  <c r="C170" i="1"/>
  <c r="C20" i="1"/>
  <c r="C29" i="1"/>
  <c r="C31" i="1"/>
  <c r="M71" i="4" l="1"/>
  <c r="M74" i="4"/>
  <c r="N74" i="4"/>
  <c r="M76" i="4"/>
  <c r="N76" i="4"/>
  <c r="N75" i="4"/>
  <c r="M75" i="4"/>
  <c r="N73" i="4"/>
  <c r="M73" i="4"/>
  <c r="M78" i="4"/>
  <c r="N78" i="4"/>
  <c r="N72" i="4"/>
  <c r="M72" i="4"/>
  <c r="N77" i="4"/>
  <c r="M77" i="4"/>
  <c r="F18" i="1"/>
  <c r="H18" i="1"/>
  <c r="G18" i="1"/>
  <c r="E18" i="1"/>
  <c r="G27" i="1"/>
  <c r="E27" i="1"/>
  <c r="D27" i="1"/>
  <c r="F27" i="1"/>
  <c r="AH90" i="4"/>
  <c r="AG90" i="4"/>
  <c r="AH95" i="4"/>
  <c r="AG95" i="4"/>
  <c r="AH91" i="4"/>
  <c r="AG91" i="4"/>
  <c r="AH93" i="4"/>
  <c r="AG93" i="4"/>
  <c r="AG88" i="4"/>
  <c r="AH88" i="4"/>
  <c r="AC91" i="4"/>
  <c r="AB91" i="4"/>
  <c r="AC92" i="4"/>
  <c r="AB92" i="4"/>
  <c r="AC90" i="4"/>
  <c r="AB90" i="4"/>
  <c r="AG89" i="4"/>
  <c r="AH89" i="4"/>
  <c r="AC87" i="4"/>
  <c r="AB87" i="4"/>
  <c r="AB93" i="4"/>
  <c r="AC93" i="4"/>
  <c r="AB89" i="4"/>
  <c r="AC89" i="4"/>
  <c r="AC94" i="4"/>
  <c r="AB94" i="4"/>
  <c r="AG92" i="4"/>
  <c r="AH92" i="4"/>
  <c r="AC88" i="4"/>
  <c r="AB88" i="4"/>
  <c r="AC95" i="4"/>
  <c r="AB95" i="4"/>
  <c r="AG87" i="4"/>
  <c r="AH87" i="4"/>
  <c r="AH94" i="4"/>
  <c r="AG94" i="4"/>
  <c r="G29" i="1"/>
  <c r="F29" i="1"/>
  <c r="E29" i="1"/>
  <c r="D29" i="1"/>
  <c r="E20" i="1"/>
  <c r="H20" i="1"/>
  <c r="G20" i="1"/>
  <c r="F20" i="1"/>
  <c r="D31" i="1"/>
  <c r="E31" i="1"/>
  <c r="G31" i="1"/>
  <c r="F31" i="1"/>
  <c r="G22" i="1"/>
  <c r="G23" i="1" s="1"/>
  <c r="E22" i="1"/>
  <c r="E23" i="1" s="1"/>
  <c r="H22" i="1"/>
  <c r="H23" i="1" s="1"/>
  <c r="F22" i="1"/>
  <c r="F23" i="1" s="1"/>
  <c r="C178" i="1"/>
  <c r="D178" i="1" s="1"/>
  <c r="C131" i="1"/>
  <c r="D131" i="1" s="1"/>
  <c r="C124" i="1"/>
  <c r="D124" i="1" s="1"/>
  <c r="C127" i="1"/>
  <c r="D127" i="1" s="1"/>
  <c r="C181" i="1"/>
  <c r="D181" i="1" s="1"/>
  <c r="C130" i="1"/>
  <c r="D130" i="1" s="1"/>
  <c r="C184" i="1"/>
  <c r="D184" i="1" s="1"/>
  <c r="C125" i="1"/>
  <c r="D125" i="1" s="1"/>
  <c r="C122" i="1"/>
  <c r="D122" i="1" s="1"/>
  <c r="C129" i="1"/>
  <c r="D129" i="1" s="1"/>
  <c r="C182" i="1"/>
  <c r="D182" i="1" s="1"/>
  <c r="C132" i="1"/>
  <c r="D132" i="1" s="1"/>
  <c r="C126" i="1"/>
  <c r="D126" i="1" s="1"/>
  <c r="C185" i="1"/>
  <c r="D185" i="1" s="1"/>
  <c r="C183" i="1"/>
  <c r="D183" i="1" s="1"/>
  <c r="C128" i="1"/>
  <c r="D128" i="1" s="1"/>
  <c r="C180" i="1"/>
  <c r="D180" i="1" s="1"/>
  <c r="C176" i="1"/>
  <c r="D176" i="1" s="1"/>
  <c r="C177" i="1"/>
  <c r="D177" i="1" s="1"/>
  <c r="C175" i="1"/>
  <c r="D175" i="1" s="1"/>
  <c r="C179" i="1"/>
  <c r="D179" i="1" s="1"/>
  <c r="I6" i="1" l="1"/>
  <c r="F6" i="1"/>
  <c r="E11" i="1"/>
  <c r="E10" i="1" s="1"/>
  <c r="K10" i="1" s="1"/>
  <c r="G6" i="1"/>
  <c r="H6" i="1"/>
  <c r="H5" i="1" s="1"/>
  <c r="N5" i="1" s="1"/>
  <c r="F11" i="1"/>
  <c r="G11" i="1"/>
  <c r="H11" i="1"/>
  <c r="H10" i="1" s="1"/>
  <c r="N10" i="1" s="1"/>
  <c r="T5" i="1" l="1"/>
  <c r="I49" i="1"/>
  <c r="M49" i="1" s="1"/>
  <c r="Q10" i="1"/>
  <c r="G57" i="1"/>
  <c r="K57" i="1" s="1"/>
  <c r="T10" i="1"/>
  <c r="J57" i="1"/>
  <c r="N57" i="1" s="1"/>
  <c r="L6" i="1"/>
  <c r="G50" i="1" s="1"/>
  <c r="F7" i="1"/>
  <c r="F5" i="1"/>
  <c r="L5" i="1" s="1"/>
  <c r="G12" i="1"/>
  <c r="G13" i="1" s="1"/>
  <c r="G14" i="1" s="1"/>
  <c r="G10" i="1"/>
  <c r="M10" i="1" s="1"/>
  <c r="F12" i="1"/>
  <c r="F13" i="1" s="1"/>
  <c r="F14" i="1" s="1"/>
  <c r="F10" i="1"/>
  <c r="L10" i="1" s="1"/>
  <c r="G7" i="1"/>
  <c r="G8" i="1" s="1"/>
  <c r="G9" i="1" s="1"/>
  <c r="M9" i="1" s="1"/>
  <c r="G5" i="1"/>
  <c r="M5" i="1" s="1"/>
  <c r="I7" i="1"/>
  <c r="I8" i="1" s="1"/>
  <c r="I9" i="1" s="1"/>
  <c r="I5" i="1"/>
  <c r="O5" i="1" s="1"/>
  <c r="K11" i="1"/>
  <c r="G58" i="1" s="1"/>
  <c r="O6" i="1"/>
  <c r="F8" i="1"/>
  <c r="F9" i="1"/>
  <c r="H7" i="1"/>
  <c r="N6" i="1"/>
  <c r="M6" i="1"/>
  <c r="H50" i="1" s="1"/>
  <c r="H14" i="1"/>
  <c r="N11" i="1"/>
  <c r="H12" i="1"/>
  <c r="N12" i="1" s="1"/>
  <c r="H13" i="1"/>
  <c r="N13" i="1" s="1"/>
  <c r="E12" i="1"/>
  <c r="E14" i="1"/>
  <c r="E13" i="1"/>
  <c r="M11" i="1"/>
  <c r="L11" i="1"/>
  <c r="M12" i="1" l="1"/>
  <c r="I59" i="1" s="1"/>
  <c r="M59" i="1" s="1"/>
  <c r="S5" i="1"/>
  <c r="H49" i="1"/>
  <c r="L49" i="1" s="1"/>
  <c r="R10" i="1"/>
  <c r="H57" i="1"/>
  <c r="L57" i="1" s="1"/>
  <c r="T57" i="1" s="1"/>
  <c r="U57" i="1" s="1"/>
  <c r="S10" i="1"/>
  <c r="I57" i="1"/>
  <c r="M57" i="1" s="1"/>
  <c r="O7" i="1"/>
  <c r="U7" i="1" s="1"/>
  <c r="U5" i="1"/>
  <c r="J49" i="1"/>
  <c r="N49" i="1" s="1"/>
  <c r="R5" i="1"/>
  <c r="G49" i="1"/>
  <c r="K49" i="1" s="1"/>
  <c r="M13" i="1"/>
  <c r="I60" i="1" s="1"/>
  <c r="M60" i="1" s="1"/>
  <c r="M8" i="1"/>
  <c r="H52" i="1" s="1"/>
  <c r="L52" i="1" s="1"/>
  <c r="M7" i="1"/>
  <c r="S7" i="1" s="1"/>
  <c r="L12" i="1"/>
  <c r="H59" i="1" s="1"/>
  <c r="L59" i="1" s="1"/>
  <c r="L13" i="1"/>
  <c r="H60" i="1" s="1"/>
  <c r="L60" i="1" s="1"/>
  <c r="Q11" i="1"/>
  <c r="M14" i="1"/>
  <c r="S14" i="1" s="1"/>
  <c r="N14" i="1"/>
  <c r="J61" i="1" s="1"/>
  <c r="N61" i="1" s="1"/>
  <c r="L14" i="1"/>
  <c r="H61" i="1" s="1"/>
  <c r="L61" i="1" s="1"/>
  <c r="K13" i="1"/>
  <c r="G60" i="1" s="1"/>
  <c r="K60" i="1" s="1"/>
  <c r="L7" i="1"/>
  <c r="G51" i="1" s="1"/>
  <c r="K51" i="1" s="1"/>
  <c r="K14" i="1"/>
  <c r="Q14" i="1" s="1"/>
  <c r="L8" i="1"/>
  <c r="G52" i="1" s="1"/>
  <c r="K52" i="1" s="1"/>
  <c r="L9" i="1"/>
  <c r="G53" i="1" s="1"/>
  <c r="K53" i="1" s="1"/>
  <c r="K12" i="1"/>
  <c r="G59" i="1" s="1"/>
  <c r="K59" i="1" s="1"/>
  <c r="S9" i="1"/>
  <c r="H53" i="1"/>
  <c r="L53" i="1" s="1"/>
  <c r="T13" i="1"/>
  <c r="J60" i="1"/>
  <c r="N60" i="1" s="1"/>
  <c r="T12" i="1"/>
  <c r="J59" i="1"/>
  <c r="N59" i="1" s="1"/>
  <c r="O8" i="1"/>
  <c r="J52" i="1" s="1"/>
  <c r="N7" i="1"/>
  <c r="H8" i="1"/>
  <c r="K58" i="1"/>
  <c r="T11" i="1"/>
  <c r="J58" i="1"/>
  <c r="N58" i="1" s="1"/>
  <c r="R6" i="1"/>
  <c r="K50" i="1"/>
  <c r="T6" i="1"/>
  <c r="I50" i="1"/>
  <c r="M50" i="1" s="1"/>
  <c r="U6" i="1"/>
  <c r="J50" i="1"/>
  <c r="N50" i="1" s="1"/>
  <c r="S6" i="1"/>
  <c r="L50" i="1"/>
  <c r="R11" i="1"/>
  <c r="H58" i="1"/>
  <c r="L58" i="1" s="1"/>
  <c r="S11" i="1"/>
  <c r="I58" i="1"/>
  <c r="M58" i="1" s="1"/>
  <c r="T49" i="1" l="1"/>
  <c r="U49" i="1" s="1"/>
  <c r="L84" i="1" s="1"/>
  <c r="R13" i="1"/>
  <c r="S12" i="1"/>
  <c r="S8" i="1"/>
  <c r="R12" i="1"/>
  <c r="J51" i="1"/>
  <c r="N51" i="1" s="1"/>
  <c r="V57" i="1"/>
  <c r="K68" i="1" s="1"/>
  <c r="L68" i="1"/>
  <c r="S13" i="1"/>
  <c r="H51" i="1"/>
  <c r="L51" i="1" s="1"/>
  <c r="I61" i="1"/>
  <c r="M61" i="1" s="1"/>
  <c r="R14" i="1"/>
  <c r="T14" i="1"/>
  <c r="R7" i="1"/>
  <c r="G61" i="1"/>
  <c r="K61" i="1" s="1"/>
  <c r="Q12" i="1"/>
  <c r="R8" i="1"/>
  <c r="Q13" i="1"/>
  <c r="O9" i="1"/>
  <c r="J53" i="1" s="1"/>
  <c r="N53" i="1" s="1"/>
  <c r="R9" i="1"/>
  <c r="T59" i="1"/>
  <c r="U59" i="1" s="1"/>
  <c r="V68" i="1" s="1"/>
  <c r="U8" i="1"/>
  <c r="N52" i="1"/>
  <c r="T7" i="1"/>
  <c r="I51" i="1"/>
  <c r="M51" i="1" s="1"/>
  <c r="T60" i="1"/>
  <c r="U60" i="1" s="1"/>
  <c r="AA68" i="1" s="1"/>
  <c r="N8" i="1"/>
  <c r="H9" i="1"/>
  <c r="T58" i="1"/>
  <c r="U58" i="1" s="1"/>
  <c r="Q68" i="1" s="1"/>
  <c r="T50" i="1"/>
  <c r="U50" i="1" s="1"/>
  <c r="Q84" i="1" s="1"/>
  <c r="L71" i="1" l="1"/>
  <c r="T51" i="1"/>
  <c r="U51" i="1" s="1"/>
  <c r="V84" i="1" s="1"/>
  <c r="V49" i="1"/>
  <c r="K84" i="1" s="1"/>
  <c r="L75" i="1"/>
  <c r="L76" i="1"/>
  <c r="L73" i="1"/>
  <c r="L72" i="1"/>
  <c r="L78" i="1"/>
  <c r="L77" i="1"/>
  <c r="L74" i="1"/>
  <c r="T61" i="1"/>
  <c r="U61" i="1" s="1"/>
  <c r="AF68" i="1" s="1"/>
  <c r="U9" i="1"/>
  <c r="N9" i="1"/>
  <c r="I53" i="1" s="1"/>
  <c r="M53" i="1" s="1"/>
  <c r="T53" i="1" s="1"/>
  <c r="U53" i="1" s="1"/>
  <c r="V60" i="1"/>
  <c r="Z68" i="1" s="1"/>
  <c r="T8" i="1"/>
  <c r="I52" i="1"/>
  <c r="M52" i="1" s="1"/>
  <c r="T52" i="1" s="1"/>
  <c r="U52" i="1" s="1"/>
  <c r="V59" i="1"/>
  <c r="U68" i="1" s="1"/>
  <c r="V50" i="1"/>
  <c r="P84" i="1" s="1"/>
  <c r="V58" i="1"/>
  <c r="P68" i="1" s="1"/>
  <c r="N77" i="1" l="1"/>
  <c r="M77" i="1"/>
  <c r="M78" i="1"/>
  <c r="N78" i="1"/>
  <c r="N73" i="1"/>
  <c r="M73" i="1"/>
  <c r="M72" i="1"/>
  <c r="N72" i="1"/>
  <c r="N76" i="1"/>
  <c r="M76" i="1"/>
  <c r="N75" i="1"/>
  <c r="M75" i="1"/>
  <c r="M74" i="1"/>
  <c r="N74" i="1"/>
  <c r="L90" i="1"/>
  <c r="L93" i="1"/>
  <c r="L89" i="1"/>
  <c r="L91" i="1"/>
  <c r="L92" i="1"/>
  <c r="L87" i="1"/>
  <c r="L95" i="1"/>
  <c r="L88" i="1"/>
  <c r="L94" i="1"/>
  <c r="M71" i="1"/>
  <c r="N71" i="1"/>
  <c r="T9" i="1"/>
  <c r="V61" i="1"/>
  <c r="AE68" i="1" s="1"/>
  <c r="AF74" i="1" s="1"/>
  <c r="V52" i="1"/>
  <c r="Z84" i="1" s="1"/>
  <c r="AA84" i="1"/>
  <c r="V51" i="1"/>
  <c r="U84" i="1" s="1"/>
  <c r="V53" i="1"/>
  <c r="AE84" i="1" s="1"/>
  <c r="AF84" i="1"/>
  <c r="AA77" i="1"/>
  <c r="AA73" i="1"/>
  <c r="AA78" i="1"/>
  <c r="AA76" i="1"/>
  <c r="AA71" i="1"/>
  <c r="AA75" i="1"/>
  <c r="AA74" i="1"/>
  <c r="AA72" i="1"/>
  <c r="V71" i="1"/>
  <c r="V75" i="1"/>
  <c r="V73" i="1"/>
  <c r="V77" i="1"/>
  <c r="V76" i="1"/>
  <c r="V72" i="1"/>
  <c r="V78" i="1"/>
  <c r="V74" i="1"/>
  <c r="Q71" i="1"/>
  <c r="Q90" i="1"/>
  <c r="Q91" i="1"/>
  <c r="Q93" i="1"/>
  <c r="Q94" i="1"/>
  <c r="Q95" i="1"/>
  <c r="Q92" i="1"/>
  <c r="Q88" i="1"/>
  <c r="Q87" i="1"/>
  <c r="Q89" i="1"/>
  <c r="N93" i="1" l="1"/>
  <c r="M93" i="1"/>
  <c r="N94" i="1"/>
  <c r="M94" i="1"/>
  <c r="N90" i="1"/>
  <c r="M90" i="1"/>
  <c r="M95" i="1"/>
  <c r="N95" i="1"/>
  <c r="M87" i="1"/>
  <c r="N87" i="1"/>
  <c r="N92" i="1"/>
  <c r="M92" i="1"/>
  <c r="N91" i="1"/>
  <c r="M91" i="1"/>
  <c r="N88" i="1"/>
  <c r="M88" i="1"/>
  <c r="N89" i="1"/>
  <c r="M89" i="1"/>
  <c r="AF75" i="1"/>
  <c r="AH75" i="1" s="1"/>
  <c r="AF76" i="1"/>
  <c r="AG76" i="1" s="1"/>
  <c r="AF77" i="1"/>
  <c r="AG77" i="1" s="1"/>
  <c r="AF72" i="1"/>
  <c r="AH72" i="1" s="1"/>
  <c r="AF73" i="1"/>
  <c r="AG73" i="1" s="1"/>
  <c r="AF71" i="1"/>
  <c r="AH71" i="1" s="1"/>
  <c r="AF78" i="1"/>
  <c r="AH78" i="1" s="1"/>
  <c r="W75" i="1"/>
  <c r="X75" i="1"/>
  <c r="AC77" i="1"/>
  <c r="AB77" i="1"/>
  <c r="AH74" i="1"/>
  <c r="AG74" i="1"/>
  <c r="AC73" i="1"/>
  <c r="AB73" i="1"/>
  <c r="W78" i="1"/>
  <c r="X78" i="1"/>
  <c r="AB74" i="1"/>
  <c r="AC74" i="1"/>
  <c r="AF94" i="1"/>
  <c r="AF95" i="1"/>
  <c r="AF89" i="1"/>
  <c r="AF90" i="1"/>
  <c r="AF93" i="1"/>
  <c r="AF88" i="1"/>
  <c r="AF87" i="1"/>
  <c r="AF92" i="1"/>
  <c r="AF91" i="1"/>
  <c r="X71" i="1"/>
  <c r="W71" i="1"/>
  <c r="AC72" i="1"/>
  <c r="AB72" i="1"/>
  <c r="V93" i="1"/>
  <c r="V89" i="1"/>
  <c r="V92" i="1"/>
  <c r="V91" i="1"/>
  <c r="V87" i="1"/>
  <c r="V90" i="1"/>
  <c r="V94" i="1"/>
  <c r="V95" i="1"/>
  <c r="V88" i="1"/>
  <c r="AB71" i="1"/>
  <c r="AC71" i="1"/>
  <c r="W77" i="1"/>
  <c r="X77" i="1"/>
  <c r="AC76" i="1"/>
  <c r="AB76" i="1"/>
  <c r="X74" i="1"/>
  <c r="W74" i="1"/>
  <c r="X72" i="1"/>
  <c r="W72" i="1"/>
  <c r="AC75" i="1"/>
  <c r="AB75" i="1"/>
  <c r="X76" i="1"/>
  <c r="W76" i="1"/>
  <c r="X73" i="1"/>
  <c r="W73" i="1"/>
  <c r="AB78" i="1"/>
  <c r="AC78" i="1"/>
  <c r="AA93" i="1"/>
  <c r="AA92" i="1"/>
  <c r="AA88" i="1"/>
  <c r="AA87" i="1"/>
  <c r="AA91" i="1"/>
  <c r="AA90" i="1"/>
  <c r="AA89" i="1"/>
  <c r="AA95" i="1"/>
  <c r="AA94" i="1"/>
  <c r="S71" i="1"/>
  <c r="R71" i="1"/>
  <c r="Q73" i="1"/>
  <c r="S73" i="1" s="1"/>
  <c r="Q75" i="1"/>
  <c r="R75" i="1" s="1"/>
  <c r="Q72" i="1"/>
  <c r="S72" i="1" s="1"/>
  <c r="Q74" i="1"/>
  <c r="S74" i="1" s="1"/>
  <c r="Q78" i="1"/>
  <c r="S78" i="1" s="1"/>
  <c r="Q76" i="1"/>
  <c r="S76" i="1" s="1"/>
  <c r="Q77" i="1"/>
  <c r="R77" i="1" s="1"/>
  <c r="R87" i="1"/>
  <c r="S87" i="1"/>
  <c r="R88" i="1"/>
  <c r="S88" i="1"/>
  <c r="R92" i="1"/>
  <c r="S92" i="1"/>
  <c r="R94" i="1"/>
  <c r="S94" i="1"/>
  <c r="R93" i="1"/>
  <c r="S93" i="1"/>
  <c r="R95" i="1"/>
  <c r="S95" i="1"/>
  <c r="R91" i="1"/>
  <c r="S91" i="1"/>
  <c r="R89" i="1"/>
  <c r="S89" i="1"/>
  <c r="R90" i="1"/>
  <c r="S90" i="1"/>
  <c r="AH76" i="1" l="1"/>
  <c r="AH77" i="1"/>
  <c r="AH73" i="1"/>
  <c r="AG75" i="1"/>
  <c r="AG71" i="1"/>
  <c r="AG72" i="1"/>
  <c r="AG78" i="1"/>
  <c r="W87" i="1"/>
  <c r="X87" i="1"/>
  <c r="AB91" i="1"/>
  <c r="AC91" i="1"/>
  <c r="X91" i="1"/>
  <c r="W91" i="1"/>
  <c r="AH93" i="1"/>
  <c r="AG93" i="1"/>
  <c r="AC87" i="1"/>
  <c r="AB87" i="1"/>
  <c r="W92" i="1"/>
  <c r="X92" i="1"/>
  <c r="AG90" i="1"/>
  <c r="AH90" i="1"/>
  <c r="AH88" i="1"/>
  <c r="AG88" i="1"/>
  <c r="AC88" i="1"/>
  <c r="AB88" i="1"/>
  <c r="X89" i="1"/>
  <c r="W89" i="1"/>
  <c r="AH89" i="1"/>
  <c r="AG89" i="1"/>
  <c r="X88" i="1"/>
  <c r="W88" i="1"/>
  <c r="X93" i="1"/>
  <c r="W93" i="1"/>
  <c r="AH95" i="1"/>
  <c r="AG95" i="1"/>
  <c r="AC92" i="1"/>
  <c r="AB92" i="1"/>
  <c r="AC94" i="1"/>
  <c r="AB94" i="1"/>
  <c r="AB93" i="1"/>
  <c r="AC93" i="1"/>
  <c r="X95" i="1"/>
  <c r="W95" i="1"/>
  <c r="AH91" i="1"/>
  <c r="AG91" i="1"/>
  <c r="AH94" i="1"/>
  <c r="AG94" i="1"/>
  <c r="AC90" i="1"/>
  <c r="AB90" i="1"/>
  <c r="X94" i="1"/>
  <c r="W94" i="1"/>
  <c r="AG92" i="1"/>
  <c r="AH92" i="1"/>
  <c r="AC95" i="1"/>
  <c r="AB95" i="1"/>
  <c r="AB89" i="1"/>
  <c r="AC89" i="1"/>
  <c r="X90" i="1"/>
  <c r="W90" i="1"/>
  <c r="AH87" i="1"/>
  <c r="AG87" i="1"/>
  <c r="R73" i="1"/>
  <c r="R74" i="1"/>
  <c r="S77" i="1"/>
  <c r="R78" i="1"/>
  <c r="R76" i="1"/>
  <c r="R72" i="1"/>
  <c r="S75" i="1"/>
  <c r="D19" i="6"/>
  <c r="R50" i="6" s="1"/>
  <c r="E19" i="6" l="1"/>
  <c r="D25" i="6"/>
  <c r="E25" i="6" s="1"/>
  <c r="D21" i="6"/>
  <c r="D11" i="6" s="1"/>
  <c r="D24" i="6"/>
  <c r="R54" i="6" s="1"/>
  <c r="F11" i="6" s="1"/>
  <c r="L11" i="6" s="1"/>
  <c r="D22" i="6"/>
  <c r="R52" i="6" s="1"/>
  <c r="D23" i="6"/>
  <c r="R53" i="6" s="1"/>
  <c r="D26" i="6"/>
  <c r="D20" i="6"/>
  <c r="R51" i="6" s="1"/>
  <c r="D27" i="6"/>
  <c r="E11" i="6" l="1"/>
  <c r="K11" i="6" s="1"/>
  <c r="Q11" i="6" s="1"/>
  <c r="F25" i="6"/>
  <c r="F19" i="6"/>
  <c r="J11" i="6"/>
  <c r="P11" i="6" s="1"/>
  <c r="R11" i="6"/>
  <c r="E20" i="6"/>
  <c r="R55" i="6"/>
  <c r="E21" i="6"/>
  <c r="F21" i="6" s="1"/>
  <c r="E27" i="6"/>
  <c r="R57" i="6"/>
  <c r="E26" i="6"/>
  <c r="R56" i="6"/>
  <c r="E23" i="6"/>
  <c r="E24" i="6"/>
  <c r="E22" i="6"/>
  <c r="F24" i="6" l="1"/>
  <c r="F23" i="6"/>
  <c r="F26" i="6"/>
  <c r="F20" i="6"/>
  <c r="F27" i="6"/>
  <c r="F22" i="6"/>
  <c r="G11" i="6"/>
  <c r="I19" i="6" l="1"/>
  <c r="M11" i="6"/>
  <c r="S11" i="6" s="1"/>
  <c r="I20" i="6"/>
  <c r="I24" i="6" s="1"/>
  <c r="J19" i="6"/>
  <c r="J20" i="6" l="1"/>
  <c r="I22" i="6"/>
  <c r="J22" i="6" s="1"/>
  <c r="I21" i="6"/>
  <c r="J21" i="6" s="1"/>
  <c r="I23" i="6"/>
  <c r="J23" i="6" s="1"/>
  <c r="I25" i="6"/>
  <c r="J24" i="6"/>
  <c r="I26" i="6" l="1"/>
  <c r="J25" i="6"/>
  <c r="I27" i="6" l="1"/>
  <c r="J26" i="6"/>
  <c r="J27" i="6" l="1"/>
  <c r="J18" i="6" s="1"/>
  <c r="Q47" i="6" s="1"/>
  <c r="K18" i="6" l="1"/>
  <c r="P47" i="6" s="1"/>
  <c r="Q51" i="6" l="1"/>
  <c r="Q50" i="6"/>
  <c r="Q52" i="6"/>
  <c r="Q57" i="6"/>
  <c r="Q54" i="6"/>
  <c r="Q56" i="6"/>
  <c r="Q55" i="6"/>
  <c r="Q53" i="6"/>
  <c r="Q32" i="6"/>
  <c r="O39" i="6"/>
  <c r="AG56" i="6" s="1"/>
  <c r="O37" i="6"/>
  <c r="AG54" i="6" s="1"/>
  <c r="F14" i="6" s="1"/>
  <c r="Q35" i="6"/>
  <c r="O38" i="6"/>
  <c r="AG55" i="6" s="1"/>
  <c r="O34" i="6"/>
  <c r="D14" i="6" s="1"/>
  <c r="O36" i="6"/>
  <c r="AG53" i="6" s="1"/>
  <c r="E14" i="6" s="1"/>
  <c r="O33" i="6"/>
  <c r="O40" i="6"/>
  <c r="L52" i="6" l="1"/>
  <c r="N52" i="6" s="1"/>
  <c r="L57" i="6"/>
  <c r="N57" i="6" s="1"/>
  <c r="L53" i="6"/>
  <c r="N53" i="6" s="1"/>
  <c r="L56" i="6"/>
  <c r="N56" i="6" s="1"/>
  <c r="L55" i="6"/>
  <c r="N55" i="6" s="1"/>
  <c r="L51" i="6"/>
  <c r="N51" i="6" s="1"/>
  <c r="L50" i="6"/>
  <c r="N50" i="6" s="1"/>
  <c r="L54" i="6"/>
  <c r="N54" i="6" s="1"/>
  <c r="K14" i="6"/>
  <c r="Q14" i="6" s="1"/>
  <c r="J14" i="6"/>
  <c r="P14" i="6" s="1"/>
  <c r="L14" i="6"/>
  <c r="R14" i="6" s="1"/>
  <c r="P40" i="6"/>
  <c r="Q40" i="6" s="1"/>
  <c r="AG57" i="6"/>
  <c r="G14" i="6" s="1"/>
  <c r="S54" i="6"/>
  <c r="S57" i="6"/>
  <c r="S53" i="6"/>
  <c r="S51" i="6"/>
  <c r="S55" i="6"/>
  <c r="S56" i="6"/>
  <c r="S52" i="6"/>
  <c r="S50" i="6"/>
  <c r="P38" i="6"/>
  <c r="Q38" i="6" s="1"/>
  <c r="P33" i="6"/>
  <c r="Q33" i="6" s="1"/>
  <c r="AG51" i="6"/>
  <c r="P37" i="6"/>
  <c r="Q37" i="6" s="1"/>
  <c r="P34" i="6"/>
  <c r="Q34" i="6" s="1"/>
  <c r="P39" i="6"/>
  <c r="Q39" i="6" s="1"/>
  <c r="P36" i="6"/>
  <c r="Q36" i="6" s="1"/>
  <c r="M14" i="6" l="1"/>
  <c r="S14" i="6" s="1"/>
  <c r="T32" i="6"/>
  <c r="T33" i="6" s="1"/>
  <c r="U32" i="6" l="1"/>
  <c r="T35" i="6"/>
  <c r="U35" i="6" s="1"/>
  <c r="T34" i="6"/>
  <c r="U34" i="6" s="1"/>
  <c r="T36" i="6"/>
  <c r="U33" i="6"/>
  <c r="T37" i="6" l="1"/>
  <c r="U36" i="6"/>
  <c r="T38" i="6" l="1"/>
  <c r="U37" i="6"/>
  <c r="T39" i="6" l="1"/>
  <c r="U38" i="6"/>
  <c r="T40" i="6" l="1"/>
  <c r="U40" i="6" s="1"/>
  <c r="U39" i="6"/>
  <c r="U31" i="6" l="1"/>
  <c r="O19" i="6"/>
  <c r="O22" i="6"/>
  <c r="O27" i="6"/>
  <c r="W57" i="6" s="1"/>
  <c r="G12" i="6" s="1"/>
  <c r="O26" i="6"/>
  <c r="O21" i="6"/>
  <c r="D12" i="6" s="1"/>
  <c r="O25" i="6"/>
  <c r="W55" i="6" s="1"/>
  <c r="M10" i="6" s="1"/>
  <c r="S10" i="6" s="1"/>
  <c r="O20" i="6"/>
  <c r="W51" i="6" s="1"/>
  <c r="K10" i="6" s="1"/>
  <c r="Q10" i="6" s="1"/>
  <c r="O24" i="6"/>
  <c r="W54" i="6" s="1"/>
  <c r="F12" i="6" s="1"/>
  <c r="O23" i="6"/>
  <c r="W53" i="6" s="1"/>
  <c r="E12" i="6" s="1"/>
  <c r="J10" i="6" l="1"/>
  <c r="P10" i="6" s="1"/>
  <c r="K12" i="6"/>
  <c r="Q12" i="6" s="1"/>
  <c r="L12" i="6"/>
  <c r="R12" i="6" s="1"/>
  <c r="J12" i="6"/>
  <c r="P12" i="6" s="1"/>
  <c r="M12" i="6"/>
  <c r="S12" i="6" s="1"/>
  <c r="P19" i="6"/>
  <c r="Q19" i="6" s="1"/>
  <c r="W50" i="6"/>
  <c r="P26" i="6"/>
  <c r="Q26" i="6" s="1"/>
  <c r="W56" i="6"/>
  <c r="P22" i="6"/>
  <c r="Q22" i="6" s="1"/>
  <c r="W52" i="6"/>
  <c r="L10" i="6" s="1"/>
  <c r="R10" i="6" s="1"/>
  <c r="P27" i="6"/>
  <c r="Q27" i="6" s="1"/>
  <c r="P24" i="6"/>
  <c r="Q24" i="6" s="1"/>
  <c r="P20" i="6"/>
  <c r="Q20" i="6" s="1"/>
  <c r="P21" i="6"/>
  <c r="Q21" i="6" s="1"/>
  <c r="P25" i="6"/>
  <c r="Q25" i="6" s="1"/>
  <c r="P23" i="6"/>
  <c r="Q23" i="6" s="1"/>
  <c r="V31" i="6"/>
  <c r="AE47" i="6" s="1"/>
  <c r="AF47" i="6"/>
  <c r="T19" i="6" l="1"/>
  <c r="T20" i="6" s="1"/>
  <c r="AF54" i="6"/>
  <c r="AF51" i="6"/>
  <c r="AF55" i="6"/>
  <c r="AF50" i="6"/>
  <c r="AF52" i="6"/>
  <c r="AF56" i="6"/>
  <c r="AF57" i="6"/>
  <c r="AF53" i="6"/>
  <c r="AH54" i="6" l="1"/>
  <c r="AH50" i="6"/>
  <c r="AH52" i="6"/>
  <c r="AH57" i="6"/>
  <c r="AH56" i="6"/>
  <c r="AH55" i="6"/>
  <c r="AH51" i="6"/>
  <c r="AH53" i="6"/>
  <c r="U19" i="6"/>
  <c r="T23" i="6"/>
  <c r="T22" i="6"/>
  <c r="U22" i="6" s="1"/>
  <c r="T21" i="6"/>
  <c r="U21" i="6" s="1"/>
  <c r="U20" i="6"/>
  <c r="T24" i="6" l="1"/>
  <c r="U23" i="6"/>
  <c r="T25" i="6" l="1"/>
  <c r="U24" i="6"/>
  <c r="T26" i="6" l="1"/>
  <c r="U25" i="6"/>
  <c r="T27" i="6" l="1"/>
  <c r="U27" i="6" s="1"/>
  <c r="U26" i="6"/>
  <c r="U18" i="6" l="1"/>
  <c r="V47" i="6" s="1"/>
  <c r="V18" i="6" l="1"/>
  <c r="U47" i="6" s="1"/>
  <c r="V52" i="6" l="1"/>
  <c r="V53" i="6"/>
  <c r="V54" i="6"/>
  <c r="V57" i="6"/>
  <c r="V50" i="6"/>
  <c r="V55" i="6"/>
  <c r="V56" i="6"/>
  <c r="V51" i="6"/>
  <c r="X52" i="6" l="1"/>
  <c r="X56" i="6"/>
  <c r="X51" i="6"/>
  <c r="X50" i="6"/>
  <c r="X54" i="6"/>
  <c r="X55" i="6"/>
  <c r="X57" i="6"/>
  <c r="X53" i="6"/>
</calcChain>
</file>

<file path=xl/sharedStrings.xml><?xml version="1.0" encoding="utf-8"?>
<sst xmlns="http://schemas.openxmlformats.org/spreadsheetml/2006/main" count="1029" uniqueCount="114">
  <si>
    <t>Input</t>
  </si>
  <si>
    <t>Secant Friction Angle, φ' (degrees)</t>
  </si>
  <si>
    <t>Shear Stress, τ (kPa)</t>
  </si>
  <si>
    <t>Shear Stress, τ (psf)</t>
  </si>
  <si>
    <t>LL</t>
  </si>
  <si>
    <t>CF (%)</t>
  </si>
  <si>
    <t>PI</t>
  </si>
  <si>
    <r>
      <t>σ'</t>
    </r>
    <r>
      <rPr>
        <b/>
        <vertAlign val="subscript"/>
        <sz val="12"/>
        <color indexed="8"/>
        <rFont val="Calibri"/>
        <family val="2"/>
      </rPr>
      <t xml:space="preserve">n </t>
    </r>
    <r>
      <rPr>
        <b/>
        <sz val="12"/>
        <color indexed="8"/>
        <rFont val="Calibri"/>
        <family val="2"/>
      </rPr>
      <t xml:space="preserve">  (kPa/psf)</t>
    </r>
  </si>
  <si>
    <t>12/250</t>
  </si>
  <si>
    <t>50/1,044</t>
  </si>
  <si>
    <t>100/2,088</t>
  </si>
  <si>
    <t>400/8,354</t>
  </si>
  <si>
    <t>700/14,620</t>
  </si>
  <si>
    <t>Residual</t>
  </si>
  <si>
    <t>NA</t>
  </si>
  <si>
    <t>Fully Softened</t>
  </si>
  <si>
    <t>Residual Strength</t>
  </si>
  <si>
    <t>Fully Softened Strength</t>
  </si>
  <si>
    <t>CF#1</t>
  </si>
  <si>
    <t>A</t>
  </si>
  <si>
    <t>B</t>
  </si>
  <si>
    <t>C</t>
  </si>
  <si>
    <r>
      <t>σ'</t>
    </r>
    <r>
      <rPr>
        <b/>
        <vertAlign val="subscript"/>
        <sz val="12"/>
        <color indexed="8"/>
        <rFont val="Calibri"/>
        <family val="2"/>
      </rPr>
      <t>n</t>
    </r>
  </si>
  <si>
    <t>X</t>
  </si>
  <si>
    <t>X^2</t>
  </si>
  <si>
    <t>CF#2</t>
  </si>
  <si>
    <t>CF#3</t>
  </si>
  <si>
    <t>D</t>
  </si>
  <si>
    <t>X^3</t>
  </si>
  <si>
    <r>
      <t xml:space="preserve">Left Part of the Plot (40 </t>
    </r>
    <r>
      <rPr>
        <b/>
        <u/>
        <sz val="11"/>
        <color indexed="8"/>
        <rFont val="Calibri"/>
        <family val="2"/>
      </rPr>
      <t>&lt;</t>
    </r>
    <r>
      <rPr>
        <b/>
        <sz val="11"/>
        <color indexed="8"/>
        <rFont val="Calibri"/>
        <family val="2"/>
      </rPr>
      <t xml:space="preserve"> LL </t>
    </r>
    <r>
      <rPr>
        <b/>
        <u/>
        <sz val="11"/>
        <color indexed="8"/>
        <rFont val="Calibri"/>
        <family val="2"/>
      </rPr>
      <t>&lt;</t>
    </r>
    <r>
      <rPr>
        <b/>
        <sz val="11"/>
        <color indexed="8"/>
        <rFont val="Calibri"/>
        <family val="2"/>
      </rPr>
      <t xml:space="preserve"> 120)</t>
    </r>
  </si>
  <si>
    <r>
      <t>Right Part of the Curve (LL</t>
    </r>
    <r>
      <rPr>
        <b/>
        <u/>
        <sz val="11"/>
        <color indexed="8"/>
        <rFont val="Calibri"/>
        <family val="2"/>
      </rPr>
      <t>&gt;</t>
    </r>
    <r>
      <rPr>
        <b/>
        <sz val="11"/>
        <color indexed="8"/>
        <rFont val="Calibri"/>
        <family val="2"/>
      </rPr>
      <t>120)</t>
    </r>
  </si>
  <si>
    <t>Parameters</t>
  </si>
  <si>
    <t>a</t>
  </si>
  <si>
    <t>b</t>
  </si>
  <si>
    <r>
      <t>σ'</t>
    </r>
    <r>
      <rPr>
        <b/>
        <vertAlign val="subscript"/>
        <sz val="12"/>
        <color indexed="8"/>
        <rFont val="Calibri"/>
        <family val="2"/>
      </rPr>
      <t xml:space="preserve">n </t>
    </r>
    <r>
      <rPr>
        <b/>
        <sz val="12"/>
        <color indexed="8"/>
        <rFont val="Calibri"/>
        <family val="2"/>
      </rPr>
      <t xml:space="preserve">  (kPa)</t>
    </r>
  </si>
  <si>
    <t xml:space="preserve"> τ (kPa)</t>
  </si>
  <si>
    <t xml:space="preserve"> φ' (degrees)</t>
  </si>
  <si>
    <t>LL (%)</t>
  </si>
  <si>
    <t>Aplicable Range</t>
  </si>
  <si>
    <t>Minimum</t>
  </si>
  <si>
    <t>Maximum</t>
  </si>
  <si>
    <t>Group #1 (CF ≤20%)</t>
  </si>
  <si>
    <t>Group #2 (25≤CF ≤45%)</t>
  </si>
  <si>
    <t>Group #3 (CF ≥50%)</t>
  </si>
  <si>
    <t>www.tstark.net</t>
  </si>
  <si>
    <t>Fully Softened Strength Power Function</t>
  </si>
  <si>
    <t>a for CF &lt;20</t>
  </si>
  <si>
    <t>a for CF 20-45</t>
  </si>
  <si>
    <t>a for CF &gt;50</t>
  </si>
  <si>
    <t>Pa</t>
  </si>
  <si>
    <t>kPa</t>
  </si>
  <si>
    <t>psf</t>
  </si>
  <si>
    <t>Fully Softened Strength Power Function Points</t>
  </si>
  <si>
    <t>σ(kpa)</t>
  </si>
  <si>
    <t>τ(kpa)</t>
  </si>
  <si>
    <t>τ(psf)</t>
  </si>
  <si>
    <t>Residual Strength Power Function</t>
  </si>
  <si>
    <r>
      <t xml:space="preserve">CF </t>
    </r>
    <r>
      <rPr>
        <sz val="11"/>
        <color theme="1"/>
        <rFont val="Calibri"/>
        <family val="2"/>
      </rPr>
      <t>≤</t>
    </r>
    <r>
      <rPr>
        <sz val="7.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20 %</t>
    </r>
  </si>
  <si>
    <t>20% ≤ CF ≤ 45%</t>
  </si>
  <si>
    <r>
      <t xml:space="preserve">CF </t>
    </r>
    <r>
      <rPr>
        <sz val="11"/>
        <color theme="1"/>
        <rFont val="Calibri"/>
        <family val="2"/>
      </rPr>
      <t>≥ 50%</t>
    </r>
  </si>
  <si>
    <t>−</t>
  </si>
  <si>
    <t>Residual Strength Power Function Points</t>
  </si>
  <si>
    <t>X^4</t>
  </si>
  <si>
    <t>X^5</t>
  </si>
  <si>
    <t>E</t>
  </si>
  <si>
    <t>F</t>
  </si>
  <si>
    <t>PI (%)</t>
  </si>
  <si>
    <t xml:space="preserve">All CF Groups </t>
  </si>
  <si>
    <t>Power function calculations</t>
  </si>
  <si>
    <t>x avergae</t>
  </si>
  <si>
    <t>y average</t>
  </si>
  <si>
    <t>Effective Normal Stress (kN)</t>
  </si>
  <si>
    <t>Residual Strength (kN)</t>
  </si>
  <si>
    <t>FSS Strength (kN)</t>
  </si>
  <si>
    <t>cf1</t>
  </si>
  <si>
    <t>cf2</t>
  </si>
  <si>
    <t>cf3</t>
  </si>
  <si>
    <t>FSS power function coefficients</t>
  </si>
  <si>
    <t>Residual power function coefficients</t>
  </si>
  <si>
    <t xml:space="preserve"> τ (psf)</t>
  </si>
  <si>
    <t>(Use this Worksheet when LL and CF are available)</t>
  </si>
  <si>
    <t>*Note that FSS secant friction angles in this worksheet tab (Laboratory) are NOT increased by 2.5°, and therefore, they reflect a Ring Shear (RS) mode of shear to compare with ring shear and direct shear laboratory data.</t>
  </si>
  <si>
    <t>X^6</t>
  </si>
  <si>
    <t>log strength</t>
  </si>
  <si>
    <t>log normal</t>
  </si>
  <si>
    <t>x avg</t>
  </si>
  <si>
    <t>y avg</t>
  </si>
  <si>
    <t>(Use this Worksheet when only PI is available)</t>
  </si>
  <si>
    <t>*Note that FSS secant friction angles in this correlation are increased by 2.5° to reflect a triaxial compression mode of shear after Stark and Eid (1997). To compare with ring shear and direct shear laboratory data use "Laboratory (LL&amp;CF)" Worksheet.</t>
  </si>
  <si>
    <t>FSS Power Function Based on LL&amp;CF- Stark and Idries (2023)</t>
  </si>
  <si>
    <t>Residual Power Function Based on LL&amp;CF- Stark and Idries (2023)</t>
  </si>
  <si>
    <t>FSS Power Function Based on PI- Stark and Idries (2023)</t>
  </si>
  <si>
    <t>Residual Power Function Based on PI- Stark and Idries (2023)</t>
  </si>
  <si>
    <t>cf 1 avg</t>
  </si>
  <si>
    <t>cf 2 avg</t>
  </si>
  <si>
    <t>Residual - 1 SD</t>
  </si>
  <si>
    <t>Residual - 2 SD</t>
  </si>
  <si>
    <t>Residual - 3 SD</t>
  </si>
  <si>
    <t>Fully Softened - 1 SD</t>
  </si>
  <si>
    <t>Fully Softened - 2 SD</t>
  </si>
  <si>
    <t>Fully Softened - 3 SD</t>
  </si>
  <si>
    <t>FSS Power Function - 1 SD</t>
  </si>
  <si>
    <t>FSS Power Function - 2 SD</t>
  </si>
  <si>
    <t>FSS Power Function - 3 SD</t>
  </si>
  <si>
    <t>Residual Power Function - 3 SD</t>
  </si>
  <si>
    <t>Residual Power Function - 2 SD</t>
  </si>
  <si>
    <t>Residual Power Function - 1 SD</t>
  </si>
  <si>
    <t>*Note that FSS secant friction angles in this correlation are increased by 2.5° to reflect a triaxial compression mode of shear after Stark and Eid (1997). To compare with ring shear and direct shear laboratory data use "Laboratory (PI)" Worksheet.</t>
  </si>
  <si>
    <t>Residualn + 1 SD</t>
  </si>
  <si>
    <t>Fully Softened + 1 SD</t>
  </si>
  <si>
    <t>FSS Power Function + 1 SD</t>
  </si>
  <si>
    <t>Residual Power Function + 1 SD</t>
  </si>
  <si>
    <t>Residual + 1 SD</t>
  </si>
  <si>
    <t>Drained Residual and Fully Softened Strengths and Standard Deviation - January 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</si>
</sst>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00E+00"/>
    <numFmt numFmtId="167" formatCode="0.00000"/>
    <numFmt numFmtId="168" formatCode="0.00000000"/>
    <numFmt numFmtId="169" formatCode="0.0000000"/>
    <numFmt numFmtId="170" formatCode="0.0000"/>
    <numFmt numFmtId="171" formatCode="0.0000000000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vertAlign val="subscript"/>
      <sz val="12"/>
      <color indexed="8"/>
      <name val="Calibri"/>
      <family val="2"/>
    </font>
    <font>
      <sz val="14"/>
      <color indexed="10"/>
      <name val="Calibri"/>
      <family val="2"/>
    </font>
    <font>
      <sz val="12"/>
      <color indexed="8"/>
      <name val="Calibri"/>
      <family val="2"/>
    </font>
    <font>
      <sz val="16"/>
      <color indexed="8"/>
      <name val="Calibri"/>
      <family val="2"/>
    </font>
    <font>
      <b/>
      <sz val="14"/>
      <color theme="0"/>
      <name val="Calibri"/>
      <family val="2"/>
    </font>
    <font>
      <b/>
      <sz val="14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u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2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7.7"/>
      <color theme="1"/>
      <name val="Calibri"/>
      <family val="2"/>
    </font>
    <font>
      <sz val="8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FF0000"/>
      <name val="Calibri"/>
      <family val="2"/>
    </font>
    <font>
      <b/>
      <sz val="17"/>
      <color rgb="FFFF0000"/>
      <name val="Calibri"/>
      <family val="2"/>
    </font>
    <font>
      <b/>
      <sz val="16"/>
      <name val="Calibri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0.249977111117893"/>
      <name val="Calibri"/>
      <family val="2"/>
    </font>
    <font>
      <sz val="12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1FF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4" fillId="0" borderId="0"/>
  </cellStyleXfs>
  <cellXfs count="528">
    <xf numFmtId="0" fontId="0" fillId="0" borderId="0" xfId="0"/>
    <xf numFmtId="0" fontId="8" fillId="4" borderId="4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0" fillId="0" borderId="0" xfId="0" applyFont="1" applyProtection="1">
      <protection hidden="1"/>
    </xf>
    <xf numFmtId="0" fontId="0" fillId="7" borderId="0" xfId="0" applyFill="1" applyAlignment="1" applyProtection="1">
      <alignment horizontal="center"/>
      <protection hidden="1"/>
    </xf>
    <xf numFmtId="164" fontId="0" fillId="7" borderId="0" xfId="0" applyNumberFormat="1" applyFill="1" applyAlignment="1" applyProtection="1">
      <alignment horizontal="center"/>
      <protection hidden="1"/>
    </xf>
    <xf numFmtId="164" fontId="0" fillId="7" borderId="7" xfId="0" applyNumberFormat="1" applyFill="1" applyBorder="1" applyAlignment="1" applyProtection="1">
      <alignment horizontal="center"/>
      <protection hidden="1"/>
    </xf>
    <xf numFmtId="0" fontId="12" fillId="7" borderId="5" xfId="0" applyFont="1" applyFill="1" applyBorder="1" applyProtection="1">
      <protection hidden="1"/>
    </xf>
    <xf numFmtId="0" fontId="13" fillId="7" borderId="5" xfId="0" applyFont="1" applyFill="1" applyBorder="1" applyAlignment="1" applyProtection="1">
      <alignment horizontal="center"/>
      <protection hidden="1"/>
    </xf>
    <xf numFmtId="164" fontId="14" fillId="7" borderId="5" xfId="0" applyNumberFormat="1" applyFont="1" applyFill="1" applyBorder="1" applyAlignment="1" applyProtection="1">
      <alignment horizontal="center"/>
      <protection hidden="1"/>
    </xf>
    <xf numFmtId="0" fontId="14" fillId="7" borderId="5" xfId="0" applyFont="1" applyFill="1" applyBorder="1" applyAlignment="1" applyProtection="1">
      <alignment horizontal="center"/>
      <protection hidden="1"/>
    </xf>
    <xf numFmtId="0" fontId="0" fillId="7" borderId="9" xfId="0" applyFill="1" applyBorder="1" applyAlignment="1" applyProtection="1">
      <alignment horizontal="center"/>
      <protection hidden="1"/>
    </xf>
    <xf numFmtId="164" fontId="0" fillId="7" borderId="9" xfId="0" applyNumberFormat="1" applyFill="1" applyBorder="1" applyAlignment="1" applyProtection="1">
      <alignment horizontal="center"/>
      <protection hidden="1"/>
    </xf>
    <xf numFmtId="164" fontId="0" fillId="7" borderId="10" xfId="0" applyNumberFormat="1" applyFill="1" applyBorder="1" applyAlignment="1" applyProtection="1">
      <alignment horizontal="center"/>
      <protection hidden="1"/>
    </xf>
    <xf numFmtId="0" fontId="6" fillId="7" borderId="4" xfId="0" applyFont="1" applyFill="1" applyBorder="1" applyAlignment="1" applyProtection="1">
      <alignment horizontal="center"/>
      <protection hidden="1"/>
    </xf>
    <xf numFmtId="0" fontId="13" fillId="7" borderId="4" xfId="0" applyFont="1" applyFill="1" applyBorder="1" applyAlignment="1" applyProtection="1">
      <alignment horizontal="center"/>
      <protection hidden="1"/>
    </xf>
    <xf numFmtId="164" fontId="14" fillId="7" borderId="4" xfId="0" applyNumberFormat="1" applyFont="1" applyFill="1" applyBorder="1" applyAlignment="1" applyProtection="1">
      <alignment horizontal="center"/>
      <protection hidden="1"/>
    </xf>
    <xf numFmtId="0" fontId="14" fillId="7" borderId="4" xfId="0" applyFont="1" applyFill="1" applyBorder="1" applyAlignment="1" applyProtection="1">
      <alignment horizontal="center"/>
      <protection hidden="1"/>
    </xf>
    <xf numFmtId="0" fontId="0" fillId="4" borderId="12" xfId="0" applyFill="1" applyBorder="1" applyAlignment="1" applyProtection="1">
      <alignment horizontal="center"/>
      <protection hidden="1"/>
    </xf>
    <xf numFmtId="164" fontId="0" fillId="4" borderId="12" xfId="0" applyNumberFormat="1" applyFill="1" applyBorder="1" applyAlignment="1" applyProtection="1">
      <alignment horizontal="center"/>
      <protection hidden="1"/>
    </xf>
    <xf numFmtId="164" fontId="0" fillId="4" borderId="13" xfId="0" applyNumberFormat="1" applyFill="1" applyBorder="1" applyAlignment="1" applyProtection="1">
      <alignment horizontal="center"/>
      <protection hidden="1"/>
    </xf>
    <xf numFmtId="0" fontId="0" fillId="6" borderId="4" xfId="0" applyFill="1" applyBorder="1" applyProtection="1">
      <protection hidden="1"/>
    </xf>
    <xf numFmtId="2" fontId="0" fillId="6" borderId="0" xfId="0" applyNumberFormat="1" applyFill="1" applyProtection="1">
      <protection hidden="1"/>
    </xf>
    <xf numFmtId="165" fontId="0" fillId="6" borderId="0" xfId="0" applyNumberFormat="1" applyFill="1" applyProtection="1">
      <protection hidden="1"/>
    </xf>
    <xf numFmtId="166" fontId="0" fillId="6" borderId="0" xfId="0" applyNumberFormat="1" applyFill="1" applyProtection="1">
      <protection hidden="1"/>
    </xf>
    <xf numFmtId="0" fontId="13" fillId="3" borderId="4" xfId="0" applyFont="1" applyFill="1" applyBorder="1" applyProtection="1">
      <protection hidden="1"/>
    </xf>
    <xf numFmtId="165" fontId="0" fillId="3" borderId="0" xfId="0" applyNumberFormat="1" applyFill="1" applyProtection="1">
      <protection hidden="1"/>
    </xf>
    <xf numFmtId="167" fontId="0" fillId="3" borderId="0" xfId="0" applyNumberFormat="1" applyFill="1" applyProtection="1">
      <protection hidden="1"/>
    </xf>
    <xf numFmtId="168" fontId="0" fillId="3" borderId="0" xfId="0" applyNumberFormat="1" applyFill="1" applyProtection="1">
      <protection hidden="1"/>
    </xf>
    <xf numFmtId="0" fontId="0" fillId="4" borderId="9" xfId="0" applyFill="1" applyBorder="1" applyAlignment="1" applyProtection="1">
      <alignment horizontal="center"/>
      <protection hidden="1"/>
    </xf>
    <xf numFmtId="164" fontId="0" fillId="4" borderId="9" xfId="0" applyNumberFormat="1" applyFill="1" applyBorder="1" applyAlignment="1" applyProtection="1">
      <alignment horizontal="center"/>
      <protection hidden="1"/>
    </xf>
    <xf numFmtId="164" fontId="0" fillId="4" borderId="10" xfId="0" applyNumberFormat="1" applyFill="1" applyBorder="1" applyAlignment="1" applyProtection="1">
      <alignment horizontal="center"/>
      <protection hidden="1"/>
    </xf>
    <xf numFmtId="0" fontId="0" fillId="11" borderId="4" xfId="0" applyFill="1" applyBorder="1" applyProtection="1">
      <protection hidden="1"/>
    </xf>
    <xf numFmtId="2" fontId="0" fillId="11" borderId="0" xfId="0" applyNumberFormat="1" applyFill="1" applyProtection="1">
      <protection hidden="1"/>
    </xf>
    <xf numFmtId="165" fontId="0" fillId="11" borderId="0" xfId="0" applyNumberFormat="1" applyFill="1" applyProtection="1">
      <protection hidden="1"/>
    </xf>
    <xf numFmtId="166" fontId="0" fillId="11" borderId="0" xfId="0" applyNumberFormat="1" applyFill="1" applyProtection="1">
      <protection hidden="1"/>
    </xf>
    <xf numFmtId="0" fontId="13" fillId="4" borderId="4" xfId="0" applyFont="1" applyFill="1" applyBorder="1" applyProtection="1">
      <protection hidden="1"/>
    </xf>
    <xf numFmtId="165" fontId="0" fillId="4" borderId="0" xfId="0" applyNumberFormat="1" applyFill="1" applyProtection="1">
      <protection hidden="1"/>
    </xf>
    <xf numFmtId="167" fontId="0" fillId="4" borderId="0" xfId="0" applyNumberFormat="1" applyFill="1" applyProtection="1">
      <protection hidden="1"/>
    </xf>
    <xf numFmtId="169" fontId="0" fillId="4" borderId="0" xfId="0" applyNumberFormat="1" applyFill="1" applyProtection="1">
      <protection hidden="1"/>
    </xf>
    <xf numFmtId="0" fontId="0" fillId="12" borderId="12" xfId="0" applyFill="1" applyBorder="1" applyAlignment="1" applyProtection="1">
      <alignment horizontal="center"/>
      <protection hidden="1"/>
    </xf>
    <xf numFmtId="164" fontId="0" fillId="12" borderId="12" xfId="0" applyNumberFormat="1" applyFill="1" applyBorder="1" applyAlignment="1" applyProtection="1">
      <alignment horizontal="center"/>
      <protection hidden="1"/>
    </xf>
    <xf numFmtId="164" fontId="0" fillId="12" borderId="13" xfId="0" applyNumberFormat="1" applyFill="1" applyBorder="1" applyAlignment="1" applyProtection="1">
      <alignment horizontal="center"/>
      <protection hidden="1"/>
    </xf>
    <xf numFmtId="0" fontId="0" fillId="4" borderId="4" xfId="0" applyFill="1" applyBorder="1" applyProtection="1">
      <protection hidden="1"/>
    </xf>
    <xf numFmtId="2" fontId="0" fillId="4" borderId="0" xfId="0" applyNumberFormat="1" applyFill="1" applyProtection="1">
      <protection hidden="1"/>
    </xf>
    <xf numFmtId="166" fontId="0" fillId="4" borderId="0" xfId="0" applyNumberFormat="1" applyFill="1" applyProtection="1">
      <protection hidden="1"/>
    </xf>
    <xf numFmtId="0" fontId="13" fillId="13" borderId="4" xfId="0" applyFont="1" applyFill="1" applyBorder="1" applyProtection="1">
      <protection hidden="1"/>
    </xf>
    <xf numFmtId="165" fontId="0" fillId="13" borderId="0" xfId="0" applyNumberFormat="1" applyFill="1" applyProtection="1">
      <protection hidden="1"/>
    </xf>
    <xf numFmtId="167" fontId="0" fillId="13" borderId="0" xfId="0" applyNumberFormat="1" applyFill="1" applyProtection="1">
      <protection hidden="1"/>
    </xf>
    <xf numFmtId="169" fontId="0" fillId="13" borderId="0" xfId="0" applyNumberFormat="1" applyFill="1" applyProtection="1">
      <protection hidden="1"/>
    </xf>
    <xf numFmtId="0" fontId="0" fillId="12" borderId="0" xfId="0" applyFill="1" applyAlignment="1" applyProtection="1">
      <alignment horizontal="center"/>
      <protection hidden="1"/>
    </xf>
    <xf numFmtId="164" fontId="0" fillId="12" borderId="0" xfId="0" applyNumberFormat="1" applyFill="1" applyAlignment="1" applyProtection="1">
      <alignment horizontal="center"/>
      <protection hidden="1"/>
    </xf>
    <xf numFmtId="164" fontId="0" fillId="12" borderId="7" xfId="0" applyNumberFormat="1" applyFill="1" applyBorder="1" applyAlignment="1" applyProtection="1">
      <alignment horizontal="center"/>
      <protection hidden="1"/>
    </xf>
    <xf numFmtId="0" fontId="0" fillId="13" borderId="4" xfId="0" applyFill="1" applyBorder="1" applyProtection="1">
      <protection hidden="1"/>
    </xf>
    <xf numFmtId="2" fontId="0" fillId="13" borderId="0" xfId="0" applyNumberFormat="1" applyFill="1" applyProtection="1">
      <protection hidden="1"/>
    </xf>
    <xf numFmtId="166" fontId="0" fillId="13" borderId="0" xfId="0" applyNumberFormat="1" applyFill="1" applyProtection="1">
      <protection hidden="1"/>
    </xf>
    <xf numFmtId="0" fontId="14" fillId="12" borderId="9" xfId="0" applyFont="1" applyFill="1" applyBorder="1" applyAlignment="1" applyProtection="1">
      <alignment horizontal="center"/>
      <protection hidden="1"/>
    </xf>
    <xf numFmtId="164" fontId="14" fillId="12" borderId="9" xfId="0" applyNumberFormat="1" applyFont="1" applyFill="1" applyBorder="1" applyAlignment="1" applyProtection="1">
      <alignment horizontal="center"/>
      <protection hidden="1"/>
    </xf>
    <xf numFmtId="164" fontId="14" fillId="12" borderId="10" xfId="0" applyNumberFormat="1" applyFont="1" applyFill="1" applyBorder="1" applyAlignment="1" applyProtection="1">
      <alignment horizontal="center"/>
      <protection hidden="1"/>
    </xf>
    <xf numFmtId="0" fontId="12" fillId="4" borderId="4" xfId="0" applyFont="1" applyFill="1" applyBorder="1" applyProtection="1">
      <protection hidden="1"/>
    </xf>
    <xf numFmtId="0" fontId="13" fillId="4" borderId="4" xfId="0" applyFont="1" applyFill="1" applyBorder="1" applyAlignment="1" applyProtection="1">
      <alignment horizontal="center"/>
      <protection hidden="1"/>
    </xf>
    <xf numFmtId="164" fontId="14" fillId="4" borderId="4" xfId="0" applyNumberFormat="1" applyFont="1" applyFill="1" applyBorder="1" applyAlignment="1" applyProtection="1">
      <alignment horizontal="center"/>
      <protection hidden="1"/>
    </xf>
    <xf numFmtId="0" fontId="14" fillId="4" borderId="4" xfId="0" applyFont="1" applyFill="1" applyBorder="1" applyAlignment="1" applyProtection="1">
      <alignment horizontal="center"/>
      <protection hidden="1"/>
    </xf>
    <xf numFmtId="0" fontId="6" fillId="4" borderId="1" xfId="0" applyFont="1" applyFill="1" applyBorder="1" applyAlignment="1" applyProtection="1">
      <alignment horizontal="center"/>
      <protection hidden="1"/>
    </xf>
    <xf numFmtId="0" fontId="0" fillId="7" borderId="12" xfId="0" applyFill="1" applyBorder="1" applyAlignment="1" applyProtection="1">
      <alignment horizontal="center"/>
      <protection hidden="1"/>
    </xf>
    <xf numFmtId="164" fontId="0" fillId="7" borderId="12" xfId="0" applyNumberFormat="1" applyFill="1" applyBorder="1" applyAlignment="1" applyProtection="1">
      <alignment horizontal="center"/>
      <protection hidden="1"/>
    </xf>
    <xf numFmtId="164" fontId="0" fillId="7" borderId="13" xfId="0" applyNumberFormat="1" applyFill="1" applyBorder="1" applyAlignment="1" applyProtection="1">
      <alignment horizontal="center"/>
      <protection hidden="1"/>
    </xf>
    <xf numFmtId="164" fontId="0" fillId="6" borderId="0" xfId="0" applyNumberFormat="1" applyFill="1" applyProtection="1">
      <protection hidden="1"/>
    </xf>
    <xf numFmtId="11" fontId="0" fillId="6" borderId="0" xfId="0" applyNumberFormat="1" applyFill="1" applyProtection="1">
      <protection hidden="1"/>
    </xf>
    <xf numFmtId="164" fontId="0" fillId="3" borderId="0" xfId="0" applyNumberFormat="1" applyFill="1" applyProtection="1">
      <protection hidden="1"/>
    </xf>
    <xf numFmtId="11" fontId="0" fillId="3" borderId="0" xfId="0" applyNumberFormat="1" applyFill="1" applyProtection="1">
      <protection hidden="1"/>
    </xf>
    <xf numFmtId="168" fontId="0" fillId="4" borderId="0" xfId="0" applyNumberFormat="1" applyFill="1" applyProtection="1">
      <protection hidden="1"/>
    </xf>
    <xf numFmtId="168" fontId="0" fillId="13" borderId="0" xfId="0" applyNumberFormat="1" applyFill="1" applyProtection="1">
      <protection hidden="1"/>
    </xf>
    <xf numFmtId="164" fontId="0" fillId="13" borderId="0" xfId="0" applyNumberFormat="1" applyFill="1" applyProtection="1">
      <protection hidden="1"/>
    </xf>
    <xf numFmtId="11" fontId="0" fillId="13" borderId="0" xfId="0" applyNumberFormat="1" applyFill="1" applyProtection="1">
      <protection hidden="1"/>
    </xf>
    <xf numFmtId="0" fontId="13" fillId="7" borderId="0" xfId="0" applyFont="1" applyFill="1" applyAlignment="1" applyProtection="1">
      <alignment horizontal="left"/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2" fillId="12" borderId="4" xfId="0" applyFont="1" applyFill="1" applyBorder="1" applyProtection="1">
      <protection hidden="1"/>
    </xf>
    <xf numFmtId="0" fontId="13" fillId="12" borderId="4" xfId="0" applyFont="1" applyFill="1" applyBorder="1" applyAlignment="1" applyProtection="1">
      <alignment horizontal="center"/>
      <protection hidden="1"/>
    </xf>
    <xf numFmtId="164" fontId="14" fillId="12" borderId="4" xfId="0" applyNumberFormat="1" applyFont="1" applyFill="1" applyBorder="1" applyAlignment="1" applyProtection="1">
      <alignment horizontal="center"/>
      <protection hidden="1"/>
    </xf>
    <xf numFmtId="0" fontId="14" fillId="12" borderId="4" xfId="0" applyFont="1" applyFill="1" applyBorder="1" applyAlignment="1" applyProtection="1">
      <alignment horizontal="center"/>
      <protection hidden="1"/>
    </xf>
    <xf numFmtId="0" fontId="6" fillId="12" borderId="1" xfId="0" applyFont="1" applyFill="1" applyBorder="1" applyAlignment="1" applyProtection="1">
      <alignment horizontal="center"/>
      <protection hidden="1"/>
    </xf>
    <xf numFmtId="0" fontId="0" fillId="12" borderId="4" xfId="0" applyFill="1" applyBorder="1" applyProtection="1">
      <protection hidden="1"/>
    </xf>
    <xf numFmtId="2" fontId="0" fillId="0" borderId="0" xfId="0" applyNumberFormat="1" applyProtection="1">
      <protection hidden="1"/>
    </xf>
    <xf numFmtId="170" fontId="0" fillId="0" borderId="0" xfId="0" applyNumberFormat="1" applyProtection="1">
      <protection hidden="1"/>
    </xf>
    <xf numFmtId="11" fontId="0" fillId="0" borderId="0" xfId="0" applyNumberFormat="1" applyProtection="1">
      <protection hidden="1"/>
    </xf>
    <xf numFmtId="166" fontId="0" fillId="0" borderId="0" xfId="0" applyNumberFormat="1" applyProtection="1">
      <protection hidden="1"/>
    </xf>
    <xf numFmtId="0" fontId="13" fillId="12" borderId="4" xfId="0" applyFont="1" applyFill="1" applyBorder="1" applyProtection="1">
      <protection hidden="1"/>
    </xf>
    <xf numFmtId="2" fontId="0" fillId="3" borderId="0" xfId="0" applyNumberFormat="1" applyFill="1" applyProtection="1">
      <protection hidden="1"/>
    </xf>
    <xf numFmtId="171" fontId="0" fillId="3" borderId="0" xfId="0" applyNumberFormat="1" applyFill="1" applyProtection="1">
      <protection hidden="1"/>
    </xf>
    <xf numFmtId="171" fontId="0" fillId="4" borderId="0" xfId="0" applyNumberFormat="1" applyFill="1" applyProtection="1">
      <protection hidden="1"/>
    </xf>
    <xf numFmtId="171" fontId="0" fillId="13" borderId="0" xfId="0" applyNumberFormat="1" applyFill="1" applyProtection="1">
      <protection hidden="1"/>
    </xf>
    <xf numFmtId="165" fontId="0" fillId="0" borderId="0" xfId="0" applyNumberFormat="1" applyProtection="1">
      <protection hidden="1"/>
    </xf>
    <xf numFmtId="0" fontId="17" fillId="24" borderId="4" xfId="0" applyFont="1" applyFill="1" applyBorder="1" applyAlignment="1" applyProtection="1">
      <alignment horizontal="center"/>
      <protection hidden="1"/>
    </xf>
    <xf numFmtId="0" fontId="0" fillId="14" borderId="4" xfId="0" applyFill="1" applyBorder="1" applyAlignment="1" applyProtection="1">
      <alignment horizontal="center"/>
      <protection hidden="1"/>
    </xf>
    <xf numFmtId="0" fontId="16" fillId="5" borderId="4" xfId="0" applyFont="1" applyFill="1" applyBorder="1" applyAlignment="1" applyProtection="1">
      <alignment horizontal="center"/>
      <protection hidden="1"/>
    </xf>
    <xf numFmtId="0" fontId="6" fillId="5" borderId="1" xfId="0" applyFont="1" applyFill="1" applyBorder="1" applyAlignment="1" applyProtection="1">
      <alignment horizontal="center"/>
      <protection hidden="1"/>
    </xf>
    <xf numFmtId="164" fontId="18" fillId="15" borderId="4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16" fillId="16" borderId="4" xfId="0" applyFont="1" applyFill="1" applyBorder="1" applyAlignment="1" applyProtection="1">
      <alignment horizontal="center" vertical="center"/>
      <protection hidden="1"/>
    </xf>
    <xf numFmtId="0" fontId="16" fillId="5" borderId="4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20" fillId="16" borderId="4" xfId="0" applyFont="1" applyFill="1" applyBorder="1" applyAlignment="1" applyProtection="1">
      <alignment horizontal="center" vertical="center"/>
      <protection hidden="1"/>
    </xf>
    <xf numFmtId="0" fontId="20" fillId="5" borderId="4" xfId="0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5" fillId="0" borderId="0" xfId="2" applyFont="1" applyAlignment="1" applyProtection="1">
      <alignment horizontal="left"/>
      <protection hidden="1"/>
    </xf>
    <xf numFmtId="0" fontId="24" fillId="0" borderId="0" xfId="2" applyProtection="1">
      <protection hidden="1"/>
    </xf>
    <xf numFmtId="0" fontId="0" fillId="8" borderId="0" xfId="0" applyFill="1" applyProtection="1">
      <protection hidden="1"/>
    </xf>
    <xf numFmtId="0" fontId="0" fillId="17" borderId="0" xfId="0" applyFill="1" applyProtection="1">
      <protection hidden="1"/>
    </xf>
    <xf numFmtId="0" fontId="24" fillId="17" borderId="0" xfId="2" applyFill="1" applyProtection="1">
      <protection hidden="1"/>
    </xf>
    <xf numFmtId="0" fontId="0" fillId="18" borderId="0" xfId="0" applyFill="1" applyProtection="1">
      <protection hidden="1"/>
    </xf>
    <xf numFmtId="0" fontId="26" fillId="19" borderId="0" xfId="0" applyFont="1" applyFill="1" applyProtection="1">
      <protection hidden="1"/>
    </xf>
    <xf numFmtId="0" fontId="0" fillId="14" borderId="0" xfId="0" applyFill="1" applyProtection="1">
      <protection hidden="1"/>
    </xf>
    <xf numFmtId="0" fontId="0" fillId="20" borderId="0" xfId="0" applyFill="1" applyProtection="1">
      <protection hidden="1"/>
    </xf>
    <xf numFmtId="0" fontId="0" fillId="21" borderId="0" xfId="0" applyFill="1" applyProtection="1">
      <protection hidden="1"/>
    </xf>
    <xf numFmtId="0" fontId="0" fillId="22" borderId="0" xfId="0" applyFill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170" fontId="0" fillId="0" borderId="9" xfId="0" applyNumberForma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70" fontId="26" fillId="0" borderId="0" xfId="0" applyNumberFormat="1" applyFont="1" applyAlignment="1" applyProtection="1">
      <alignment horizontal="center"/>
      <protection hidden="1"/>
    </xf>
    <xf numFmtId="170" fontId="26" fillId="0" borderId="9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5" borderId="4" xfId="0" applyFill="1" applyBorder="1" applyProtection="1">
      <protection hidden="1"/>
    </xf>
    <xf numFmtId="0" fontId="6" fillId="2" borderId="4" xfId="0" applyFont="1" applyFill="1" applyBorder="1" applyAlignment="1" applyProtection="1">
      <alignment horizontal="center"/>
      <protection hidden="1"/>
    </xf>
    <xf numFmtId="0" fontId="6" fillId="7" borderId="3" xfId="0" applyFont="1" applyFill="1" applyBorder="1" applyAlignment="1" applyProtection="1">
      <alignment horizontal="center" vertical="center"/>
      <protection hidden="1"/>
    </xf>
    <xf numFmtId="0" fontId="6" fillId="8" borderId="4" xfId="0" applyFont="1" applyFill="1" applyBorder="1" applyAlignment="1" applyProtection="1">
      <alignment horizontal="center" vertical="center"/>
      <protection hidden="1"/>
    </xf>
    <xf numFmtId="0" fontId="6" fillId="7" borderId="4" xfId="0" applyFont="1" applyFill="1" applyBorder="1" applyAlignment="1" applyProtection="1">
      <alignment horizontal="center" vertical="center"/>
      <protection hidden="1"/>
    </xf>
    <xf numFmtId="1" fontId="6" fillId="7" borderId="4" xfId="0" applyNumberFormat="1" applyFont="1" applyFill="1" applyBorder="1" applyAlignment="1" applyProtection="1">
      <alignment horizontal="center" vertical="center"/>
      <protection hidden="1"/>
    </xf>
    <xf numFmtId="0" fontId="0" fillId="25" borderId="0" xfId="0" applyFill="1" applyProtection="1">
      <protection hidden="1"/>
    </xf>
    <xf numFmtId="164" fontId="21" fillId="25" borderId="0" xfId="0" applyNumberFormat="1" applyFont="1" applyFill="1" applyAlignment="1" applyProtection="1">
      <alignment horizontal="center"/>
      <protection hidden="1"/>
    </xf>
    <xf numFmtId="0" fontId="0" fillId="12" borderId="0" xfId="0" applyFill="1" applyProtection="1">
      <protection hidden="1"/>
    </xf>
    <xf numFmtId="0" fontId="0" fillId="23" borderId="4" xfId="0" applyFill="1" applyBorder="1"/>
    <xf numFmtId="0" fontId="32" fillId="27" borderId="4" xfId="0" applyFont="1" applyFill="1" applyBorder="1"/>
    <xf numFmtId="1" fontId="0" fillId="7" borderId="4" xfId="0" applyNumberFormat="1" applyFill="1" applyBorder="1" applyAlignment="1" applyProtection="1">
      <alignment horizontal="center"/>
      <protection hidden="1"/>
    </xf>
    <xf numFmtId="1" fontId="0" fillId="8" borderId="4" xfId="0" applyNumberFormat="1" applyFill="1" applyBorder="1" applyProtection="1">
      <protection hidden="1"/>
    </xf>
    <xf numFmtId="0" fontId="0" fillId="27" borderId="4" xfId="0" applyFill="1" applyBorder="1"/>
    <xf numFmtId="0" fontId="0" fillId="28" borderId="0" xfId="0" applyFill="1" applyProtection="1">
      <protection hidden="1"/>
    </xf>
    <xf numFmtId="1" fontId="0" fillId="28" borderId="0" xfId="0" applyNumberFormat="1" applyFill="1" applyProtection="1">
      <protection hidden="1"/>
    </xf>
    <xf numFmtId="0" fontId="12" fillId="28" borderId="20" xfId="0" applyFont="1" applyFill="1" applyBorder="1" applyProtection="1">
      <protection hidden="1"/>
    </xf>
    <xf numFmtId="0" fontId="13" fillId="28" borderId="20" xfId="0" applyFont="1" applyFill="1" applyBorder="1" applyAlignment="1" applyProtection="1">
      <alignment horizontal="center"/>
      <protection hidden="1"/>
    </xf>
    <xf numFmtId="164" fontId="14" fillId="28" borderId="20" xfId="0" applyNumberFormat="1" applyFont="1" applyFill="1" applyBorder="1" applyAlignment="1" applyProtection="1">
      <alignment horizontal="center"/>
      <protection hidden="1"/>
    </xf>
    <xf numFmtId="0" fontId="14" fillId="28" borderId="20" xfId="0" applyFont="1" applyFill="1" applyBorder="1" applyAlignment="1" applyProtection="1">
      <alignment horizontal="center"/>
      <protection hidden="1"/>
    </xf>
    <xf numFmtId="164" fontId="0" fillId="24" borderId="4" xfId="0" applyNumberFormat="1" applyFill="1" applyBorder="1" applyProtection="1">
      <protection hidden="1"/>
    </xf>
    <xf numFmtId="0" fontId="0" fillId="14" borderId="4" xfId="0" applyFill="1" applyBorder="1"/>
    <xf numFmtId="0" fontId="0" fillId="25" borderId="0" xfId="0" applyFill="1" applyAlignment="1" applyProtection="1">
      <alignment horizontal="center"/>
      <protection hidden="1"/>
    </xf>
    <xf numFmtId="0" fontId="0" fillId="2" borderId="21" xfId="0" applyFill="1" applyBorder="1" applyProtection="1">
      <protection hidden="1"/>
    </xf>
    <xf numFmtId="0" fontId="17" fillId="24" borderId="23" xfId="0" applyFont="1" applyFill="1" applyBorder="1" applyAlignment="1" applyProtection="1">
      <alignment horizontal="center"/>
      <protection hidden="1"/>
    </xf>
    <xf numFmtId="0" fontId="6" fillId="5" borderId="23" xfId="0" applyFont="1" applyFill="1" applyBorder="1" applyAlignment="1" applyProtection="1">
      <alignment horizontal="center" vertical="center"/>
      <protection hidden="1"/>
    </xf>
    <xf numFmtId="0" fontId="16" fillId="5" borderId="24" xfId="0" applyFont="1" applyFill="1" applyBorder="1" applyAlignment="1" applyProtection="1">
      <alignment horizontal="center"/>
      <protection hidden="1"/>
    </xf>
    <xf numFmtId="0" fontId="0" fillId="25" borderId="21" xfId="0" applyFill="1" applyBorder="1" applyProtection="1">
      <protection hidden="1"/>
    </xf>
    <xf numFmtId="0" fontId="33" fillId="2" borderId="0" xfId="0" applyFont="1" applyFill="1" applyAlignment="1" applyProtection="1">
      <alignment horizontal="left" vertical="center"/>
      <protection hidden="1"/>
    </xf>
    <xf numFmtId="0" fontId="34" fillId="2" borderId="0" xfId="0" applyFont="1" applyFill="1" applyAlignment="1" applyProtection="1">
      <alignment horizontal="left" vertical="center"/>
      <protection hidden="1"/>
    </xf>
    <xf numFmtId="11" fontId="0" fillId="29" borderId="0" xfId="0" applyNumberFormat="1" applyFill="1" applyProtection="1">
      <protection hidden="1"/>
    </xf>
    <xf numFmtId="11" fontId="0" fillId="30" borderId="0" xfId="0" applyNumberFormat="1" applyFill="1" applyProtection="1">
      <protection hidden="1"/>
    </xf>
    <xf numFmtId="164" fontId="0" fillId="31" borderId="0" xfId="0" applyNumberFormat="1" applyFill="1" applyProtection="1">
      <protection hidden="1"/>
    </xf>
    <xf numFmtId="11" fontId="0" fillId="31" borderId="0" xfId="0" applyNumberFormat="1" applyFill="1" applyProtection="1">
      <protection hidden="1"/>
    </xf>
    <xf numFmtId="170" fontId="0" fillId="23" borderId="9" xfId="0" applyNumberFormat="1" applyFill="1" applyBorder="1" applyAlignment="1" applyProtection="1">
      <alignment horizontal="center" vertical="center"/>
      <protection hidden="1"/>
    </xf>
    <xf numFmtId="0" fontId="20" fillId="25" borderId="0" xfId="0" applyFont="1" applyFill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0" fillId="25" borderId="4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0" borderId="4" xfId="0" applyBorder="1"/>
    <xf numFmtId="0" fontId="22" fillId="2" borderId="0" xfId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0" fontId="19" fillId="25" borderId="0" xfId="0" applyFont="1" applyFill="1" applyAlignment="1" applyProtection="1">
      <alignment horizontal="center" vertical="center"/>
      <protection hidden="1"/>
    </xf>
    <xf numFmtId="0" fontId="0" fillId="25" borderId="0" xfId="0" applyFill="1"/>
    <xf numFmtId="0" fontId="0" fillId="32" borderId="0" xfId="0" applyFill="1"/>
    <xf numFmtId="0" fontId="0" fillId="28" borderId="28" xfId="0" applyFill="1" applyBorder="1" applyProtection="1">
      <protection hidden="1"/>
    </xf>
    <xf numFmtId="0" fontId="0" fillId="28" borderId="28" xfId="0" applyFill="1" applyBorder="1"/>
    <xf numFmtId="1" fontId="5" fillId="7" borderId="0" xfId="0" applyNumberFormat="1" applyFont="1" applyFill="1" applyAlignment="1" applyProtection="1">
      <alignment horizontal="center" vertical="center"/>
      <protection hidden="1"/>
    </xf>
    <xf numFmtId="0" fontId="0" fillId="25" borderId="4" xfId="0" applyFill="1" applyBorder="1" applyAlignment="1" applyProtection="1">
      <alignment horizontal="center"/>
      <protection hidden="1"/>
    </xf>
    <xf numFmtId="0" fontId="5" fillId="2" borderId="4" xfId="0" applyFont="1" applyFill="1" applyBorder="1" applyProtection="1"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/>
      <protection hidden="1"/>
    </xf>
    <xf numFmtId="0" fontId="30" fillId="25" borderId="0" xfId="0" applyFont="1" applyFill="1" applyAlignment="1" applyProtection="1">
      <alignment shrinkToFit="1"/>
      <protection hidden="1"/>
    </xf>
    <xf numFmtId="0" fontId="6" fillId="30" borderId="4" xfId="0" applyFont="1" applyFill="1" applyBorder="1" applyAlignment="1" applyProtection="1">
      <alignment horizontal="center" vertical="center" wrapText="1"/>
      <protection hidden="1"/>
    </xf>
    <xf numFmtId="0" fontId="9" fillId="30" borderId="4" xfId="0" applyFont="1" applyFill="1" applyBorder="1" applyAlignment="1" applyProtection="1">
      <alignment horizontal="center" vertical="center"/>
      <protection hidden="1"/>
    </xf>
    <xf numFmtId="164" fontId="29" fillId="30" borderId="4" xfId="0" applyNumberFormat="1" applyFont="1" applyFill="1" applyBorder="1" applyAlignment="1" applyProtection="1">
      <alignment horizontal="center" vertical="center"/>
      <protection hidden="1"/>
    </xf>
    <xf numFmtId="2" fontId="9" fillId="30" borderId="4" xfId="0" applyNumberFormat="1" applyFont="1" applyFill="1" applyBorder="1" applyAlignment="1" applyProtection="1">
      <alignment horizontal="center" vertical="center"/>
      <protection hidden="1"/>
    </xf>
    <xf numFmtId="164" fontId="9" fillId="30" borderId="4" xfId="0" applyNumberFormat="1" applyFont="1" applyFill="1" applyBorder="1" applyAlignment="1" applyProtection="1">
      <alignment horizontal="center" vertical="center"/>
      <protection hidden="1"/>
    </xf>
    <xf numFmtId="1" fontId="6" fillId="30" borderId="4" xfId="0" applyNumberFormat="1" applyFont="1" applyFill="1" applyBorder="1" applyAlignment="1" applyProtection="1">
      <alignment horizontal="center" vertical="center"/>
      <protection hidden="1"/>
    </xf>
    <xf numFmtId="0" fontId="6" fillId="35" borderId="4" xfId="0" applyFont="1" applyFill="1" applyBorder="1" applyAlignment="1" applyProtection="1">
      <alignment horizontal="center" vertical="center" wrapText="1"/>
      <protection hidden="1"/>
    </xf>
    <xf numFmtId="0" fontId="9" fillId="35" borderId="4" xfId="0" applyFont="1" applyFill="1" applyBorder="1" applyAlignment="1" applyProtection="1">
      <alignment horizontal="center" vertical="center"/>
      <protection hidden="1"/>
    </xf>
    <xf numFmtId="164" fontId="29" fillId="35" borderId="4" xfId="0" applyNumberFormat="1" applyFont="1" applyFill="1" applyBorder="1" applyAlignment="1" applyProtection="1">
      <alignment horizontal="center" vertical="center"/>
      <protection hidden="1"/>
    </xf>
    <xf numFmtId="2" fontId="9" fillId="35" borderId="4" xfId="0" applyNumberFormat="1" applyFont="1" applyFill="1" applyBorder="1" applyAlignment="1" applyProtection="1">
      <alignment horizontal="center" vertical="center"/>
      <protection hidden="1"/>
    </xf>
    <xf numFmtId="164" fontId="9" fillId="35" borderId="4" xfId="0" applyNumberFormat="1" applyFont="1" applyFill="1" applyBorder="1" applyAlignment="1" applyProtection="1">
      <alignment horizontal="center" vertical="center"/>
      <protection hidden="1"/>
    </xf>
    <xf numFmtId="1" fontId="6" fillId="35" borderId="4" xfId="0" applyNumberFormat="1" applyFont="1" applyFill="1" applyBorder="1" applyAlignment="1" applyProtection="1">
      <alignment horizontal="center" vertical="center"/>
      <protection hidden="1"/>
    </xf>
    <xf numFmtId="0" fontId="6" fillId="36" borderId="4" xfId="0" applyFont="1" applyFill="1" applyBorder="1" applyAlignment="1" applyProtection="1">
      <alignment horizontal="center" vertical="center" wrapText="1"/>
      <protection hidden="1"/>
    </xf>
    <xf numFmtId="0" fontId="9" fillId="36" borderId="4" xfId="0" applyFont="1" applyFill="1" applyBorder="1" applyAlignment="1" applyProtection="1">
      <alignment horizontal="center" vertical="center"/>
      <protection hidden="1"/>
    </xf>
    <xf numFmtId="164" fontId="29" fillId="36" borderId="4" xfId="0" applyNumberFormat="1" applyFont="1" applyFill="1" applyBorder="1" applyAlignment="1" applyProtection="1">
      <alignment horizontal="center" vertical="center"/>
      <protection hidden="1"/>
    </xf>
    <xf numFmtId="2" fontId="9" fillId="36" borderId="4" xfId="0" applyNumberFormat="1" applyFont="1" applyFill="1" applyBorder="1" applyAlignment="1" applyProtection="1">
      <alignment horizontal="center" vertical="center"/>
      <protection hidden="1"/>
    </xf>
    <xf numFmtId="164" fontId="9" fillId="36" borderId="4" xfId="0" applyNumberFormat="1" applyFont="1" applyFill="1" applyBorder="1" applyAlignment="1" applyProtection="1">
      <alignment horizontal="center" vertical="center"/>
      <protection hidden="1"/>
    </xf>
    <xf numFmtId="1" fontId="6" fillId="36" borderId="4" xfId="0" applyNumberFormat="1" applyFont="1" applyFill="1" applyBorder="1" applyAlignment="1" applyProtection="1">
      <alignment horizontal="center" vertical="center"/>
      <protection hidden="1"/>
    </xf>
    <xf numFmtId="0" fontId="6" fillId="37" borderId="4" xfId="0" applyFont="1" applyFill="1" applyBorder="1" applyAlignment="1" applyProtection="1">
      <alignment horizontal="center" vertical="center" wrapText="1"/>
      <protection hidden="1"/>
    </xf>
    <xf numFmtId="0" fontId="9" fillId="37" borderId="4" xfId="0" applyFont="1" applyFill="1" applyBorder="1" applyAlignment="1" applyProtection="1">
      <alignment horizontal="center" vertical="center"/>
      <protection hidden="1"/>
    </xf>
    <xf numFmtId="164" fontId="29" fillId="37" borderId="4" xfId="0" applyNumberFormat="1" applyFont="1" applyFill="1" applyBorder="1" applyAlignment="1" applyProtection="1">
      <alignment horizontal="center" vertical="center"/>
      <protection hidden="1"/>
    </xf>
    <xf numFmtId="2" fontId="9" fillId="37" borderId="4" xfId="0" applyNumberFormat="1" applyFont="1" applyFill="1" applyBorder="1" applyAlignment="1" applyProtection="1">
      <alignment horizontal="center" vertical="center"/>
      <protection hidden="1"/>
    </xf>
    <xf numFmtId="164" fontId="9" fillId="37" borderId="4" xfId="0" applyNumberFormat="1" applyFont="1" applyFill="1" applyBorder="1" applyAlignment="1" applyProtection="1">
      <alignment horizontal="center" vertical="center"/>
      <protection hidden="1"/>
    </xf>
    <xf numFmtId="1" fontId="6" fillId="37" borderId="4" xfId="0" applyNumberFormat="1" applyFont="1" applyFill="1" applyBorder="1" applyAlignment="1" applyProtection="1">
      <alignment horizontal="center" vertical="center"/>
      <protection hidden="1"/>
    </xf>
    <xf numFmtId="0" fontId="0" fillId="37" borderId="23" xfId="0" applyFill="1" applyBorder="1" applyAlignment="1" applyProtection="1">
      <alignment horizontal="center"/>
      <protection hidden="1"/>
    </xf>
    <xf numFmtId="164" fontId="0" fillId="37" borderId="4" xfId="0" applyNumberFormat="1" applyFill="1" applyBorder="1" applyAlignment="1" applyProtection="1">
      <alignment horizontal="center"/>
      <protection hidden="1"/>
    </xf>
    <xf numFmtId="164" fontId="0" fillId="37" borderId="24" xfId="0" applyNumberFormat="1" applyFill="1" applyBorder="1" applyAlignment="1" applyProtection="1">
      <alignment horizontal="center"/>
      <protection hidden="1"/>
    </xf>
    <xf numFmtId="0" fontId="0" fillId="37" borderId="25" xfId="0" applyFill="1" applyBorder="1" applyAlignment="1" applyProtection="1">
      <alignment horizontal="center"/>
      <protection hidden="1"/>
    </xf>
    <xf numFmtId="164" fontId="0" fillId="37" borderId="26" xfId="0" applyNumberFormat="1" applyFill="1" applyBorder="1" applyAlignment="1" applyProtection="1">
      <alignment horizontal="center"/>
      <protection hidden="1"/>
    </xf>
    <xf numFmtId="164" fontId="0" fillId="37" borderId="27" xfId="0" applyNumberFormat="1" applyFill="1" applyBorder="1" applyAlignment="1" applyProtection="1">
      <alignment horizontal="center"/>
      <protection hidden="1"/>
    </xf>
    <xf numFmtId="0" fontId="0" fillId="36" borderId="23" xfId="0" applyFill="1" applyBorder="1" applyAlignment="1" applyProtection="1">
      <alignment horizontal="center"/>
      <protection hidden="1"/>
    </xf>
    <xf numFmtId="164" fontId="0" fillId="36" borderId="4" xfId="0" applyNumberFormat="1" applyFill="1" applyBorder="1" applyAlignment="1" applyProtection="1">
      <alignment horizontal="center"/>
      <protection hidden="1"/>
    </xf>
    <xf numFmtId="164" fontId="0" fillId="36" borderId="24" xfId="0" applyNumberFormat="1" applyFill="1" applyBorder="1" applyAlignment="1" applyProtection="1">
      <alignment horizontal="center"/>
      <protection hidden="1"/>
    </xf>
    <xf numFmtId="0" fontId="0" fillId="36" borderId="25" xfId="0" applyFill="1" applyBorder="1" applyAlignment="1" applyProtection="1">
      <alignment horizontal="center"/>
      <protection hidden="1"/>
    </xf>
    <xf numFmtId="164" fontId="0" fillId="36" borderId="26" xfId="0" applyNumberFormat="1" applyFill="1" applyBorder="1" applyAlignment="1" applyProtection="1">
      <alignment horizontal="center"/>
      <protection hidden="1"/>
    </xf>
    <xf numFmtId="164" fontId="0" fillId="36" borderId="27" xfId="0" applyNumberFormat="1" applyFill="1" applyBorder="1" applyAlignment="1" applyProtection="1">
      <alignment horizontal="center"/>
      <protection hidden="1"/>
    </xf>
    <xf numFmtId="0" fontId="0" fillId="30" borderId="23" xfId="0" applyFill="1" applyBorder="1" applyAlignment="1" applyProtection="1">
      <alignment horizontal="center"/>
      <protection hidden="1"/>
    </xf>
    <xf numFmtId="164" fontId="0" fillId="30" borderId="4" xfId="0" applyNumberFormat="1" applyFill="1" applyBorder="1" applyAlignment="1" applyProtection="1">
      <alignment horizontal="center"/>
      <protection hidden="1"/>
    </xf>
    <xf numFmtId="164" fontId="0" fillId="30" borderId="24" xfId="0" applyNumberFormat="1" applyFill="1" applyBorder="1" applyAlignment="1" applyProtection="1">
      <alignment horizontal="center"/>
      <protection hidden="1"/>
    </xf>
    <xf numFmtId="0" fontId="0" fillId="35" borderId="23" xfId="0" applyFill="1" applyBorder="1" applyAlignment="1" applyProtection="1">
      <alignment horizontal="center"/>
      <protection hidden="1"/>
    </xf>
    <xf numFmtId="164" fontId="0" fillId="35" borderId="4" xfId="0" applyNumberFormat="1" applyFill="1" applyBorder="1" applyAlignment="1" applyProtection="1">
      <alignment horizontal="center"/>
      <protection hidden="1"/>
    </xf>
    <xf numFmtId="164" fontId="0" fillId="35" borderId="24" xfId="0" applyNumberFormat="1" applyFill="1" applyBorder="1" applyAlignment="1" applyProtection="1">
      <alignment horizontal="center"/>
      <protection hidden="1"/>
    </xf>
    <xf numFmtId="0" fontId="0" fillId="30" borderId="25" xfId="0" applyFill="1" applyBorder="1" applyAlignment="1" applyProtection="1">
      <alignment horizontal="center"/>
      <protection hidden="1"/>
    </xf>
    <xf numFmtId="164" fontId="0" fillId="30" borderId="26" xfId="0" applyNumberFormat="1" applyFill="1" applyBorder="1" applyAlignment="1" applyProtection="1">
      <alignment horizontal="center"/>
      <protection hidden="1"/>
    </xf>
    <xf numFmtId="164" fontId="0" fillId="30" borderId="27" xfId="0" applyNumberFormat="1" applyFill="1" applyBorder="1" applyAlignment="1" applyProtection="1">
      <alignment horizontal="center"/>
      <protection hidden="1"/>
    </xf>
    <xf numFmtId="0" fontId="0" fillId="35" borderId="25" xfId="0" applyFill="1" applyBorder="1" applyAlignment="1" applyProtection="1">
      <alignment horizontal="center"/>
      <protection hidden="1"/>
    </xf>
    <xf numFmtId="164" fontId="0" fillId="35" borderId="26" xfId="0" applyNumberFormat="1" applyFill="1" applyBorder="1" applyAlignment="1" applyProtection="1">
      <alignment horizontal="center"/>
      <protection hidden="1"/>
    </xf>
    <xf numFmtId="164" fontId="0" fillId="35" borderId="27" xfId="0" applyNumberFormat="1" applyFill="1" applyBorder="1" applyAlignment="1" applyProtection="1">
      <alignment horizontal="center"/>
      <protection hidden="1"/>
    </xf>
    <xf numFmtId="0" fontId="31" fillId="15" borderId="4" xfId="0" applyFont="1" applyFill="1" applyBorder="1" applyAlignment="1" applyProtection="1">
      <alignment horizontal="center"/>
      <protection hidden="1"/>
    </xf>
    <xf numFmtId="164" fontId="31" fillId="15" borderId="4" xfId="0" applyNumberFormat="1" applyFont="1" applyFill="1" applyBorder="1" applyAlignment="1" applyProtection="1">
      <alignment horizontal="center"/>
      <protection hidden="1"/>
    </xf>
    <xf numFmtId="0" fontId="31" fillId="2" borderId="0" xfId="0" applyFont="1" applyFill="1" applyProtection="1">
      <protection hidden="1"/>
    </xf>
    <xf numFmtId="0" fontId="31" fillId="33" borderId="4" xfId="0" applyFont="1" applyFill="1" applyBorder="1" applyAlignment="1" applyProtection="1">
      <alignment horizontal="center"/>
      <protection hidden="1"/>
    </xf>
    <xf numFmtId="164" fontId="31" fillId="33" borderId="4" xfId="0" applyNumberFormat="1" applyFont="1" applyFill="1" applyBorder="1" applyAlignment="1" applyProtection="1">
      <alignment horizontal="center"/>
      <protection hidden="1"/>
    </xf>
    <xf numFmtId="0" fontId="31" fillId="14" borderId="4" xfId="0" applyFont="1" applyFill="1" applyBorder="1" applyAlignment="1" applyProtection="1">
      <alignment horizontal="center"/>
      <protection hidden="1"/>
    </xf>
    <xf numFmtId="164" fontId="31" fillId="14" borderId="4" xfId="0" applyNumberFormat="1" applyFont="1" applyFill="1" applyBorder="1" applyAlignment="1" applyProtection="1">
      <alignment horizontal="center"/>
      <protection hidden="1"/>
    </xf>
    <xf numFmtId="0" fontId="31" fillId="34" borderId="4" xfId="0" applyFont="1" applyFill="1" applyBorder="1" applyAlignment="1" applyProtection="1">
      <alignment horizontal="center"/>
      <protection hidden="1"/>
    </xf>
    <xf numFmtId="164" fontId="31" fillId="34" borderId="4" xfId="0" applyNumberFormat="1" applyFont="1" applyFill="1" applyBorder="1" applyAlignment="1" applyProtection="1">
      <alignment horizontal="center"/>
      <protection hidden="1"/>
    </xf>
    <xf numFmtId="0" fontId="38" fillId="9" borderId="4" xfId="0" applyFont="1" applyFill="1" applyBorder="1" applyAlignment="1" applyProtection="1">
      <alignment horizontal="center" vertical="center" wrapText="1"/>
      <protection hidden="1"/>
    </xf>
    <xf numFmtId="164" fontId="39" fillId="9" borderId="4" xfId="0" applyNumberFormat="1" applyFont="1" applyFill="1" applyBorder="1" applyAlignment="1" applyProtection="1">
      <alignment horizontal="center" vertical="center"/>
      <protection hidden="1"/>
    </xf>
    <xf numFmtId="167" fontId="39" fillId="9" borderId="4" xfId="0" applyNumberFormat="1" applyFont="1" applyFill="1" applyBorder="1" applyAlignment="1" applyProtection="1">
      <alignment horizontal="center" vertical="center"/>
      <protection hidden="1"/>
    </xf>
    <xf numFmtId="0" fontId="38" fillId="33" borderId="4" xfId="0" applyFont="1" applyFill="1" applyBorder="1" applyAlignment="1" applyProtection="1">
      <alignment horizontal="center" vertical="center" wrapText="1"/>
      <protection hidden="1"/>
    </xf>
    <xf numFmtId="164" fontId="39" fillId="33" borderId="4" xfId="0" applyNumberFormat="1" applyFont="1" applyFill="1" applyBorder="1" applyAlignment="1" applyProtection="1">
      <alignment horizontal="center" vertical="center"/>
      <protection hidden="1"/>
    </xf>
    <xf numFmtId="167" fontId="39" fillId="33" borderId="4" xfId="0" applyNumberFormat="1" applyFont="1" applyFill="1" applyBorder="1" applyAlignment="1" applyProtection="1">
      <alignment horizontal="center" vertical="center"/>
      <protection hidden="1"/>
    </xf>
    <xf numFmtId="0" fontId="38" fillId="14" borderId="4" xfId="0" applyFont="1" applyFill="1" applyBorder="1" applyAlignment="1" applyProtection="1">
      <alignment horizontal="center" vertical="center" wrapText="1"/>
      <protection hidden="1"/>
    </xf>
    <xf numFmtId="164" fontId="39" fillId="14" borderId="4" xfId="0" applyNumberFormat="1" applyFont="1" applyFill="1" applyBorder="1" applyAlignment="1" applyProtection="1">
      <alignment horizontal="center" vertical="center"/>
      <protection hidden="1"/>
    </xf>
    <xf numFmtId="167" fontId="39" fillId="14" borderId="4" xfId="0" applyNumberFormat="1" applyFont="1" applyFill="1" applyBorder="1" applyAlignment="1" applyProtection="1">
      <alignment horizontal="center" vertical="center"/>
      <protection hidden="1"/>
    </xf>
    <xf numFmtId="0" fontId="38" fillId="34" borderId="4" xfId="0" applyFont="1" applyFill="1" applyBorder="1" applyAlignment="1" applyProtection="1">
      <alignment horizontal="center" vertical="center" wrapText="1"/>
      <protection hidden="1"/>
    </xf>
    <xf numFmtId="164" fontId="39" fillId="34" borderId="4" xfId="0" applyNumberFormat="1" applyFont="1" applyFill="1" applyBorder="1" applyAlignment="1" applyProtection="1">
      <alignment horizontal="center" vertical="center"/>
      <protection hidden="1"/>
    </xf>
    <xf numFmtId="167" fontId="39" fillId="34" borderId="4" xfId="0" applyNumberFormat="1" applyFont="1" applyFill="1" applyBorder="1" applyAlignment="1" applyProtection="1">
      <alignment horizontal="center" vertical="center"/>
      <protection hidden="1"/>
    </xf>
    <xf numFmtId="0" fontId="6" fillId="30" borderId="4" xfId="0" applyFont="1" applyFill="1" applyBorder="1" applyAlignment="1" applyProtection="1">
      <alignment horizontal="center" vertical="center"/>
      <protection hidden="1"/>
    </xf>
    <xf numFmtId="0" fontId="0" fillId="25" borderId="0" xfId="0" applyFill="1" applyAlignment="1" applyProtection="1">
      <alignment shrinkToFit="1"/>
      <protection hidden="1"/>
    </xf>
    <xf numFmtId="0" fontId="19" fillId="25" borderId="0" xfId="0" applyFont="1" applyFill="1" applyAlignment="1" applyProtection="1">
      <alignment horizontal="center" vertical="center" shrinkToFit="1"/>
      <protection hidden="1"/>
    </xf>
    <xf numFmtId="164" fontId="39" fillId="15" borderId="4" xfId="0" applyNumberFormat="1" applyFont="1" applyFill="1" applyBorder="1" applyAlignment="1" applyProtection="1">
      <alignment horizontal="center" vertical="center"/>
      <protection hidden="1"/>
    </xf>
    <xf numFmtId="0" fontId="21" fillId="30" borderId="23" xfId="0" applyFont="1" applyFill="1" applyBorder="1" applyAlignment="1" applyProtection="1">
      <alignment horizontal="center"/>
      <protection hidden="1"/>
    </xf>
    <xf numFmtId="164" fontId="21" fillId="30" borderId="4" xfId="0" applyNumberFormat="1" applyFont="1" applyFill="1" applyBorder="1" applyAlignment="1" applyProtection="1">
      <alignment horizontal="center"/>
      <protection hidden="1"/>
    </xf>
    <xf numFmtId="164" fontId="21" fillId="30" borderId="24" xfId="0" applyNumberFormat="1" applyFont="1" applyFill="1" applyBorder="1" applyAlignment="1" applyProtection="1">
      <alignment horizontal="center"/>
      <protection hidden="1"/>
    </xf>
    <xf numFmtId="0" fontId="21" fillId="25" borderId="0" xfId="0" applyFont="1" applyFill="1" applyProtection="1">
      <protection hidden="1"/>
    </xf>
    <xf numFmtId="0" fontId="21" fillId="35" borderId="23" xfId="0" applyFont="1" applyFill="1" applyBorder="1" applyAlignment="1" applyProtection="1">
      <alignment horizontal="center"/>
      <protection hidden="1"/>
    </xf>
    <xf numFmtId="164" fontId="21" fillId="35" borderId="4" xfId="0" applyNumberFormat="1" applyFont="1" applyFill="1" applyBorder="1" applyAlignment="1" applyProtection="1">
      <alignment horizontal="center"/>
      <protection hidden="1"/>
    </xf>
    <xf numFmtId="164" fontId="21" fillId="35" borderId="24" xfId="0" applyNumberFormat="1" applyFont="1" applyFill="1" applyBorder="1" applyAlignment="1" applyProtection="1">
      <alignment horizontal="center"/>
      <protection hidden="1"/>
    </xf>
    <xf numFmtId="0" fontId="21" fillId="2" borderId="0" xfId="0" applyFont="1" applyFill="1" applyProtection="1">
      <protection hidden="1"/>
    </xf>
    <xf numFmtId="0" fontId="21" fillId="36" borderId="23" xfId="0" applyFont="1" applyFill="1" applyBorder="1" applyAlignment="1" applyProtection="1">
      <alignment horizontal="center"/>
      <protection hidden="1"/>
    </xf>
    <xf numFmtId="164" fontId="21" fillId="36" borderId="4" xfId="0" applyNumberFormat="1" applyFont="1" applyFill="1" applyBorder="1" applyAlignment="1" applyProtection="1">
      <alignment horizontal="center"/>
      <protection hidden="1"/>
    </xf>
    <xf numFmtId="164" fontId="21" fillId="36" borderId="24" xfId="0" applyNumberFormat="1" applyFont="1" applyFill="1" applyBorder="1" applyAlignment="1" applyProtection="1">
      <alignment horizontal="center"/>
      <protection hidden="1"/>
    </xf>
    <xf numFmtId="0" fontId="21" fillId="37" borderId="23" xfId="0" applyFont="1" applyFill="1" applyBorder="1" applyAlignment="1" applyProtection="1">
      <alignment horizontal="center"/>
      <protection hidden="1"/>
    </xf>
    <xf numFmtId="164" fontId="21" fillId="37" borderId="4" xfId="0" applyNumberFormat="1" applyFont="1" applyFill="1" applyBorder="1" applyAlignment="1" applyProtection="1">
      <alignment horizontal="center"/>
      <protection hidden="1"/>
    </xf>
    <xf numFmtId="164" fontId="21" fillId="37" borderId="24" xfId="0" applyNumberFormat="1" applyFont="1" applyFill="1" applyBorder="1" applyAlignment="1" applyProtection="1">
      <alignment horizontal="center"/>
      <protection hidden="1"/>
    </xf>
    <xf numFmtId="0" fontId="21" fillId="30" borderId="25" xfId="0" applyFont="1" applyFill="1" applyBorder="1" applyAlignment="1" applyProtection="1">
      <alignment horizontal="center"/>
      <protection hidden="1"/>
    </xf>
    <xf numFmtId="164" fontId="21" fillId="30" borderId="26" xfId="0" applyNumberFormat="1" applyFont="1" applyFill="1" applyBorder="1" applyAlignment="1" applyProtection="1">
      <alignment horizontal="center"/>
      <protection hidden="1"/>
    </xf>
    <xf numFmtId="164" fontId="21" fillId="30" borderId="27" xfId="0" applyNumberFormat="1" applyFont="1" applyFill="1" applyBorder="1" applyAlignment="1" applyProtection="1">
      <alignment horizontal="center"/>
      <protection hidden="1"/>
    </xf>
    <xf numFmtId="0" fontId="21" fillId="35" borderId="25" xfId="0" applyFont="1" applyFill="1" applyBorder="1" applyAlignment="1" applyProtection="1">
      <alignment horizontal="center"/>
      <protection hidden="1"/>
    </xf>
    <xf numFmtId="164" fontId="21" fillId="35" borderId="26" xfId="0" applyNumberFormat="1" applyFont="1" applyFill="1" applyBorder="1" applyAlignment="1" applyProtection="1">
      <alignment horizontal="center"/>
      <protection hidden="1"/>
    </xf>
    <xf numFmtId="164" fontId="21" fillId="35" borderId="27" xfId="0" applyNumberFormat="1" applyFont="1" applyFill="1" applyBorder="1" applyAlignment="1" applyProtection="1">
      <alignment horizontal="center"/>
      <protection hidden="1"/>
    </xf>
    <xf numFmtId="0" fontId="21" fillId="36" borderId="25" xfId="0" applyFont="1" applyFill="1" applyBorder="1" applyAlignment="1" applyProtection="1">
      <alignment horizontal="center"/>
      <protection hidden="1"/>
    </xf>
    <xf numFmtId="164" fontId="21" fillId="36" borderId="26" xfId="0" applyNumberFormat="1" applyFont="1" applyFill="1" applyBorder="1" applyAlignment="1" applyProtection="1">
      <alignment horizontal="center"/>
      <protection hidden="1"/>
    </xf>
    <xf numFmtId="164" fontId="21" fillId="36" borderId="27" xfId="0" applyNumberFormat="1" applyFont="1" applyFill="1" applyBorder="1" applyAlignment="1" applyProtection="1">
      <alignment horizontal="center"/>
      <protection hidden="1"/>
    </xf>
    <xf numFmtId="0" fontId="21" fillId="37" borderId="25" xfId="0" applyFont="1" applyFill="1" applyBorder="1" applyAlignment="1" applyProtection="1">
      <alignment horizontal="center"/>
      <protection hidden="1"/>
    </xf>
    <xf numFmtId="164" fontId="21" fillId="37" borderId="26" xfId="0" applyNumberFormat="1" applyFont="1" applyFill="1" applyBorder="1" applyAlignment="1" applyProtection="1">
      <alignment horizontal="center"/>
      <protection hidden="1"/>
    </xf>
    <xf numFmtId="164" fontId="21" fillId="37" borderId="27" xfId="0" applyNumberFormat="1" applyFont="1" applyFill="1" applyBorder="1" applyAlignment="1" applyProtection="1">
      <alignment horizontal="center"/>
      <protection hidden="1"/>
    </xf>
    <xf numFmtId="0" fontId="31" fillId="25" borderId="0" xfId="0" applyFont="1" applyFill="1" applyProtection="1"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6" fillId="35" borderId="4" xfId="0" applyFont="1" applyFill="1" applyBorder="1" applyAlignment="1" applyProtection="1">
      <alignment horizontal="center" vertical="center"/>
      <protection hidden="1"/>
    </xf>
    <xf numFmtId="0" fontId="6" fillId="36" borderId="4" xfId="0" applyFont="1" applyFill="1" applyBorder="1" applyAlignment="1" applyProtection="1">
      <alignment horizontal="center" vertical="center"/>
      <protection hidden="1"/>
    </xf>
    <xf numFmtId="0" fontId="6" fillId="37" borderId="4" xfId="0" applyFont="1" applyFill="1" applyBorder="1" applyAlignment="1" applyProtection="1">
      <alignment horizontal="center" vertical="center"/>
      <protection hidden="1"/>
    </xf>
    <xf numFmtId="0" fontId="38" fillId="9" borderId="4" xfId="0" applyFont="1" applyFill="1" applyBorder="1" applyAlignment="1" applyProtection="1">
      <alignment horizontal="center" vertical="center"/>
      <protection hidden="1"/>
    </xf>
    <xf numFmtId="0" fontId="41" fillId="25" borderId="0" xfId="0" applyFont="1" applyFill="1" applyAlignment="1" applyProtection="1">
      <alignment shrinkToFit="1"/>
      <protection hidden="1"/>
    </xf>
    <xf numFmtId="0" fontId="8" fillId="4" borderId="1" xfId="0" applyFont="1" applyFill="1" applyBorder="1" applyAlignment="1" applyProtection="1">
      <alignment horizontal="center"/>
      <protection locked="0"/>
    </xf>
    <xf numFmtId="0" fontId="0" fillId="28" borderId="5" xfId="0" applyFill="1" applyBorder="1" applyProtection="1">
      <protection hidden="1"/>
    </xf>
    <xf numFmtId="2" fontId="0" fillId="28" borderId="5" xfId="0" applyNumberFormat="1" applyFill="1" applyBorder="1" applyProtection="1">
      <protection hidden="1"/>
    </xf>
    <xf numFmtId="170" fontId="0" fillId="28" borderId="5" xfId="0" applyNumberFormat="1" applyFill="1" applyBorder="1" applyProtection="1">
      <protection hidden="1"/>
    </xf>
    <xf numFmtId="11" fontId="0" fillId="28" borderId="5" xfId="0" applyNumberFormat="1" applyFill="1" applyBorder="1" applyProtection="1">
      <protection hidden="1"/>
    </xf>
    <xf numFmtId="166" fontId="0" fillId="28" borderId="5" xfId="0" applyNumberFormat="1" applyFill="1" applyBorder="1" applyProtection="1">
      <protection hidden="1"/>
    </xf>
    <xf numFmtId="0" fontId="0" fillId="28" borderId="3" xfId="0" applyFill="1" applyBorder="1" applyProtection="1">
      <protection hidden="1"/>
    </xf>
    <xf numFmtId="0" fontId="13" fillId="28" borderId="3" xfId="0" applyFont="1" applyFill="1" applyBorder="1" applyAlignment="1" applyProtection="1">
      <alignment horizontal="left"/>
      <protection hidden="1"/>
    </xf>
    <xf numFmtId="0" fontId="12" fillId="28" borderId="3" xfId="0" applyFont="1" applyFill="1" applyBorder="1" applyProtection="1">
      <protection hidden="1"/>
    </xf>
    <xf numFmtId="0" fontId="0" fillId="0" borderId="4" xfId="0" applyBorder="1" applyProtection="1">
      <protection hidden="1"/>
    </xf>
    <xf numFmtId="0" fontId="0" fillId="0" borderId="4" xfId="0" applyBorder="1" applyAlignment="1">
      <alignment shrinkToFit="1"/>
    </xf>
    <xf numFmtId="0" fontId="5" fillId="2" borderId="29" xfId="0" applyFont="1" applyFill="1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24" xfId="0" applyBorder="1"/>
    <xf numFmtId="164" fontId="0" fillId="0" borderId="0" xfId="0" applyNumberFormat="1" applyProtection="1">
      <protection hidden="1"/>
    </xf>
    <xf numFmtId="0" fontId="20" fillId="25" borderId="0" xfId="0" applyFont="1" applyFill="1" applyAlignment="1" applyProtection="1">
      <alignment horizontal="center" vertical="center" shrinkToFit="1"/>
      <protection hidden="1"/>
    </xf>
    <xf numFmtId="0" fontId="0" fillId="2" borderId="0" xfId="0" applyFill="1" applyAlignment="1" applyProtection="1">
      <alignment shrinkToFit="1"/>
      <protection hidden="1"/>
    </xf>
    <xf numFmtId="0" fontId="22" fillId="2" borderId="0" xfId="1" applyFont="1" applyFill="1" applyAlignment="1" applyProtection="1">
      <alignment horizontal="center" shrinkToFit="1"/>
      <protection hidden="1"/>
    </xf>
    <xf numFmtId="0" fontId="42" fillId="38" borderId="4" xfId="0" applyFont="1" applyFill="1" applyBorder="1" applyAlignment="1" applyProtection="1">
      <alignment horizontal="center" vertical="center" wrapText="1"/>
      <protection hidden="1"/>
    </xf>
    <xf numFmtId="0" fontId="43" fillId="38" borderId="4" xfId="0" applyFont="1" applyFill="1" applyBorder="1" applyAlignment="1" applyProtection="1">
      <alignment horizontal="center" vertical="center"/>
      <protection hidden="1"/>
    </xf>
    <xf numFmtId="164" fontId="43" fillId="38" borderId="4" xfId="0" applyNumberFormat="1" applyFont="1" applyFill="1" applyBorder="1" applyAlignment="1" applyProtection="1">
      <alignment horizontal="center" vertical="center"/>
      <protection hidden="1"/>
    </xf>
    <xf numFmtId="2" fontId="43" fillId="38" borderId="4" xfId="0" applyNumberFormat="1" applyFont="1" applyFill="1" applyBorder="1" applyAlignment="1" applyProtection="1">
      <alignment horizontal="center" vertical="center"/>
      <protection hidden="1"/>
    </xf>
    <xf numFmtId="1" fontId="42" fillId="38" borderId="4" xfId="0" applyNumberFormat="1" applyFont="1" applyFill="1" applyBorder="1" applyAlignment="1" applyProtection="1">
      <alignment horizontal="center" vertical="center"/>
      <protection hidden="1"/>
    </xf>
    <xf numFmtId="0" fontId="38" fillId="15" borderId="4" xfId="0" applyFont="1" applyFill="1" applyBorder="1" applyAlignment="1" applyProtection="1">
      <alignment horizontal="center" vertical="center" wrapText="1"/>
      <protection hidden="1"/>
    </xf>
    <xf numFmtId="167" fontId="39" fillId="15" borderId="4" xfId="0" applyNumberFormat="1" applyFont="1" applyFill="1" applyBorder="1" applyAlignment="1" applyProtection="1">
      <alignment horizontal="center" vertical="center"/>
      <protection hidden="1"/>
    </xf>
    <xf numFmtId="0" fontId="38" fillId="39" borderId="4" xfId="0" applyFont="1" applyFill="1" applyBorder="1" applyAlignment="1" applyProtection="1">
      <alignment horizontal="center" vertical="center" wrapText="1"/>
      <protection hidden="1"/>
    </xf>
    <xf numFmtId="164" fontId="39" fillId="39" borderId="4" xfId="0" applyNumberFormat="1" applyFont="1" applyFill="1" applyBorder="1" applyAlignment="1" applyProtection="1">
      <alignment horizontal="center" vertical="center"/>
      <protection hidden="1"/>
    </xf>
    <xf numFmtId="167" fontId="39" fillId="39" borderId="4" xfId="0" applyNumberFormat="1" applyFont="1" applyFill="1" applyBorder="1" applyAlignment="1" applyProtection="1">
      <alignment horizontal="center" vertical="center"/>
      <protection hidden="1"/>
    </xf>
    <xf numFmtId="0" fontId="30" fillId="25" borderId="0" xfId="0" applyFont="1" applyFill="1" applyAlignment="1">
      <alignment shrinkToFit="1"/>
    </xf>
    <xf numFmtId="0" fontId="31" fillId="40" borderId="4" xfId="0" applyFont="1" applyFill="1" applyBorder="1" applyAlignment="1" applyProtection="1">
      <alignment horizontal="center"/>
      <protection hidden="1"/>
    </xf>
    <xf numFmtId="164" fontId="31" fillId="40" borderId="4" xfId="0" applyNumberFormat="1" applyFont="1" applyFill="1" applyBorder="1" applyAlignment="1" applyProtection="1">
      <alignment horizontal="center"/>
      <protection hidden="1"/>
    </xf>
    <xf numFmtId="0" fontId="44" fillId="38" borderId="23" xfId="0" applyFont="1" applyFill="1" applyBorder="1" applyAlignment="1" applyProtection="1">
      <alignment horizontal="center"/>
      <protection hidden="1"/>
    </xf>
    <xf numFmtId="164" fontId="44" fillId="38" borderId="4" xfId="0" applyNumberFormat="1" applyFont="1" applyFill="1" applyBorder="1" applyAlignment="1" applyProtection="1">
      <alignment horizontal="center"/>
      <protection hidden="1"/>
    </xf>
    <xf numFmtId="164" fontId="44" fillId="38" borderId="24" xfId="0" applyNumberFormat="1" applyFont="1" applyFill="1" applyBorder="1" applyAlignment="1" applyProtection="1">
      <alignment horizontal="center"/>
      <protection hidden="1"/>
    </xf>
    <xf numFmtId="0" fontId="44" fillId="38" borderId="25" xfId="0" applyFont="1" applyFill="1" applyBorder="1" applyAlignment="1" applyProtection="1">
      <alignment horizontal="center"/>
      <protection hidden="1"/>
    </xf>
    <xf numFmtId="164" fontId="44" fillId="38" borderId="26" xfId="0" applyNumberFormat="1" applyFont="1" applyFill="1" applyBorder="1" applyAlignment="1" applyProtection="1">
      <alignment horizontal="center"/>
      <protection hidden="1"/>
    </xf>
    <xf numFmtId="164" fontId="44" fillId="38" borderId="27" xfId="0" applyNumberFormat="1" applyFont="1" applyFill="1" applyBorder="1" applyAlignment="1" applyProtection="1">
      <alignment horizontal="center"/>
      <protection hidden="1"/>
    </xf>
    <xf numFmtId="0" fontId="38" fillId="40" borderId="4" xfId="0" applyFont="1" applyFill="1" applyBorder="1" applyAlignment="1" applyProtection="1">
      <alignment horizontal="center" vertical="center" wrapText="1"/>
      <protection hidden="1"/>
    </xf>
    <xf numFmtId="164" fontId="39" fillId="40" borderId="4" xfId="0" applyNumberFormat="1" applyFont="1" applyFill="1" applyBorder="1" applyAlignment="1" applyProtection="1">
      <alignment horizontal="center" vertical="center"/>
      <protection hidden="1"/>
    </xf>
    <xf numFmtId="167" fontId="39" fillId="40" borderId="4" xfId="0" applyNumberFormat="1" applyFont="1" applyFill="1" applyBorder="1" applyAlignment="1" applyProtection="1">
      <alignment horizontal="center" vertical="center"/>
      <protection hidden="1"/>
    </xf>
    <xf numFmtId="164" fontId="42" fillId="38" borderId="4" xfId="0" applyNumberFormat="1" applyFont="1" applyFill="1" applyBorder="1" applyAlignment="1" applyProtection="1">
      <alignment horizontal="center" vertical="center"/>
      <protection hidden="1"/>
    </xf>
    <xf numFmtId="164" fontId="6" fillId="30" borderId="4" xfId="0" applyNumberFormat="1" applyFont="1" applyFill="1" applyBorder="1" applyAlignment="1" applyProtection="1">
      <alignment horizontal="center" vertical="center"/>
      <protection hidden="1"/>
    </xf>
    <xf numFmtId="164" fontId="6" fillId="35" borderId="4" xfId="0" applyNumberFormat="1" applyFont="1" applyFill="1" applyBorder="1" applyAlignment="1" applyProtection="1">
      <alignment horizontal="center" vertical="center"/>
      <protection hidden="1"/>
    </xf>
    <xf numFmtId="164" fontId="6" fillId="36" borderId="4" xfId="0" applyNumberFormat="1" applyFont="1" applyFill="1" applyBorder="1" applyAlignment="1" applyProtection="1">
      <alignment horizontal="center" vertical="center"/>
      <protection hidden="1"/>
    </xf>
    <xf numFmtId="164" fontId="6" fillId="37" borderId="4" xfId="0" applyNumberFormat="1" applyFont="1" applyFill="1" applyBorder="1" applyAlignment="1" applyProtection="1">
      <alignment horizontal="center" vertical="center"/>
      <protection hidden="1"/>
    </xf>
    <xf numFmtId="0" fontId="42" fillId="38" borderId="4" xfId="0" applyFont="1" applyFill="1" applyBorder="1" applyAlignment="1" applyProtection="1">
      <alignment horizontal="center" vertical="center"/>
      <protection hidden="1"/>
    </xf>
    <xf numFmtId="0" fontId="1" fillId="24" borderId="4" xfId="0" applyFont="1" applyFill="1" applyBorder="1" applyAlignment="1" applyProtection="1">
      <alignment horizontal="center"/>
      <protection hidden="1"/>
    </xf>
    <xf numFmtId="0" fontId="0" fillId="24" borderId="4" xfId="0" applyFill="1" applyBorder="1" applyAlignment="1" applyProtection="1">
      <alignment horizontal="center"/>
      <protection hidden="1"/>
    </xf>
    <xf numFmtId="0" fontId="40" fillId="14" borderId="11" xfId="0" applyFont="1" applyFill="1" applyBorder="1" applyAlignment="1" applyProtection="1">
      <alignment horizontal="center" vertical="center" wrapText="1"/>
      <protection hidden="1"/>
    </xf>
    <xf numFmtId="0" fontId="0" fillId="14" borderId="12" xfId="0" applyFill="1" applyBorder="1" applyAlignment="1">
      <alignment wrapText="1"/>
    </xf>
    <xf numFmtId="0" fontId="0" fillId="14" borderId="13" xfId="0" applyFill="1" applyBorder="1" applyAlignment="1">
      <alignment wrapText="1"/>
    </xf>
    <xf numFmtId="0" fontId="0" fillId="14" borderId="8" xfId="0" applyFill="1" applyBorder="1" applyAlignment="1">
      <alignment wrapText="1"/>
    </xf>
    <xf numFmtId="0" fontId="0" fillId="14" borderId="9" xfId="0" applyFill="1" applyBorder="1" applyAlignment="1">
      <alignment wrapText="1"/>
    </xf>
    <xf numFmtId="0" fontId="0" fillId="14" borderId="10" xfId="0" applyFill="1" applyBorder="1" applyAlignment="1">
      <alignment wrapText="1"/>
    </xf>
    <xf numFmtId="0" fontId="40" fillId="34" borderId="11" xfId="0" applyFont="1" applyFill="1" applyBorder="1" applyAlignment="1" applyProtection="1">
      <alignment horizontal="center" vertical="center" wrapText="1"/>
      <protection hidden="1"/>
    </xf>
    <xf numFmtId="0" fontId="0" fillId="34" borderId="12" xfId="0" applyFill="1" applyBorder="1" applyAlignment="1">
      <alignment wrapText="1"/>
    </xf>
    <xf numFmtId="0" fontId="0" fillId="34" borderId="13" xfId="0" applyFill="1" applyBorder="1" applyAlignment="1">
      <alignment wrapText="1"/>
    </xf>
    <xf numFmtId="0" fontId="0" fillId="34" borderId="8" xfId="0" applyFill="1" applyBorder="1" applyAlignment="1">
      <alignment wrapText="1"/>
    </xf>
    <xf numFmtId="0" fontId="0" fillId="34" borderId="9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16" fillId="35" borderId="14" xfId="0" applyFont="1" applyFill="1" applyBorder="1" applyAlignment="1" applyProtection="1">
      <alignment horizontal="center" vertical="center"/>
      <protection hidden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36" borderId="14" xfId="0" applyFont="1" applyFill="1" applyBorder="1" applyAlignment="1" applyProtection="1">
      <alignment horizontal="center" vertical="center"/>
      <protection hidden="1"/>
    </xf>
    <xf numFmtId="0" fontId="0" fillId="36" borderId="15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16" fillId="37" borderId="14" xfId="0" applyFont="1" applyFill="1" applyBorder="1" applyAlignment="1" applyProtection="1">
      <alignment horizontal="center" vertical="center"/>
      <protection hidden="1"/>
    </xf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0" fontId="0" fillId="37" borderId="18" xfId="0" applyFill="1" applyBorder="1"/>
    <xf numFmtId="0" fontId="0" fillId="37" borderId="19" xfId="0" applyFill="1" applyBorder="1"/>
    <xf numFmtId="0" fontId="40" fillId="40" borderId="11" xfId="0" applyFont="1" applyFill="1" applyBorder="1" applyAlignment="1" applyProtection="1">
      <alignment horizontal="center" vertical="center" wrapText="1"/>
      <protection hidden="1"/>
    </xf>
    <xf numFmtId="0" fontId="0" fillId="40" borderId="12" xfId="0" applyFill="1" applyBorder="1" applyAlignment="1">
      <alignment wrapText="1"/>
    </xf>
    <xf numFmtId="0" fontId="0" fillId="40" borderId="13" xfId="0" applyFill="1" applyBorder="1" applyAlignment="1">
      <alignment wrapText="1"/>
    </xf>
    <xf numFmtId="0" fontId="0" fillId="40" borderId="8" xfId="0" applyFill="1" applyBorder="1" applyAlignment="1">
      <alignment wrapText="1"/>
    </xf>
    <xf numFmtId="0" fontId="0" fillId="40" borderId="9" xfId="0" applyFill="1" applyBorder="1" applyAlignment="1">
      <alignment wrapText="1"/>
    </xf>
    <xf numFmtId="0" fontId="0" fillId="40" borderId="10" xfId="0" applyFill="1" applyBorder="1" applyAlignment="1">
      <alignment wrapText="1"/>
    </xf>
    <xf numFmtId="0" fontId="45" fillId="38" borderId="14" xfId="0" applyFont="1" applyFill="1" applyBorder="1" applyAlignment="1" applyProtection="1">
      <alignment horizontal="center" vertical="center"/>
      <protection hidden="1"/>
    </xf>
    <xf numFmtId="0" fontId="44" fillId="38" borderId="15" xfId="0" applyFont="1" applyFill="1" applyBorder="1"/>
    <xf numFmtId="0" fontId="44" fillId="38" borderId="16" xfId="0" applyFont="1" applyFill="1" applyBorder="1"/>
    <xf numFmtId="0" fontId="44" fillId="38" borderId="17" xfId="0" applyFont="1" applyFill="1" applyBorder="1"/>
    <xf numFmtId="0" fontId="44" fillId="38" borderId="18" xfId="0" applyFont="1" applyFill="1" applyBorder="1"/>
    <xf numFmtId="0" fontId="44" fillId="38" borderId="19" xfId="0" applyFont="1" applyFill="1" applyBorder="1"/>
    <xf numFmtId="0" fontId="1" fillId="24" borderId="22" xfId="0" applyFont="1" applyFill="1" applyBorder="1" applyAlignment="1" applyProtection="1">
      <alignment horizontal="center"/>
      <protection hidden="1"/>
    </xf>
    <xf numFmtId="0" fontId="0" fillId="24" borderId="5" xfId="0" applyFill="1" applyBorder="1" applyAlignment="1" applyProtection="1">
      <alignment horizontal="center"/>
      <protection hidden="1"/>
    </xf>
    <xf numFmtId="0" fontId="40" fillId="33" borderId="11" xfId="0" applyFont="1" applyFill="1" applyBorder="1" applyAlignment="1" applyProtection="1">
      <alignment horizontal="center" vertical="center" wrapText="1"/>
      <protection hidden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40" fillId="15" borderId="4" xfId="0" applyFont="1" applyFill="1" applyBorder="1" applyAlignment="1" applyProtection="1">
      <alignment horizontal="center" vertical="center" wrapText="1"/>
      <protection hidden="1"/>
    </xf>
    <xf numFmtId="0" fontId="40" fillId="15" borderId="4" xfId="0" applyFont="1" applyFill="1" applyBorder="1" applyAlignment="1">
      <alignment horizontal="center" vertical="center" wrapText="1"/>
    </xf>
    <xf numFmtId="0" fontId="40" fillId="15" borderId="4" xfId="0" applyFont="1" applyFill="1" applyBorder="1" applyAlignment="1">
      <alignment wrapText="1"/>
    </xf>
    <xf numFmtId="0" fontId="16" fillId="30" borderId="14" xfId="0" applyFont="1" applyFill="1" applyBorder="1" applyAlignment="1" applyProtection="1">
      <alignment horizontal="center" vertical="center" wrapText="1"/>
      <protection hidden="1"/>
    </xf>
    <xf numFmtId="0" fontId="16" fillId="30" borderId="15" xfId="0" applyFont="1" applyFill="1" applyBorder="1" applyAlignment="1">
      <alignment horizontal="center" vertical="center" wrapText="1"/>
    </xf>
    <xf numFmtId="0" fontId="16" fillId="30" borderId="16" xfId="0" applyFont="1" applyFill="1" applyBorder="1" applyAlignment="1">
      <alignment wrapText="1"/>
    </xf>
    <xf numFmtId="0" fontId="16" fillId="30" borderId="17" xfId="0" applyFont="1" applyFill="1" applyBorder="1" applyAlignment="1">
      <alignment horizontal="center" vertical="center" wrapText="1"/>
    </xf>
    <xf numFmtId="0" fontId="16" fillId="30" borderId="18" xfId="0" applyFont="1" applyFill="1" applyBorder="1" applyAlignment="1">
      <alignment horizontal="center" vertical="center" wrapText="1"/>
    </xf>
    <xf numFmtId="0" fontId="16" fillId="30" borderId="19" xfId="0" applyFont="1" applyFill="1" applyBorder="1" applyAlignment="1">
      <alignment wrapText="1"/>
    </xf>
    <xf numFmtId="0" fontId="30" fillId="25" borderId="0" xfId="0" applyFont="1" applyFill="1" applyAlignment="1" applyProtection="1">
      <alignment vertical="center" wrapText="1"/>
      <protection hidden="1"/>
    </xf>
    <xf numFmtId="0" fontId="0" fillId="0" borderId="0" xfId="0" applyAlignment="1">
      <alignment vertical="center" wrapText="1"/>
    </xf>
    <xf numFmtId="0" fontId="11" fillId="10" borderId="1" xfId="0" applyFont="1" applyFill="1" applyBorder="1" applyAlignment="1" applyProtection="1">
      <alignment horizontal="center"/>
      <protection hidden="1"/>
    </xf>
    <xf numFmtId="0" fontId="11" fillId="10" borderId="2" xfId="0" applyFont="1" applyFill="1" applyBorder="1" applyAlignment="1" applyProtection="1">
      <alignment horizontal="center"/>
      <protection hidden="1"/>
    </xf>
    <xf numFmtId="0" fontId="11" fillId="10" borderId="3" xfId="0" applyFont="1" applyFill="1" applyBorder="1" applyAlignment="1" applyProtection="1">
      <alignment horizontal="center"/>
      <protection hidden="1"/>
    </xf>
    <xf numFmtId="170" fontId="0" fillId="23" borderId="9" xfId="0" applyNumberFormat="1" applyFill="1" applyBorder="1" applyAlignment="1" applyProtection="1">
      <alignment horizontal="center" vertical="center"/>
      <protection hidden="1"/>
    </xf>
    <xf numFmtId="0" fontId="0" fillId="23" borderId="9" xfId="0" applyFill="1" applyBorder="1" applyAlignment="1" applyProtection="1">
      <alignment horizontal="center" vertical="center"/>
      <protection hidden="1"/>
    </xf>
    <xf numFmtId="0" fontId="6" fillId="7" borderId="2" xfId="0" applyFont="1" applyFill="1" applyBorder="1" applyAlignment="1" applyProtection="1">
      <alignment horizontal="center" vertical="center"/>
      <protection hidden="1"/>
    </xf>
    <xf numFmtId="0" fontId="6" fillId="7" borderId="3" xfId="0" applyFont="1" applyFill="1" applyBorder="1" applyAlignment="1" applyProtection="1">
      <alignment horizontal="center" vertical="center"/>
      <protection hidden="1"/>
    </xf>
    <xf numFmtId="0" fontId="19" fillId="2" borderId="1" xfId="0" applyFont="1" applyFill="1" applyBorder="1" applyAlignment="1" applyProtection="1">
      <alignment horizontal="center" vertical="center"/>
      <protection hidden="1"/>
    </xf>
    <xf numFmtId="0" fontId="19" fillId="2" borderId="3" xfId="0" applyFont="1" applyFill="1" applyBorder="1" applyAlignment="1" applyProtection="1">
      <alignment horizontal="center" vertical="center"/>
      <protection hidden="1"/>
    </xf>
    <xf numFmtId="0" fontId="22" fillId="2" borderId="0" xfId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0" fontId="5" fillId="4" borderId="4" xfId="0" applyFont="1" applyFill="1" applyBorder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31" fillId="26" borderId="0" xfId="0" applyFont="1" applyFill="1" applyAlignment="1" applyProtection="1">
      <alignment horizontal="center" vertical="center"/>
      <protection hidden="1"/>
    </xf>
    <xf numFmtId="0" fontId="31" fillId="26" borderId="0" xfId="0" applyFont="1" applyFill="1" applyAlignment="1">
      <alignment horizontal="center" vertical="center"/>
    </xf>
    <xf numFmtId="0" fontId="0" fillId="0" borderId="0" xfId="0" applyProtection="1">
      <protection hidden="1"/>
    </xf>
    <xf numFmtId="0" fontId="0" fillId="0" borderId="0" xfId="0"/>
    <xf numFmtId="1" fontId="5" fillId="7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>
      <alignment horizontal="center"/>
    </xf>
    <xf numFmtId="0" fontId="0" fillId="0" borderId="4" xfId="0" applyBorder="1"/>
    <xf numFmtId="1" fontId="11" fillId="10" borderId="4" xfId="0" applyNumberFormat="1" applyFont="1" applyFill="1" applyBorder="1" applyAlignment="1" applyProtection="1">
      <alignment horizontal="center"/>
      <protection hidden="1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1" fontId="0" fillId="7" borderId="1" xfId="0" applyNumberFormat="1" applyFill="1" applyBorder="1" applyAlignment="1" applyProtection="1">
      <alignment horizontal="center"/>
      <protection hidden="1"/>
    </xf>
    <xf numFmtId="0" fontId="0" fillId="0" borderId="2" xfId="0" applyBorder="1"/>
    <xf numFmtId="0" fontId="0" fillId="0" borderId="3" xfId="0" applyBorder="1"/>
    <xf numFmtId="1" fontId="0" fillId="24" borderId="1" xfId="0" applyNumberFormat="1" applyFill="1" applyBorder="1" applyAlignment="1" applyProtection="1">
      <alignment horizontal="center"/>
      <protection hidden="1"/>
    </xf>
    <xf numFmtId="0" fontId="0" fillId="24" borderId="2" xfId="0" applyFill="1" applyBorder="1"/>
    <xf numFmtId="0" fontId="0" fillId="24" borderId="3" xfId="0" applyFill="1" applyBorder="1"/>
    <xf numFmtId="1" fontId="0" fillId="23" borderId="1" xfId="0" applyNumberFormat="1" applyFill="1" applyBorder="1" applyAlignment="1" applyProtection="1">
      <alignment horizontal="center"/>
      <protection hidden="1"/>
    </xf>
    <xf numFmtId="0" fontId="0" fillId="23" borderId="2" xfId="0" applyFill="1" applyBorder="1"/>
    <xf numFmtId="0" fontId="0" fillId="23" borderId="3" xfId="0" applyFill="1" applyBorder="1"/>
    <xf numFmtId="1" fontId="0" fillId="14" borderId="1" xfId="0" applyNumberFormat="1" applyFill="1" applyBorder="1" applyAlignment="1" applyProtection="1">
      <alignment horizontal="center"/>
      <protection hidden="1"/>
    </xf>
    <xf numFmtId="0" fontId="0" fillId="14" borderId="2" xfId="0" applyFill="1" applyBorder="1"/>
    <xf numFmtId="0" fontId="0" fillId="14" borderId="3" xfId="0" applyFill="1" applyBorder="1"/>
    <xf numFmtId="0" fontId="4" fillId="3" borderId="4" xfId="0" applyFont="1" applyFill="1" applyBorder="1" applyAlignment="1" applyProtection="1">
      <alignment horizontal="center"/>
      <protection hidden="1"/>
    </xf>
    <xf numFmtId="0" fontId="5" fillId="7" borderId="11" xfId="0" applyFont="1" applyFill="1" applyBorder="1" applyAlignment="1" applyProtection="1">
      <alignment horizontal="center" vertical="center"/>
      <protection hidden="1"/>
    </xf>
    <xf numFmtId="0" fontId="5" fillId="7" borderId="8" xfId="0" applyFont="1" applyFill="1" applyBorder="1" applyAlignment="1" applyProtection="1">
      <alignment horizontal="center" vertical="center"/>
      <protection hidden="1"/>
    </xf>
    <xf numFmtId="0" fontId="5" fillId="4" borderId="11" xfId="0" applyFont="1" applyFill="1" applyBorder="1" applyAlignment="1" applyProtection="1">
      <alignment horizontal="center" vertical="center"/>
      <protection hidden="1"/>
    </xf>
    <xf numFmtId="0" fontId="5" fillId="4" borderId="8" xfId="0" applyFont="1" applyFill="1" applyBorder="1" applyAlignment="1" applyProtection="1">
      <alignment horizontal="center" vertical="center"/>
      <protection hidden="1"/>
    </xf>
    <xf numFmtId="0" fontId="5" fillId="12" borderId="11" xfId="0" applyFont="1" applyFill="1" applyBorder="1" applyAlignment="1" applyProtection="1">
      <alignment horizontal="center" vertical="center"/>
      <protection hidden="1"/>
    </xf>
    <xf numFmtId="0" fontId="5" fillId="12" borderId="8" xfId="0" applyFont="1" applyFill="1" applyBorder="1" applyAlignment="1" applyProtection="1">
      <alignment horizontal="center" vertical="center"/>
      <protection hidden="1"/>
    </xf>
    <xf numFmtId="0" fontId="5" fillId="4" borderId="4" xfId="0" applyFont="1" applyFill="1" applyBorder="1" applyAlignment="1" applyProtection="1">
      <alignment horizontal="left"/>
      <protection hidden="1"/>
    </xf>
    <xf numFmtId="0" fontId="11" fillId="10" borderId="1" xfId="0" applyFont="1" applyFill="1" applyBorder="1" applyAlignment="1" applyProtection="1">
      <alignment horizontal="left"/>
      <protection hidden="1"/>
    </xf>
    <xf numFmtId="0" fontId="11" fillId="10" borderId="2" xfId="0" applyFont="1" applyFill="1" applyBorder="1" applyAlignment="1" applyProtection="1">
      <alignment horizontal="left"/>
      <protection hidden="1"/>
    </xf>
    <xf numFmtId="0" fontId="11" fillId="10" borderId="3" xfId="0" applyFont="1" applyFill="1" applyBorder="1" applyAlignment="1" applyProtection="1">
      <alignment horizontal="left"/>
      <protection hidden="1"/>
    </xf>
    <xf numFmtId="0" fontId="5" fillId="7" borderId="6" xfId="0" applyFont="1" applyFill="1" applyBorder="1" applyAlignment="1" applyProtection="1">
      <alignment horizontal="center" vertical="center"/>
      <protection hidden="1"/>
    </xf>
    <xf numFmtId="0" fontId="5" fillId="12" borderId="6" xfId="0" applyFont="1" applyFill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center"/>
      <protection hidden="1"/>
    </xf>
    <xf numFmtId="0" fontId="5" fillId="6" borderId="1" xfId="0" applyFont="1" applyFill="1" applyBorder="1" applyAlignment="1" applyProtection="1">
      <alignment horizontal="center"/>
      <protection hidden="1"/>
    </xf>
    <xf numFmtId="0" fontId="5" fillId="6" borderId="2" xfId="0" applyFont="1" applyFill="1" applyBorder="1" applyAlignment="1" applyProtection="1">
      <alignment horizontal="center"/>
      <protection hidden="1"/>
    </xf>
    <xf numFmtId="0" fontId="5" fillId="6" borderId="3" xfId="0" applyFont="1" applyFill="1" applyBorder="1" applyAlignment="1" applyProtection="1">
      <alignment horizontal="center"/>
      <protection hidden="1"/>
    </xf>
    <xf numFmtId="0" fontId="4" fillId="6" borderId="1" xfId="0" applyFont="1" applyFill="1" applyBorder="1" applyAlignment="1" applyProtection="1">
      <alignment horizontal="center"/>
      <protection hidden="1"/>
    </xf>
    <xf numFmtId="0" fontId="4" fillId="6" borderId="2" xfId="0" applyFont="1" applyFill="1" applyBorder="1" applyAlignment="1" applyProtection="1">
      <alignment horizontal="center"/>
      <protection hidden="1"/>
    </xf>
    <xf numFmtId="0" fontId="4" fillId="6" borderId="3" xfId="0" applyFont="1" applyFill="1" applyBorder="1" applyAlignment="1" applyProtection="1">
      <alignment horizontal="center"/>
      <protection hidden="1"/>
    </xf>
    <xf numFmtId="0" fontId="40" fillId="40" borderId="4" xfId="0" applyFont="1" applyFill="1" applyBorder="1" applyAlignment="1" applyProtection="1">
      <alignment horizontal="center" vertical="center" wrapText="1"/>
      <protection hidden="1"/>
    </xf>
    <xf numFmtId="0" fontId="40" fillId="40" borderId="4" xfId="0" applyFont="1" applyFill="1" applyBorder="1" applyAlignment="1">
      <alignment horizontal="center" vertical="center" wrapText="1"/>
    </xf>
    <xf numFmtId="0" fontId="40" fillId="40" borderId="4" xfId="0" applyFont="1" applyFill="1" applyBorder="1" applyAlignment="1">
      <alignment wrapText="1"/>
    </xf>
    <xf numFmtId="0" fontId="45" fillId="38" borderId="14" xfId="0" applyFont="1" applyFill="1" applyBorder="1" applyAlignment="1" applyProtection="1">
      <alignment horizontal="center" vertical="center" wrapText="1"/>
      <protection hidden="1"/>
    </xf>
    <xf numFmtId="0" fontId="45" fillId="38" borderId="15" xfId="0" applyFont="1" applyFill="1" applyBorder="1" applyAlignment="1">
      <alignment horizontal="center" vertical="center" wrapText="1"/>
    </xf>
    <xf numFmtId="0" fontId="45" fillId="38" borderId="16" xfId="0" applyFont="1" applyFill="1" applyBorder="1" applyAlignment="1">
      <alignment wrapText="1"/>
    </xf>
    <xf numFmtId="0" fontId="45" fillId="38" borderId="17" xfId="0" applyFont="1" applyFill="1" applyBorder="1" applyAlignment="1">
      <alignment horizontal="center" vertical="center" wrapText="1"/>
    </xf>
    <xf numFmtId="0" fontId="45" fillId="38" borderId="18" xfId="0" applyFont="1" applyFill="1" applyBorder="1" applyAlignment="1">
      <alignment horizontal="center" vertical="center" wrapText="1"/>
    </xf>
    <xf numFmtId="0" fontId="45" fillId="38" borderId="19" xfId="0" applyFont="1" applyFill="1" applyBorder="1" applyAlignment="1">
      <alignment wrapText="1"/>
    </xf>
    <xf numFmtId="0" fontId="36" fillId="30" borderId="14" xfId="0" applyFont="1" applyFill="1" applyBorder="1" applyAlignment="1" applyProtection="1">
      <alignment horizontal="center" vertical="center" wrapText="1"/>
      <protection hidden="1"/>
    </xf>
    <xf numFmtId="0" fontId="36" fillId="30" borderId="15" xfId="0" applyFont="1" applyFill="1" applyBorder="1" applyAlignment="1">
      <alignment horizontal="center" vertical="center" wrapText="1"/>
    </xf>
    <xf numFmtId="0" fontId="36" fillId="30" borderId="16" xfId="0" applyFont="1" applyFill="1" applyBorder="1" applyAlignment="1">
      <alignment wrapText="1"/>
    </xf>
    <xf numFmtId="0" fontId="36" fillId="30" borderId="17" xfId="0" applyFont="1" applyFill="1" applyBorder="1" applyAlignment="1">
      <alignment horizontal="center" vertical="center" wrapText="1"/>
    </xf>
    <xf numFmtId="0" fontId="36" fillId="30" borderId="18" xfId="0" applyFont="1" applyFill="1" applyBorder="1" applyAlignment="1">
      <alignment horizontal="center" vertical="center" wrapText="1"/>
    </xf>
    <xf numFmtId="0" fontId="36" fillId="30" borderId="19" xfId="0" applyFont="1" applyFill="1" applyBorder="1" applyAlignment="1">
      <alignment wrapText="1"/>
    </xf>
    <xf numFmtId="0" fontId="6" fillId="7" borderId="4" xfId="0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>
      <alignment horizontal="center" vertical="center"/>
    </xf>
    <xf numFmtId="0" fontId="37" fillId="3" borderId="4" xfId="0" applyFont="1" applyFill="1" applyBorder="1" applyAlignment="1" applyProtection="1">
      <alignment horizontal="center"/>
      <protection hidden="1"/>
    </xf>
    <xf numFmtId="0" fontId="40" fillId="34" borderId="4" xfId="0" applyFont="1" applyFill="1" applyBorder="1" applyAlignment="1" applyProtection="1">
      <alignment horizontal="center" vertical="center" wrapText="1"/>
      <protection hidden="1"/>
    </xf>
    <xf numFmtId="0" fontId="40" fillId="34" borderId="4" xfId="0" applyFont="1" applyFill="1" applyBorder="1" applyAlignment="1">
      <alignment horizontal="center" vertical="center" wrapText="1"/>
    </xf>
    <xf numFmtId="0" fontId="40" fillId="34" borderId="4" xfId="0" applyFont="1" applyFill="1" applyBorder="1" applyAlignment="1">
      <alignment wrapText="1"/>
    </xf>
    <xf numFmtId="0" fontId="16" fillId="36" borderId="14" xfId="0" applyFont="1" applyFill="1" applyBorder="1" applyAlignment="1" applyProtection="1">
      <alignment horizontal="center" vertical="center" wrapText="1"/>
      <protection hidden="1"/>
    </xf>
    <xf numFmtId="0" fontId="16" fillId="36" borderId="15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wrapText="1"/>
    </xf>
    <xf numFmtId="0" fontId="16" fillId="36" borderId="17" xfId="0" applyFont="1" applyFill="1" applyBorder="1" applyAlignment="1">
      <alignment horizontal="center" vertical="center" wrapText="1"/>
    </xf>
    <xf numFmtId="0" fontId="16" fillId="36" borderId="18" xfId="0" applyFont="1" applyFill="1" applyBorder="1" applyAlignment="1">
      <alignment horizontal="center" vertical="center" wrapText="1"/>
    </xf>
    <xf numFmtId="0" fontId="16" fillId="36" borderId="19" xfId="0" applyFont="1" applyFill="1" applyBorder="1" applyAlignment="1">
      <alignment wrapText="1"/>
    </xf>
    <xf numFmtId="0" fontId="16" fillId="37" borderId="14" xfId="0" applyFont="1" applyFill="1" applyBorder="1" applyAlignment="1" applyProtection="1">
      <alignment horizontal="center" vertical="center" wrapText="1"/>
      <protection hidden="1"/>
    </xf>
    <xf numFmtId="0" fontId="16" fillId="37" borderId="15" xfId="0" applyFont="1" applyFill="1" applyBorder="1" applyAlignment="1">
      <alignment horizontal="center" vertical="center" wrapText="1"/>
    </xf>
    <xf numFmtId="0" fontId="16" fillId="37" borderId="16" xfId="0" applyFont="1" applyFill="1" applyBorder="1" applyAlignment="1">
      <alignment wrapText="1"/>
    </xf>
    <xf numFmtId="0" fontId="16" fillId="37" borderId="17" xfId="0" applyFont="1" applyFill="1" applyBorder="1" applyAlignment="1">
      <alignment horizontal="center" vertical="center" wrapText="1"/>
    </xf>
    <xf numFmtId="0" fontId="16" fillId="37" borderId="18" xfId="0" applyFont="1" applyFill="1" applyBorder="1" applyAlignment="1">
      <alignment horizontal="center" vertical="center" wrapText="1"/>
    </xf>
    <xf numFmtId="0" fontId="16" fillId="37" borderId="19" xfId="0" applyFont="1" applyFill="1" applyBorder="1" applyAlignment="1">
      <alignment wrapText="1"/>
    </xf>
    <xf numFmtId="0" fontId="40" fillId="14" borderId="4" xfId="0" applyFont="1" applyFill="1" applyBorder="1" applyAlignment="1" applyProtection="1">
      <alignment horizontal="center" vertical="center" wrapText="1"/>
      <protection hidden="1"/>
    </xf>
    <xf numFmtId="0" fontId="40" fillId="14" borderId="4" xfId="0" applyFont="1" applyFill="1" applyBorder="1" applyAlignment="1">
      <alignment horizontal="center" vertical="center" wrapText="1"/>
    </xf>
    <xf numFmtId="0" fontId="40" fillId="14" borderId="4" xfId="0" applyFont="1" applyFill="1" applyBorder="1" applyAlignment="1">
      <alignment wrapText="1"/>
    </xf>
    <xf numFmtId="0" fontId="40" fillId="33" borderId="4" xfId="0" applyFont="1" applyFill="1" applyBorder="1" applyAlignment="1" applyProtection="1">
      <alignment horizontal="center" vertical="center" wrapText="1"/>
      <protection hidden="1"/>
    </xf>
    <xf numFmtId="0" fontId="40" fillId="33" borderId="4" xfId="0" applyFont="1" applyFill="1" applyBorder="1" applyAlignment="1">
      <alignment horizontal="center" vertical="center" wrapText="1"/>
    </xf>
    <xf numFmtId="0" fontId="40" fillId="33" borderId="4" xfId="0" applyFont="1" applyFill="1" applyBorder="1" applyAlignment="1">
      <alignment wrapText="1"/>
    </xf>
    <xf numFmtId="0" fontId="16" fillId="35" borderId="14" xfId="0" applyFont="1" applyFill="1" applyBorder="1" applyAlignment="1" applyProtection="1">
      <alignment horizontal="center" vertical="center" wrapText="1"/>
      <protection hidden="1"/>
    </xf>
    <xf numFmtId="0" fontId="16" fillId="35" borderId="15" xfId="0" applyFont="1" applyFill="1" applyBorder="1" applyAlignment="1">
      <alignment horizontal="center" vertical="center" wrapText="1"/>
    </xf>
    <xf numFmtId="0" fontId="16" fillId="35" borderId="16" xfId="0" applyFont="1" applyFill="1" applyBorder="1" applyAlignment="1">
      <alignment wrapText="1"/>
    </xf>
    <xf numFmtId="0" fontId="16" fillId="35" borderId="17" xfId="0" applyFont="1" applyFill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 vertical="center" wrapText="1"/>
    </xf>
    <xf numFmtId="0" fontId="16" fillId="35" borderId="19" xfId="0" applyFont="1" applyFill="1" applyBorder="1" applyAlignment="1">
      <alignment wrapText="1"/>
    </xf>
    <xf numFmtId="0" fontId="36" fillId="35" borderId="14" xfId="0" applyFont="1" applyFill="1" applyBorder="1" applyAlignment="1" applyProtection="1">
      <alignment horizontal="center" vertical="center" wrapText="1"/>
      <protection hidden="1"/>
    </xf>
    <xf numFmtId="0" fontId="36" fillId="35" borderId="15" xfId="0" applyFont="1" applyFill="1" applyBorder="1" applyAlignment="1">
      <alignment horizontal="center" vertical="center" wrapText="1"/>
    </xf>
    <xf numFmtId="0" fontId="36" fillId="35" borderId="16" xfId="0" applyFont="1" applyFill="1" applyBorder="1" applyAlignment="1">
      <alignment wrapText="1"/>
    </xf>
    <xf numFmtId="0" fontId="36" fillId="35" borderId="1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19" xfId="0" applyFont="1" applyFill="1" applyBorder="1" applyAlignment="1">
      <alignment wrapText="1"/>
    </xf>
    <xf numFmtId="0" fontId="36" fillId="36" borderId="14" xfId="0" applyFont="1" applyFill="1" applyBorder="1" applyAlignment="1" applyProtection="1">
      <alignment horizontal="center" vertical="center" wrapText="1"/>
      <protection hidden="1"/>
    </xf>
    <xf numFmtId="0" fontId="36" fillId="36" borderId="15" xfId="0" applyFont="1" applyFill="1" applyBorder="1" applyAlignment="1">
      <alignment horizontal="center" vertical="center" wrapText="1"/>
    </xf>
    <xf numFmtId="0" fontId="36" fillId="36" borderId="16" xfId="0" applyFont="1" applyFill="1" applyBorder="1" applyAlignment="1">
      <alignment wrapText="1"/>
    </xf>
    <xf numFmtId="0" fontId="36" fillId="36" borderId="17" xfId="0" applyFont="1" applyFill="1" applyBorder="1" applyAlignment="1">
      <alignment horizontal="center" vertical="center" wrapText="1"/>
    </xf>
    <xf numFmtId="0" fontId="36" fillId="36" borderId="18" xfId="0" applyFont="1" applyFill="1" applyBorder="1" applyAlignment="1">
      <alignment horizontal="center" vertical="center" wrapText="1"/>
    </xf>
    <xf numFmtId="0" fontId="36" fillId="36" borderId="19" xfId="0" applyFont="1" applyFill="1" applyBorder="1" applyAlignment="1">
      <alignment wrapText="1"/>
    </xf>
    <xf numFmtId="0" fontId="36" fillId="37" borderId="14" xfId="0" applyFont="1" applyFill="1" applyBorder="1" applyAlignment="1" applyProtection="1">
      <alignment horizontal="center" vertical="center" wrapText="1"/>
      <protection hidden="1"/>
    </xf>
    <xf numFmtId="0" fontId="36" fillId="37" borderId="15" xfId="0" applyFont="1" applyFill="1" applyBorder="1" applyAlignment="1">
      <alignment horizontal="center" vertical="center" wrapText="1"/>
    </xf>
    <xf numFmtId="0" fontId="36" fillId="37" borderId="16" xfId="0" applyFont="1" applyFill="1" applyBorder="1" applyAlignment="1">
      <alignment wrapText="1"/>
    </xf>
    <xf numFmtId="0" fontId="36" fillId="37" borderId="17" xfId="0" applyFont="1" applyFill="1" applyBorder="1" applyAlignment="1">
      <alignment horizontal="center" vertical="center" wrapText="1"/>
    </xf>
    <xf numFmtId="0" fontId="36" fillId="37" borderId="18" xfId="0" applyFont="1" applyFill="1" applyBorder="1" applyAlignment="1">
      <alignment horizontal="center" vertical="center" wrapText="1"/>
    </xf>
    <xf numFmtId="0" fontId="36" fillId="37" borderId="19" xfId="0" applyFont="1" applyFill="1" applyBorder="1" applyAlignment="1">
      <alignment wrapText="1"/>
    </xf>
    <xf numFmtId="0" fontId="35" fillId="3" borderId="4" xfId="0" applyFont="1" applyFill="1" applyBorder="1" applyAlignment="1" applyProtection="1">
      <alignment horizontal="center"/>
      <protection hidden="1"/>
    </xf>
    <xf numFmtId="0" fontId="36" fillId="30" borderId="15" xfId="0" applyFont="1" applyFill="1" applyBorder="1" applyAlignment="1" applyProtection="1">
      <alignment horizontal="center" vertical="center" wrapText="1"/>
      <protection hidden="1"/>
    </xf>
    <xf numFmtId="0" fontId="36" fillId="30" borderId="16" xfId="0" applyFont="1" applyFill="1" applyBorder="1" applyAlignment="1" applyProtection="1">
      <alignment horizontal="center" vertical="center" wrapText="1"/>
      <protection hidden="1"/>
    </xf>
    <xf numFmtId="0" fontId="36" fillId="30" borderId="17" xfId="0" applyFont="1" applyFill="1" applyBorder="1" applyAlignment="1" applyProtection="1">
      <alignment horizontal="center" vertical="center" wrapText="1"/>
      <protection hidden="1"/>
    </xf>
    <xf numFmtId="0" fontId="36" fillId="30" borderId="18" xfId="0" applyFont="1" applyFill="1" applyBorder="1" applyAlignment="1" applyProtection="1">
      <alignment horizontal="center" vertical="center" wrapText="1"/>
      <protection hidden="1"/>
    </xf>
    <xf numFmtId="0" fontId="36" fillId="30" borderId="19" xfId="0" applyFont="1" applyFill="1" applyBorder="1" applyAlignment="1" applyProtection="1">
      <alignment horizontal="center" vertical="center" wrapText="1"/>
      <protection hidden="1"/>
    </xf>
    <xf numFmtId="0" fontId="1" fillId="24" borderId="31" xfId="0" applyFont="1" applyFill="1" applyBorder="1" applyAlignment="1" applyProtection="1">
      <alignment horizontal="center"/>
      <protection hidden="1"/>
    </xf>
    <xf numFmtId="0" fontId="1" fillId="24" borderId="32" xfId="0" applyFont="1" applyFill="1" applyBorder="1" applyAlignment="1" applyProtection="1">
      <alignment horizontal="center"/>
      <protection hidden="1"/>
    </xf>
    <xf numFmtId="0" fontId="19" fillId="25" borderId="0" xfId="0" applyFont="1" applyFill="1" applyAlignment="1" applyProtection="1">
      <alignment horizontal="center" vertical="center"/>
      <protection hidden="1"/>
    </xf>
    <xf numFmtId="165" fontId="0" fillId="14" borderId="4" xfId="0" applyNumberFormat="1" applyFill="1" applyBorder="1" applyAlignment="1" applyProtection="1">
      <alignment horizontal="center"/>
      <protection hidden="1"/>
    </xf>
    <xf numFmtId="165" fontId="0" fillId="14" borderId="23" xfId="0" applyNumberFormat="1" applyFill="1" applyBorder="1" applyAlignment="1" applyProtection="1">
      <alignment horizontal="center"/>
      <protection hidden="1"/>
    </xf>
  </cellXfs>
  <cellStyles count="3">
    <cellStyle name="Hyperlink" xfId="1" builtinId="8"/>
    <cellStyle name="Normal" xfId="0" builtinId="0"/>
    <cellStyle name="Normal_Sheet1" xfId="2" xr:uid="{00000000-0005-0000-0000-000002000000}"/>
  </cellStyles>
  <dxfs count="0"/>
  <tableStyles count="0" defaultTableStyle="TableStyleMedium2" defaultPivotStyle="PivotStyleLight16"/>
  <colors>
    <mruColors>
      <color rgb="FF000080"/>
      <color rgb="FF00FF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0651094113817"/>
          <c:y val="5.0291827673935807E-2"/>
          <c:w val="0.86552461398424807"/>
          <c:h val="0.78499827208040851"/>
        </c:manualLayout>
      </c:layout>
      <c:scatterChart>
        <c:scatterStyle val="smoothMarker"/>
        <c:varyColors val="0"/>
        <c:ser>
          <c:idx val="0"/>
          <c:order val="0"/>
          <c:tx>
            <c:v>FSS Strength Envelope</c:v>
          </c:tx>
          <c:marker>
            <c:symbol val="diamond"/>
            <c:size val="7"/>
            <c:spPr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(2023)LL&amp;CF'!$J$4:$N$4</c:f>
              <c:numCache>
                <c:formatCode>0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'Stark Correlations (2023)LL&amp;CF'!$J$11:$N$11</c:f>
              <c:numCache>
                <c:formatCode>0.0</c:formatCode>
                <c:ptCount val="5"/>
                <c:pt idx="0">
                  <c:v>0</c:v>
                </c:pt>
                <c:pt idx="1">
                  <c:v>7.2807234331691024</c:v>
                </c:pt>
                <c:pt idx="2">
                  <c:v>25.972479858029541</c:v>
                </c:pt>
                <c:pt idx="3">
                  <c:v>45.617842082021255</c:v>
                </c:pt>
                <c:pt idx="4">
                  <c:v>159.73187585853964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D8-4139-848A-5E67AE58F14E}"/>
            </c:ext>
          </c:extLst>
        </c:ser>
        <c:ser>
          <c:idx val="2"/>
          <c:order val="1"/>
          <c:tx>
            <c:v>FSS Power Function</c:v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(2023)LL&amp;CF'!$P$70:$P$78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</c:numCache>
            </c:numRef>
          </c:xVal>
          <c:yVal>
            <c:numRef>
              <c:f>'Stark Correlations (2023)LL&amp;CF'!$Q$70:$Q$78</c:f>
              <c:numCache>
                <c:formatCode>0.0</c:formatCode>
                <c:ptCount val="9"/>
                <c:pt idx="0">
                  <c:v>0</c:v>
                </c:pt>
                <c:pt idx="1">
                  <c:v>3.3759927853672109</c:v>
                </c:pt>
                <c:pt idx="2">
                  <c:v>6.2050169876186851</c:v>
                </c:pt>
                <c:pt idx="3">
                  <c:v>13.873415202262025</c:v>
                </c:pt>
                <c:pt idx="4">
                  <c:v>25.499099814266824</c:v>
                </c:pt>
                <c:pt idx="5">
                  <c:v>46.866909254754248</c:v>
                </c:pt>
                <c:pt idx="6">
                  <c:v>86.140577474990593</c:v>
                </c:pt>
                <c:pt idx="7">
                  <c:v>122.98088762546443</c:v>
                </c:pt>
                <c:pt idx="8">
                  <c:v>158.32490782336242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D8-4139-848A-5E67AE58F14E}"/>
            </c:ext>
          </c:extLst>
        </c:ser>
        <c:ser>
          <c:idx val="1"/>
          <c:order val="2"/>
          <c:tx>
            <c:v>Residual Strength Envelope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'Stark Correlations (2023)LL&amp;CF'!$J$4:$O$4</c:f>
              <c:numCache>
                <c:formatCode>0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100</c:v>
                </c:pt>
                <c:pt idx="4">
                  <c:v>400</c:v>
                </c:pt>
                <c:pt idx="5">
                  <c:v>700</c:v>
                </c:pt>
              </c:numCache>
            </c:numRef>
          </c:xVal>
          <c:yVal>
            <c:numRef>
              <c:f>'Stark Correlations (2023)LL&amp;CF'!$J$6:$O$6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 formatCode="0.0">
                  <c:v>13.727454439878848</c:v>
                </c:pt>
                <c:pt idx="3" formatCode="0.0">
                  <c:v>24.95887456470534</c:v>
                </c:pt>
                <c:pt idx="4" formatCode="0.0">
                  <c:v>86.256188500657984</c:v>
                </c:pt>
                <c:pt idx="5" formatCode="0.0">
                  <c:v>110.79480333297641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1E-496D-BFC0-9201A361DF47}"/>
            </c:ext>
          </c:extLst>
        </c:ser>
        <c:ser>
          <c:idx val="3"/>
          <c:order val="3"/>
          <c:tx>
            <c:v>Residual Power Function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(2023)LL&amp;CF'!$P$87:$P$95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700</c:v>
                </c:pt>
              </c:numCache>
            </c:numRef>
          </c:xVal>
          <c:yVal>
            <c:numRef>
              <c:f>'Stark Correlations (2023)LL&amp;CF'!$Q$87:$Q$95</c:f>
              <c:numCache>
                <c:formatCode>0.0</c:formatCode>
                <c:ptCount val="9"/>
                <c:pt idx="0">
                  <c:v>2.1590101322814639</c:v>
                </c:pt>
                <c:pt idx="1">
                  <c:v>3.7994429622916628</c:v>
                </c:pt>
                <c:pt idx="2">
                  <c:v>8.0206088626026624</c:v>
                </c:pt>
                <c:pt idx="3">
                  <c:v>14.114730376048568</c:v>
                </c:pt>
                <c:pt idx="4">
                  <c:v>24.839213207050729</c:v>
                </c:pt>
                <c:pt idx="5">
                  <c:v>43.712242197151298</c:v>
                </c:pt>
                <c:pt idx="6">
                  <c:v>60.840258370747733</c:v>
                </c:pt>
                <c:pt idx="7">
                  <c:v>76.925146620990233</c:v>
                </c:pt>
                <c:pt idx="8">
                  <c:v>121.40760990522722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D8-4139-848A-5E67AE58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320"/>
        <c:axId val="214397144"/>
        <c:extLst/>
      </c:scatterChart>
      <c:valAx>
        <c:axId val="214398320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Effective</a:t>
                </a:r>
                <a:r>
                  <a:rPr lang="en-US" sz="1400" baseline="0"/>
                  <a:t> Normal Stress, </a:t>
                </a:r>
                <a:r>
                  <a:rPr lang="el-GR" sz="1400"/>
                  <a:t>σ'</a:t>
                </a:r>
                <a:r>
                  <a:rPr lang="el-GR" sz="1400" baseline="-25000"/>
                  <a:t>n</a:t>
                </a:r>
                <a:r>
                  <a:rPr lang="en-US" sz="1400" baseline="-25000"/>
                  <a:t>  </a:t>
                </a:r>
                <a:r>
                  <a:rPr lang="en-US" sz="1400"/>
                  <a:t>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7144"/>
        <c:crosses val="autoZero"/>
        <c:crossBetween val="midCat"/>
        <c:majorUnit val="100"/>
        <c:minorUnit val="50"/>
      </c:valAx>
      <c:valAx>
        <c:axId val="21439714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Shear Stress, </a:t>
                </a:r>
                <a:r>
                  <a:rPr lang="el-GR" sz="1400"/>
                  <a:t>τ</a:t>
                </a:r>
                <a:r>
                  <a:rPr lang="en-US" sz="1400"/>
                  <a:t> </a:t>
                </a:r>
                <a:r>
                  <a:rPr lang="el-GR" sz="1400"/>
                  <a:t> </a:t>
                </a:r>
                <a:r>
                  <a:rPr lang="en-US" sz="1400"/>
                  <a:t>(kPa)</a:t>
                </a:r>
              </a:p>
            </c:rich>
          </c:tx>
          <c:layout>
            <c:manualLayout>
              <c:xMode val="edge"/>
              <c:yMode val="edge"/>
              <c:x val="1.0505697173609999E-2"/>
              <c:y val="0.334204950999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14398320"/>
        <c:crosses val="autoZero"/>
        <c:crossBetween val="midCat"/>
        <c:majorUnit val="100"/>
        <c:minorUnit val="5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075535087537886"/>
          <c:y val="6.6270461939273814E-2"/>
          <c:w val="0.27253988350190084"/>
          <c:h val="0.287310725306396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 w="19050">
      <a:solidFill>
        <a:sysClr val="windowText" lastClr="000000"/>
      </a:solidFill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CF&lt;20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8818897637795E-2"/>
                  <c:y val="-0.11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9-4476-9558-DBB287D39CFF}"/>
            </c:ext>
          </c:extLst>
        </c:ser>
        <c:ser>
          <c:idx val="1"/>
          <c:order val="1"/>
          <c:tx>
            <c:v>20&lt;CF&lt;45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9-4476-9558-DBB287D39CFF}"/>
            </c:ext>
          </c:extLst>
        </c:ser>
        <c:ser>
          <c:idx val="2"/>
          <c:order val="2"/>
          <c:tx>
            <c:v>CF&gt;50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599300087489061E-2"/>
                  <c:y val="8.8607101195683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9-4476-9558-DBB287D39CFF}"/>
            </c:ext>
          </c:extLst>
        </c:ser>
        <c:ser>
          <c:idx val="3"/>
          <c:order val="3"/>
          <c:tx>
            <c:v>CF&lt;20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2720954192223"/>
                  <c:y val="-7.8409428571634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English'!$C$65:$C$69</c:f>
              <c:numCache>
                <c:formatCode>General</c:formatCode>
                <c:ptCount val="5"/>
                <c:pt idx="0">
                  <c:v>0.61209999999999998</c:v>
                </c:pt>
                <c:pt idx="1">
                  <c:v>0.59660000000000002</c:v>
                </c:pt>
                <c:pt idx="2">
                  <c:v>0.58169999999999999</c:v>
                </c:pt>
                <c:pt idx="3">
                  <c:v>0.56940000000000002</c:v>
                </c:pt>
                <c:pt idx="4">
                  <c:v>0.5645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B9-4476-9558-DBB287D39CFF}"/>
            </c:ext>
          </c:extLst>
        </c:ser>
        <c:ser>
          <c:idx val="4"/>
          <c:order val="4"/>
          <c:tx>
            <c:v>20&lt;CF&lt;45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-0.114638215760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English'!$E$65:$E$75</c:f>
              <c:numCache>
                <c:formatCode>General</c:formatCode>
                <c:ptCount val="11"/>
                <c:pt idx="0">
                  <c:v>0.56240000000000001</c:v>
                </c:pt>
                <c:pt idx="1">
                  <c:v>0.5413</c:v>
                </c:pt>
                <c:pt idx="2">
                  <c:v>0.52239999999999998</c:v>
                </c:pt>
                <c:pt idx="3">
                  <c:v>0.50360000000000005</c:v>
                </c:pt>
                <c:pt idx="4">
                  <c:v>0.49509999999999998</c:v>
                </c:pt>
                <c:pt idx="5">
                  <c:v>0.48720000000000002</c:v>
                </c:pt>
                <c:pt idx="6">
                  <c:v>0.47220000000000001</c:v>
                </c:pt>
                <c:pt idx="7">
                  <c:v>0.45810000000000001</c:v>
                </c:pt>
                <c:pt idx="8">
                  <c:v>0.4451</c:v>
                </c:pt>
                <c:pt idx="9">
                  <c:v>0.43340000000000001</c:v>
                </c:pt>
                <c:pt idx="10">
                  <c:v>0.42370000000000002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B9-4476-9558-DBB287D39CFF}"/>
            </c:ext>
          </c:extLst>
        </c:ser>
        <c:ser>
          <c:idx val="5"/>
          <c:order val="5"/>
          <c:tx>
            <c:v>CF&gt;50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6.251227603652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English'!$G$65:$G$75</c:f>
              <c:numCache>
                <c:formatCode>General</c:formatCode>
                <c:ptCount val="11"/>
                <c:pt idx="0">
                  <c:v>0.49959999999999999</c:v>
                </c:pt>
                <c:pt idx="1">
                  <c:v>0.4773</c:v>
                </c:pt>
                <c:pt idx="2">
                  <c:v>0.45729999999999998</c:v>
                </c:pt>
                <c:pt idx="3">
                  <c:v>0.43890000000000001</c:v>
                </c:pt>
                <c:pt idx="4">
                  <c:v>0.43020000000000003</c:v>
                </c:pt>
                <c:pt idx="5">
                  <c:v>0.4219</c:v>
                </c:pt>
                <c:pt idx="6">
                  <c:v>0.40539999999999998</c:v>
                </c:pt>
                <c:pt idx="7">
                  <c:v>0.3906</c:v>
                </c:pt>
                <c:pt idx="8">
                  <c:v>0.37819999999999998</c:v>
                </c:pt>
                <c:pt idx="9">
                  <c:v>0.36559999999999998</c:v>
                </c:pt>
                <c:pt idx="10">
                  <c:v>0.35370000000000001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B9-4476-9558-DBB287D3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008"/>
        <c:axId val="214397536"/>
      </c:scatterChart>
      <c:valAx>
        <c:axId val="2143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536"/>
        <c:crosses val="autoZero"/>
        <c:crossBetween val="midCat"/>
      </c:valAx>
      <c:valAx>
        <c:axId val="214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CF≤20 -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47605418828108"/>
                  <c:y val="-7.5976654024561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0.54369999999999996</c:v>
              </c:pt>
              <c:pt idx="1">
                <c:v>0.49070000000000003</c:v>
              </c:pt>
              <c:pt idx="2">
                <c:v>0.44409999999999999</c:v>
              </c:pt>
              <c:pt idx="3">
                <c:v>0.40229999999999999</c:v>
              </c:pt>
              <c:pt idx="4">
                <c:v>0.38250000000000001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119-400D-94A5-6A4B4E451606}"/>
            </c:ext>
          </c:extLst>
        </c:ser>
        <c:ser>
          <c:idx val="2"/>
          <c:order val="2"/>
          <c:tx>
            <c:v>20 ≤ CF ≤ 45 -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60005468163066"/>
                  <c:y val="-0.1031582596959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0.4657</c:v>
              </c:pt>
              <c:pt idx="1">
                <c:v>0.4199</c:v>
              </c:pt>
              <c:pt idx="2">
                <c:v>0.374</c:v>
              </c:pt>
              <c:pt idx="3">
                <c:v>0.32829999999999998</c:v>
              </c:pt>
              <c:pt idx="4">
                <c:v>0.30620000000000003</c:v>
              </c:pt>
              <c:pt idx="5">
                <c:v>0.28549999999999998</c:v>
              </c:pt>
              <c:pt idx="6">
                <c:v>0.24779999999999999</c:v>
              </c:pt>
              <c:pt idx="7">
                <c:v>0.2155</c:v>
              </c:pt>
              <c:pt idx="8">
                <c:v>0.1913</c:v>
              </c:pt>
              <c:pt idx="9">
                <c:v>0.1769</c:v>
              </c:pt>
              <c:pt idx="10">
                <c:v>0.1734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119-400D-94A5-6A4B4E451606}"/>
            </c:ext>
          </c:extLst>
        </c:ser>
        <c:ser>
          <c:idx val="4"/>
          <c:order val="4"/>
          <c:tx>
            <c:v>CF ≥ 50 -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177252357633908"/>
                  <c:y val="-1.66221650726400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0.37519999999999998</c:v>
              </c:pt>
              <c:pt idx="1">
                <c:v>0.32700000000000001</c:v>
              </c:pt>
              <c:pt idx="2">
                <c:v>0.28349999999999997</c:v>
              </c:pt>
              <c:pt idx="3">
                <c:v>0.2455</c:v>
              </c:pt>
              <c:pt idx="4">
                <c:v>0.22819999999999999</c:v>
              </c:pt>
              <c:pt idx="5">
                <c:v>0.2132</c:v>
              </c:pt>
              <c:pt idx="6">
                <c:v>0.18659999999999999</c:v>
              </c:pt>
              <c:pt idx="7">
                <c:v>0.16619999999999999</c:v>
              </c:pt>
              <c:pt idx="8">
                <c:v>0.15390000000000001</c:v>
              </c:pt>
              <c:pt idx="9">
                <c:v>0.14699999999999999</c:v>
              </c:pt>
              <c:pt idx="10">
                <c:v>0.14399999999999999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4119-400D-94A5-6A4B4E45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968"/>
        <c:axId val="214397928"/>
      </c:scatterChart>
      <c:scatterChart>
        <c:scatterStyle val="smoothMarker"/>
        <c:varyColors val="0"/>
        <c:ser>
          <c:idx val="1"/>
          <c:order val="1"/>
          <c:tx>
            <c:v>CF ≤ 20 - 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33996921536751"/>
                  <c:y val="-9.82959991318874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0.95940000000000003</c:v>
              </c:pt>
              <c:pt idx="1">
                <c:v>0.95189999999999997</c:v>
              </c:pt>
              <c:pt idx="2">
                <c:v>0.94640000000000002</c:v>
              </c:pt>
              <c:pt idx="3">
                <c:v>0.9446</c:v>
              </c:pt>
              <c:pt idx="4">
                <c:v>0.94599999999999995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4119-400D-94A5-6A4B4E451606}"/>
            </c:ext>
          </c:extLst>
        </c:ser>
        <c:ser>
          <c:idx val="3"/>
          <c:order val="3"/>
          <c:tx>
            <c:v>20 ≤ CF ≤ 45 - b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945596419720142"/>
                  <c:y val="9.9086130046058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0.87060000000000004</c:v>
              </c:pt>
              <c:pt idx="1">
                <c:v>0.85899999999999999</c:v>
              </c:pt>
              <c:pt idx="2">
                <c:v>0.84770000000000001</c:v>
              </c:pt>
              <c:pt idx="3">
                <c:v>0.83950000000000002</c:v>
              </c:pt>
              <c:pt idx="4">
                <c:v>0.83730000000000004</c:v>
              </c:pt>
              <c:pt idx="5">
                <c:v>0.83499999999999996</c:v>
              </c:pt>
              <c:pt idx="6">
                <c:v>0.83189999999999997</c:v>
              </c:pt>
              <c:pt idx="7">
                <c:v>0.83760000000000001</c:v>
              </c:pt>
              <c:pt idx="8">
                <c:v>0.84970000000000001</c:v>
              </c:pt>
              <c:pt idx="9">
                <c:v>0.87019999999999997</c:v>
              </c:pt>
              <c:pt idx="10">
                <c:v>0.89670000000000005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4119-400D-94A5-6A4B4E451606}"/>
            </c:ext>
          </c:extLst>
        </c:ser>
        <c:ser>
          <c:idx val="5"/>
          <c:order val="5"/>
          <c:tx>
            <c:v>CF ≥ 50 - 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209947953566667E-3"/>
                  <c:y val="6.2894590587032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0.87890000000000001</c:v>
              </c:pt>
              <c:pt idx="1">
                <c:v>0.8609</c:v>
              </c:pt>
              <c:pt idx="2">
                <c:v>0.84040000000000004</c:v>
              </c:pt>
              <c:pt idx="3">
                <c:v>0.81669999999999998</c:v>
              </c:pt>
              <c:pt idx="4">
                <c:v>0.80569999999999997</c:v>
              </c:pt>
              <c:pt idx="5">
                <c:v>0.79210000000000003</c:v>
              </c:pt>
              <c:pt idx="6">
                <c:v>0.77249999999999996</c:v>
              </c:pt>
              <c:pt idx="7">
                <c:v>0.76500000000000001</c:v>
              </c:pt>
              <c:pt idx="8">
                <c:v>0.77300000000000002</c:v>
              </c:pt>
              <c:pt idx="9">
                <c:v>0.79559999999999997</c:v>
              </c:pt>
              <c:pt idx="10">
                <c:v>0.80059999999999998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4119-400D-94A5-6A4B4E45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752"/>
        <c:axId val="214390872"/>
      </c:scatterChart>
      <c:valAx>
        <c:axId val="214395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Limit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928"/>
        <c:crosses val="autoZero"/>
        <c:crossBetween val="midCat"/>
      </c:valAx>
      <c:valAx>
        <c:axId val="21439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Function Coefficient (a coefficient)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968"/>
        <c:crosses val="autoZero"/>
        <c:crossBetween val="midCat"/>
      </c:valAx>
      <c:valAx>
        <c:axId val="214390872"/>
        <c:scaling>
          <c:orientation val="minMax"/>
          <c:max val="1"/>
          <c:min val="0.30000000000000004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Power Function Coefficient (b coefficient)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crossAx val="214396752"/>
        <c:crosses val="max"/>
        <c:crossBetween val="midCat"/>
        <c:minorUnit val="0.1"/>
      </c:valAx>
      <c:valAx>
        <c:axId val="2143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6126889868604"/>
          <c:y val="5.0291827673935807E-2"/>
          <c:w val="0.84134109044884919"/>
          <c:h val="0.78499827208040851"/>
        </c:manualLayout>
      </c:layout>
      <c:scatterChart>
        <c:scatterStyle val="smoothMarker"/>
        <c:varyColors val="0"/>
        <c:ser>
          <c:idx val="2"/>
          <c:order val="0"/>
          <c:tx>
            <c:v>FSS Power Function (Based on PI)</c:v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'Laboratory (2023) (PI)'!$P$49:$P$57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</c:numCache>
            </c:numRef>
          </c:xVal>
          <c:yVal>
            <c:numRef>
              <c:f>'Laboratory (2023) (PI)'!$Q$49:$Q$57</c:f>
              <c:numCache>
                <c:formatCode>0.0</c:formatCode>
                <c:ptCount val="9"/>
                <c:pt idx="0">
                  <c:v>0</c:v>
                </c:pt>
                <c:pt idx="1">
                  <c:v>2.8614156110600932</c:v>
                </c:pt>
                <c:pt idx="2">
                  <c:v>5.2590079170959187</c:v>
                </c:pt>
                <c:pt idx="3">
                  <c:v>11.757626743238093</c:v>
                </c:pt>
                <c:pt idx="4">
                  <c:v>21.609392179851795</c:v>
                </c:pt>
                <c:pt idx="5">
                  <c:v>39.715993761342673</c:v>
                </c:pt>
                <c:pt idx="6">
                  <c:v>72.994193789574169</c:v>
                </c:pt>
                <c:pt idx="7">
                  <c:v>104.20949480642383</c:v>
                </c:pt>
                <c:pt idx="8">
                  <c:v>134.15633910628799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5-4E86-924E-DDD24F4DBF28}"/>
            </c:ext>
          </c:extLst>
        </c:ser>
        <c:ser>
          <c:idx val="3"/>
          <c:order val="1"/>
          <c:tx>
            <c:v>Residual Power Function (Based on PI)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'Laboratory (2023) (PI)'!$P$66:$P$74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700</c:v>
                </c:pt>
              </c:numCache>
            </c:numRef>
          </c:xVal>
          <c:yVal>
            <c:numRef>
              <c:f>'Laboratory (2023) (PI)'!$Q$66:$Q$74</c:f>
              <c:numCache>
                <c:formatCode>0.0</c:formatCode>
                <c:ptCount val="9"/>
                <c:pt idx="0">
                  <c:v>1.8983375565371832</c:v>
                </c:pt>
                <c:pt idx="1">
                  <c:v>3.371169228786941</c:v>
                </c:pt>
                <c:pt idx="2">
                  <c:v>7.2024263430590985</c:v>
                </c:pt>
                <c:pt idx="3">
                  <c:v>12.790453403143058</c:v>
                </c:pt>
                <c:pt idx="4">
                  <c:v>22.713970329683306</c:v>
                </c:pt>
                <c:pt idx="5">
                  <c:v>40.336681732561026</c:v>
                </c:pt>
                <c:pt idx="6">
                  <c:v>56.440906153863658</c:v>
                </c:pt>
                <c:pt idx="7">
                  <c:v>71.632033923529761</c:v>
                </c:pt>
                <c:pt idx="8">
                  <c:v>113.88521447631219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5-4E86-924E-DDD24F4D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320"/>
        <c:axId val="214397144"/>
        <c:extLst/>
      </c:scatterChart>
      <c:valAx>
        <c:axId val="214398320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Effective</a:t>
                </a:r>
                <a:r>
                  <a:rPr lang="en-US" sz="1400" baseline="0"/>
                  <a:t> Normal Stress, </a:t>
                </a:r>
                <a:r>
                  <a:rPr lang="el-GR" sz="1400"/>
                  <a:t>σ'</a:t>
                </a:r>
                <a:r>
                  <a:rPr lang="el-GR" sz="1400" baseline="-25000"/>
                  <a:t>n</a:t>
                </a:r>
                <a:r>
                  <a:rPr lang="en-US" sz="1400" baseline="-25000"/>
                  <a:t>  </a:t>
                </a:r>
                <a:r>
                  <a:rPr lang="en-US" sz="1400"/>
                  <a:t>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7144"/>
        <c:crosses val="autoZero"/>
        <c:crossBetween val="midCat"/>
        <c:majorUnit val="100"/>
        <c:minorUnit val="50"/>
      </c:valAx>
      <c:valAx>
        <c:axId val="21439714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Shear Stress, </a:t>
                </a:r>
                <a:r>
                  <a:rPr lang="el-GR" sz="1400"/>
                  <a:t>τ</a:t>
                </a:r>
                <a:r>
                  <a:rPr lang="en-US" sz="1400"/>
                  <a:t> </a:t>
                </a:r>
                <a:r>
                  <a:rPr lang="el-GR" sz="1400"/>
                  <a:t> </a:t>
                </a:r>
                <a:r>
                  <a:rPr lang="en-US" sz="1400"/>
                  <a:t>(kPa)</a:t>
                </a:r>
              </a:p>
            </c:rich>
          </c:tx>
          <c:layout>
            <c:manualLayout>
              <c:xMode val="edge"/>
              <c:yMode val="edge"/>
              <c:x val="1.0505697173609999E-2"/>
              <c:y val="0.334204950999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14398320"/>
        <c:crosses val="autoZero"/>
        <c:crossBetween val="midCat"/>
        <c:majorUnit val="100"/>
        <c:minorUnit val="5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09846700012552"/>
          <c:y val="6.6270493909646913E-2"/>
          <c:w val="0.27253988350190084"/>
          <c:h val="0.2194534100837744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 w="19050">
      <a:solidFill>
        <a:sysClr val="windowText" lastClr="000000"/>
      </a:solidFill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CF&lt;20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8818897637795E-2"/>
                  <c:y val="-0.11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A-40ED-8F73-FAD7C7CE01C6}"/>
            </c:ext>
          </c:extLst>
        </c:ser>
        <c:ser>
          <c:idx val="1"/>
          <c:order val="1"/>
          <c:tx>
            <c:v>20&lt;CF&lt;45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A-40ED-8F73-FAD7C7CE01C6}"/>
            </c:ext>
          </c:extLst>
        </c:ser>
        <c:ser>
          <c:idx val="2"/>
          <c:order val="2"/>
          <c:tx>
            <c:v>CF&gt;50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599300087489061E-2"/>
                  <c:y val="8.8607101195683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A-40ED-8F73-FAD7C7CE01C6}"/>
            </c:ext>
          </c:extLst>
        </c:ser>
        <c:ser>
          <c:idx val="3"/>
          <c:order val="3"/>
          <c:tx>
            <c:v>CF&lt;20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2720954192223"/>
                  <c:y val="-7.8409428571634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English'!$C$65:$C$69</c:f>
              <c:numCache>
                <c:formatCode>General</c:formatCode>
                <c:ptCount val="5"/>
                <c:pt idx="0">
                  <c:v>0.61209999999999998</c:v>
                </c:pt>
                <c:pt idx="1">
                  <c:v>0.59660000000000002</c:v>
                </c:pt>
                <c:pt idx="2">
                  <c:v>0.58169999999999999</c:v>
                </c:pt>
                <c:pt idx="3">
                  <c:v>0.56940000000000002</c:v>
                </c:pt>
                <c:pt idx="4">
                  <c:v>0.5645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A-40ED-8F73-FAD7C7CE01C6}"/>
            </c:ext>
          </c:extLst>
        </c:ser>
        <c:ser>
          <c:idx val="4"/>
          <c:order val="4"/>
          <c:tx>
            <c:v>20&lt;CF&lt;45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-0.114638215760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English'!$E$65:$E$75</c:f>
              <c:numCache>
                <c:formatCode>General</c:formatCode>
                <c:ptCount val="11"/>
                <c:pt idx="0">
                  <c:v>0.56240000000000001</c:v>
                </c:pt>
                <c:pt idx="1">
                  <c:v>0.5413</c:v>
                </c:pt>
                <c:pt idx="2">
                  <c:v>0.52239999999999998</c:v>
                </c:pt>
                <c:pt idx="3">
                  <c:v>0.50360000000000005</c:v>
                </c:pt>
                <c:pt idx="4">
                  <c:v>0.49509999999999998</c:v>
                </c:pt>
                <c:pt idx="5">
                  <c:v>0.48720000000000002</c:v>
                </c:pt>
                <c:pt idx="6">
                  <c:v>0.47220000000000001</c:v>
                </c:pt>
                <c:pt idx="7">
                  <c:v>0.45810000000000001</c:v>
                </c:pt>
                <c:pt idx="8">
                  <c:v>0.4451</c:v>
                </c:pt>
                <c:pt idx="9">
                  <c:v>0.43340000000000001</c:v>
                </c:pt>
                <c:pt idx="10">
                  <c:v>0.42370000000000002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A-40ED-8F73-FAD7C7CE01C6}"/>
            </c:ext>
          </c:extLst>
        </c:ser>
        <c:ser>
          <c:idx val="5"/>
          <c:order val="5"/>
          <c:tx>
            <c:v>CF&gt;50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6.251227603652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English'!$G$65:$G$75</c:f>
              <c:numCache>
                <c:formatCode>General</c:formatCode>
                <c:ptCount val="11"/>
                <c:pt idx="0">
                  <c:v>0.49959999999999999</c:v>
                </c:pt>
                <c:pt idx="1">
                  <c:v>0.4773</c:v>
                </c:pt>
                <c:pt idx="2">
                  <c:v>0.45729999999999998</c:v>
                </c:pt>
                <c:pt idx="3">
                  <c:v>0.43890000000000001</c:v>
                </c:pt>
                <c:pt idx="4">
                  <c:v>0.43020000000000003</c:v>
                </c:pt>
                <c:pt idx="5">
                  <c:v>0.4219</c:v>
                </c:pt>
                <c:pt idx="6">
                  <c:v>0.40539999999999998</c:v>
                </c:pt>
                <c:pt idx="7">
                  <c:v>0.3906</c:v>
                </c:pt>
                <c:pt idx="8">
                  <c:v>0.37819999999999998</c:v>
                </c:pt>
                <c:pt idx="9">
                  <c:v>0.36559999999999998</c:v>
                </c:pt>
                <c:pt idx="10">
                  <c:v>0.35370000000000001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A-40ED-8F73-FAD7C7CE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008"/>
        <c:axId val="214397536"/>
      </c:scatterChart>
      <c:valAx>
        <c:axId val="2143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536"/>
        <c:crosses val="autoZero"/>
        <c:crossBetween val="midCat"/>
      </c:valAx>
      <c:valAx>
        <c:axId val="214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CF≤20 -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47605418828108"/>
                  <c:y val="-7.5976654024561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0.54369999999999996</c:v>
              </c:pt>
              <c:pt idx="1">
                <c:v>0.49070000000000003</c:v>
              </c:pt>
              <c:pt idx="2">
                <c:v>0.44409999999999999</c:v>
              </c:pt>
              <c:pt idx="3">
                <c:v>0.40229999999999999</c:v>
              </c:pt>
              <c:pt idx="4">
                <c:v>0.38250000000000001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35E-4FF7-A1C7-7820694187DF}"/>
            </c:ext>
          </c:extLst>
        </c:ser>
        <c:ser>
          <c:idx val="2"/>
          <c:order val="2"/>
          <c:tx>
            <c:v>20 ≤ CF ≤ 45 -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60005468163066"/>
                  <c:y val="-0.1031582596959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0.4657</c:v>
              </c:pt>
              <c:pt idx="1">
                <c:v>0.4199</c:v>
              </c:pt>
              <c:pt idx="2">
                <c:v>0.374</c:v>
              </c:pt>
              <c:pt idx="3">
                <c:v>0.32829999999999998</c:v>
              </c:pt>
              <c:pt idx="4">
                <c:v>0.30620000000000003</c:v>
              </c:pt>
              <c:pt idx="5">
                <c:v>0.28549999999999998</c:v>
              </c:pt>
              <c:pt idx="6">
                <c:v>0.24779999999999999</c:v>
              </c:pt>
              <c:pt idx="7">
                <c:v>0.2155</c:v>
              </c:pt>
              <c:pt idx="8">
                <c:v>0.1913</c:v>
              </c:pt>
              <c:pt idx="9">
                <c:v>0.1769</c:v>
              </c:pt>
              <c:pt idx="10">
                <c:v>0.1734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35E-4FF7-A1C7-7820694187DF}"/>
            </c:ext>
          </c:extLst>
        </c:ser>
        <c:ser>
          <c:idx val="4"/>
          <c:order val="4"/>
          <c:tx>
            <c:v>CF ≥ 50 -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177252357633908"/>
                  <c:y val="-1.66221650726400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0.37519999999999998</c:v>
              </c:pt>
              <c:pt idx="1">
                <c:v>0.32700000000000001</c:v>
              </c:pt>
              <c:pt idx="2">
                <c:v>0.28349999999999997</c:v>
              </c:pt>
              <c:pt idx="3">
                <c:v>0.2455</c:v>
              </c:pt>
              <c:pt idx="4">
                <c:v>0.22819999999999999</c:v>
              </c:pt>
              <c:pt idx="5">
                <c:v>0.2132</c:v>
              </c:pt>
              <c:pt idx="6">
                <c:v>0.18659999999999999</c:v>
              </c:pt>
              <c:pt idx="7">
                <c:v>0.16619999999999999</c:v>
              </c:pt>
              <c:pt idx="8">
                <c:v>0.15390000000000001</c:v>
              </c:pt>
              <c:pt idx="9">
                <c:v>0.14699999999999999</c:v>
              </c:pt>
              <c:pt idx="10">
                <c:v>0.14399999999999999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435E-4FF7-A1C7-78206941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968"/>
        <c:axId val="214397928"/>
      </c:scatterChart>
      <c:scatterChart>
        <c:scatterStyle val="smoothMarker"/>
        <c:varyColors val="0"/>
        <c:ser>
          <c:idx val="1"/>
          <c:order val="1"/>
          <c:tx>
            <c:v>CF ≤ 20 - 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33996921536751"/>
                  <c:y val="-9.82959991318874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0.95940000000000003</c:v>
              </c:pt>
              <c:pt idx="1">
                <c:v>0.95189999999999997</c:v>
              </c:pt>
              <c:pt idx="2">
                <c:v>0.94640000000000002</c:v>
              </c:pt>
              <c:pt idx="3">
                <c:v>0.9446</c:v>
              </c:pt>
              <c:pt idx="4">
                <c:v>0.94599999999999995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435E-4FF7-A1C7-7820694187DF}"/>
            </c:ext>
          </c:extLst>
        </c:ser>
        <c:ser>
          <c:idx val="3"/>
          <c:order val="3"/>
          <c:tx>
            <c:v>20 ≤ CF ≤ 45 - b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945596419720142"/>
                  <c:y val="9.9086130046058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0.87060000000000004</c:v>
              </c:pt>
              <c:pt idx="1">
                <c:v>0.85899999999999999</c:v>
              </c:pt>
              <c:pt idx="2">
                <c:v>0.84770000000000001</c:v>
              </c:pt>
              <c:pt idx="3">
                <c:v>0.83950000000000002</c:v>
              </c:pt>
              <c:pt idx="4">
                <c:v>0.83730000000000004</c:v>
              </c:pt>
              <c:pt idx="5">
                <c:v>0.83499999999999996</c:v>
              </c:pt>
              <c:pt idx="6">
                <c:v>0.83189999999999997</c:v>
              </c:pt>
              <c:pt idx="7">
                <c:v>0.83760000000000001</c:v>
              </c:pt>
              <c:pt idx="8">
                <c:v>0.84970000000000001</c:v>
              </c:pt>
              <c:pt idx="9">
                <c:v>0.87019999999999997</c:v>
              </c:pt>
              <c:pt idx="10">
                <c:v>0.89670000000000005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435E-4FF7-A1C7-7820694187DF}"/>
            </c:ext>
          </c:extLst>
        </c:ser>
        <c:ser>
          <c:idx val="5"/>
          <c:order val="5"/>
          <c:tx>
            <c:v>CF ≥ 50 - 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209947953566667E-3"/>
                  <c:y val="6.2894590587032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0.87890000000000001</c:v>
              </c:pt>
              <c:pt idx="1">
                <c:v>0.8609</c:v>
              </c:pt>
              <c:pt idx="2">
                <c:v>0.84040000000000004</c:v>
              </c:pt>
              <c:pt idx="3">
                <c:v>0.81669999999999998</c:v>
              </c:pt>
              <c:pt idx="4">
                <c:v>0.80569999999999997</c:v>
              </c:pt>
              <c:pt idx="5">
                <c:v>0.79210000000000003</c:v>
              </c:pt>
              <c:pt idx="6">
                <c:v>0.77249999999999996</c:v>
              </c:pt>
              <c:pt idx="7">
                <c:v>0.76500000000000001</c:v>
              </c:pt>
              <c:pt idx="8">
                <c:v>0.77300000000000002</c:v>
              </c:pt>
              <c:pt idx="9">
                <c:v>0.79559999999999997</c:v>
              </c:pt>
              <c:pt idx="10">
                <c:v>0.80059999999999998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435E-4FF7-A1C7-78206941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752"/>
        <c:axId val="214390872"/>
      </c:scatterChart>
      <c:valAx>
        <c:axId val="214395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Limit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928"/>
        <c:crosses val="autoZero"/>
        <c:crossBetween val="midCat"/>
      </c:valAx>
      <c:valAx>
        <c:axId val="21439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Function Coefficient (a coefficient)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968"/>
        <c:crosses val="autoZero"/>
        <c:crossBetween val="midCat"/>
      </c:valAx>
      <c:valAx>
        <c:axId val="214390872"/>
        <c:scaling>
          <c:orientation val="minMax"/>
          <c:max val="1"/>
          <c:min val="0.30000000000000004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Power Function Coefficient (b coefficient)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crossAx val="214396752"/>
        <c:crosses val="max"/>
        <c:crossBetween val="midCat"/>
        <c:minorUnit val="0.1"/>
      </c:valAx>
      <c:valAx>
        <c:axId val="2143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CF&lt;20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8818897637795E-2"/>
                  <c:y val="-0.11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AB-40AE-B57C-BBBCAB25929B}"/>
            </c:ext>
          </c:extLst>
        </c:ser>
        <c:ser>
          <c:idx val="1"/>
          <c:order val="1"/>
          <c:tx>
            <c:v>20&lt;CF&lt;45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AB-40AE-B57C-BBBCAB25929B}"/>
            </c:ext>
          </c:extLst>
        </c:ser>
        <c:ser>
          <c:idx val="2"/>
          <c:order val="2"/>
          <c:tx>
            <c:v>CF&gt;50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599300087489061E-2"/>
                  <c:y val="8.8607101195683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AB-40AE-B57C-BBBCAB25929B}"/>
            </c:ext>
          </c:extLst>
        </c:ser>
        <c:ser>
          <c:idx val="3"/>
          <c:order val="3"/>
          <c:tx>
            <c:v>CF&lt;20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2720954192223"/>
                  <c:y val="-7.8409428571634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English'!$C$65:$C$69</c:f>
              <c:numCache>
                <c:formatCode>General</c:formatCode>
                <c:ptCount val="5"/>
                <c:pt idx="0">
                  <c:v>0.61209999999999998</c:v>
                </c:pt>
                <c:pt idx="1">
                  <c:v>0.59660000000000002</c:v>
                </c:pt>
                <c:pt idx="2">
                  <c:v>0.58169999999999999</c:v>
                </c:pt>
                <c:pt idx="3">
                  <c:v>0.56940000000000002</c:v>
                </c:pt>
                <c:pt idx="4">
                  <c:v>0.5645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AB-40AE-B57C-BBBCAB25929B}"/>
            </c:ext>
          </c:extLst>
        </c:ser>
        <c:ser>
          <c:idx val="4"/>
          <c:order val="4"/>
          <c:tx>
            <c:v>20&lt;CF&lt;45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-0.114638215760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English'!$E$65:$E$75</c:f>
              <c:numCache>
                <c:formatCode>General</c:formatCode>
                <c:ptCount val="11"/>
                <c:pt idx="0">
                  <c:v>0.56240000000000001</c:v>
                </c:pt>
                <c:pt idx="1">
                  <c:v>0.5413</c:v>
                </c:pt>
                <c:pt idx="2">
                  <c:v>0.52239999999999998</c:v>
                </c:pt>
                <c:pt idx="3">
                  <c:v>0.50360000000000005</c:v>
                </c:pt>
                <c:pt idx="4">
                  <c:v>0.49509999999999998</c:v>
                </c:pt>
                <c:pt idx="5">
                  <c:v>0.48720000000000002</c:v>
                </c:pt>
                <c:pt idx="6">
                  <c:v>0.47220000000000001</c:v>
                </c:pt>
                <c:pt idx="7">
                  <c:v>0.45810000000000001</c:v>
                </c:pt>
                <c:pt idx="8">
                  <c:v>0.4451</c:v>
                </c:pt>
                <c:pt idx="9">
                  <c:v>0.43340000000000001</c:v>
                </c:pt>
                <c:pt idx="10">
                  <c:v>0.42370000000000002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AB-40AE-B57C-BBBCAB25929B}"/>
            </c:ext>
          </c:extLst>
        </c:ser>
        <c:ser>
          <c:idx val="5"/>
          <c:order val="5"/>
          <c:tx>
            <c:v>CF&gt;50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6.251227603652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English'!$G$65:$G$75</c:f>
              <c:numCache>
                <c:formatCode>General</c:formatCode>
                <c:ptCount val="11"/>
                <c:pt idx="0">
                  <c:v>0.49959999999999999</c:v>
                </c:pt>
                <c:pt idx="1">
                  <c:v>0.4773</c:v>
                </c:pt>
                <c:pt idx="2">
                  <c:v>0.45729999999999998</c:v>
                </c:pt>
                <c:pt idx="3">
                  <c:v>0.43890000000000001</c:v>
                </c:pt>
                <c:pt idx="4">
                  <c:v>0.43020000000000003</c:v>
                </c:pt>
                <c:pt idx="5">
                  <c:v>0.4219</c:v>
                </c:pt>
                <c:pt idx="6">
                  <c:v>0.40539999999999998</c:v>
                </c:pt>
                <c:pt idx="7">
                  <c:v>0.3906</c:v>
                </c:pt>
                <c:pt idx="8">
                  <c:v>0.37819999999999998</c:v>
                </c:pt>
                <c:pt idx="9">
                  <c:v>0.36559999999999998</c:v>
                </c:pt>
                <c:pt idx="10">
                  <c:v>0.35370000000000001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2AB-40AE-B57C-BBBCAB259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008"/>
        <c:axId val="214397536"/>
      </c:scatterChart>
      <c:valAx>
        <c:axId val="2143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536"/>
        <c:crosses val="autoZero"/>
        <c:crossBetween val="midCat"/>
      </c:valAx>
      <c:valAx>
        <c:axId val="214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CF≤20 -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47605418828108"/>
                  <c:y val="-7.5976654024561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0.54369999999999996</c:v>
              </c:pt>
              <c:pt idx="1">
                <c:v>0.49070000000000003</c:v>
              </c:pt>
              <c:pt idx="2">
                <c:v>0.44409999999999999</c:v>
              </c:pt>
              <c:pt idx="3">
                <c:v>0.40229999999999999</c:v>
              </c:pt>
              <c:pt idx="4">
                <c:v>0.38250000000000001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9C-4B09-B98A-3133D950B43B}"/>
            </c:ext>
          </c:extLst>
        </c:ser>
        <c:ser>
          <c:idx val="2"/>
          <c:order val="2"/>
          <c:tx>
            <c:v>20 ≤ CF ≤ 45 -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60005468163066"/>
                  <c:y val="-0.1031582596959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0.4657</c:v>
              </c:pt>
              <c:pt idx="1">
                <c:v>0.4199</c:v>
              </c:pt>
              <c:pt idx="2">
                <c:v>0.374</c:v>
              </c:pt>
              <c:pt idx="3">
                <c:v>0.32829999999999998</c:v>
              </c:pt>
              <c:pt idx="4">
                <c:v>0.30620000000000003</c:v>
              </c:pt>
              <c:pt idx="5">
                <c:v>0.28549999999999998</c:v>
              </c:pt>
              <c:pt idx="6">
                <c:v>0.24779999999999999</c:v>
              </c:pt>
              <c:pt idx="7">
                <c:v>0.2155</c:v>
              </c:pt>
              <c:pt idx="8">
                <c:v>0.1913</c:v>
              </c:pt>
              <c:pt idx="9">
                <c:v>0.1769</c:v>
              </c:pt>
              <c:pt idx="10">
                <c:v>0.1734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19C-4B09-B98A-3133D950B43B}"/>
            </c:ext>
          </c:extLst>
        </c:ser>
        <c:ser>
          <c:idx val="4"/>
          <c:order val="4"/>
          <c:tx>
            <c:v>CF ≥ 50 -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177252357633908"/>
                  <c:y val="-1.66221650726400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0.37519999999999998</c:v>
              </c:pt>
              <c:pt idx="1">
                <c:v>0.32700000000000001</c:v>
              </c:pt>
              <c:pt idx="2">
                <c:v>0.28349999999999997</c:v>
              </c:pt>
              <c:pt idx="3">
                <c:v>0.2455</c:v>
              </c:pt>
              <c:pt idx="4">
                <c:v>0.22819999999999999</c:v>
              </c:pt>
              <c:pt idx="5">
                <c:v>0.2132</c:v>
              </c:pt>
              <c:pt idx="6">
                <c:v>0.18659999999999999</c:v>
              </c:pt>
              <c:pt idx="7">
                <c:v>0.16619999999999999</c:v>
              </c:pt>
              <c:pt idx="8">
                <c:v>0.15390000000000001</c:v>
              </c:pt>
              <c:pt idx="9">
                <c:v>0.14699999999999999</c:v>
              </c:pt>
              <c:pt idx="10">
                <c:v>0.14399999999999999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19C-4B09-B98A-3133D950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968"/>
        <c:axId val="214397928"/>
      </c:scatterChart>
      <c:scatterChart>
        <c:scatterStyle val="smoothMarker"/>
        <c:varyColors val="0"/>
        <c:ser>
          <c:idx val="1"/>
          <c:order val="1"/>
          <c:tx>
            <c:v>CF ≤ 20 - 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33996921536751"/>
                  <c:y val="-9.82959991318874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0.95940000000000003</c:v>
              </c:pt>
              <c:pt idx="1">
                <c:v>0.95189999999999997</c:v>
              </c:pt>
              <c:pt idx="2">
                <c:v>0.94640000000000002</c:v>
              </c:pt>
              <c:pt idx="3">
                <c:v>0.9446</c:v>
              </c:pt>
              <c:pt idx="4">
                <c:v>0.94599999999999995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019C-4B09-B98A-3133D950B43B}"/>
            </c:ext>
          </c:extLst>
        </c:ser>
        <c:ser>
          <c:idx val="3"/>
          <c:order val="3"/>
          <c:tx>
            <c:v>20 ≤ CF ≤ 45 - b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945596419720142"/>
                  <c:y val="9.9086130046058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0.87060000000000004</c:v>
              </c:pt>
              <c:pt idx="1">
                <c:v>0.85899999999999999</c:v>
              </c:pt>
              <c:pt idx="2">
                <c:v>0.84770000000000001</c:v>
              </c:pt>
              <c:pt idx="3">
                <c:v>0.83950000000000002</c:v>
              </c:pt>
              <c:pt idx="4">
                <c:v>0.83730000000000004</c:v>
              </c:pt>
              <c:pt idx="5">
                <c:v>0.83499999999999996</c:v>
              </c:pt>
              <c:pt idx="6">
                <c:v>0.83189999999999997</c:v>
              </c:pt>
              <c:pt idx="7">
                <c:v>0.83760000000000001</c:v>
              </c:pt>
              <c:pt idx="8">
                <c:v>0.84970000000000001</c:v>
              </c:pt>
              <c:pt idx="9">
                <c:v>0.87019999999999997</c:v>
              </c:pt>
              <c:pt idx="10">
                <c:v>0.89670000000000005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019C-4B09-B98A-3133D950B43B}"/>
            </c:ext>
          </c:extLst>
        </c:ser>
        <c:ser>
          <c:idx val="5"/>
          <c:order val="5"/>
          <c:tx>
            <c:v>CF ≥ 50 - 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209947953566667E-3"/>
                  <c:y val="6.2894590587032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0.87890000000000001</c:v>
              </c:pt>
              <c:pt idx="1">
                <c:v>0.8609</c:v>
              </c:pt>
              <c:pt idx="2">
                <c:v>0.84040000000000004</c:v>
              </c:pt>
              <c:pt idx="3">
                <c:v>0.81669999999999998</c:v>
              </c:pt>
              <c:pt idx="4">
                <c:v>0.80569999999999997</c:v>
              </c:pt>
              <c:pt idx="5">
                <c:v>0.79210000000000003</c:v>
              </c:pt>
              <c:pt idx="6">
                <c:v>0.77249999999999996</c:v>
              </c:pt>
              <c:pt idx="7">
                <c:v>0.76500000000000001</c:v>
              </c:pt>
              <c:pt idx="8">
                <c:v>0.77300000000000002</c:v>
              </c:pt>
              <c:pt idx="9">
                <c:v>0.79559999999999997</c:v>
              </c:pt>
              <c:pt idx="10">
                <c:v>0.80059999999999998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019C-4B09-B98A-3133D950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752"/>
        <c:axId val="214390872"/>
      </c:scatterChart>
      <c:valAx>
        <c:axId val="214395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Limit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928"/>
        <c:crosses val="autoZero"/>
        <c:crossBetween val="midCat"/>
      </c:valAx>
      <c:valAx>
        <c:axId val="21439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Function Coefficient (a coefficient)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968"/>
        <c:crosses val="autoZero"/>
        <c:crossBetween val="midCat"/>
      </c:valAx>
      <c:valAx>
        <c:axId val="214390872"/>
        <c:scaling>
          <c:orientation val="minMax"/>
          <c:max val="1"/>
          <c:min val="0.30000000000000004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Power Function Coefficient (b coefficient)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crossAx val="214396752"/>
        <c:crosses val="max"/>
        <c:crossBetween val="midCat"/>
        <c:minorUnit val="0.1"/>
      </c:valAx>
      <c:valAx>
        <c:axId val="2143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'Stark Correlations (2023)LL&amp;CF'!$AJ$3:$AJ$35</c:f>
            </c:numRef>
          </c:xVal>
          <c:yVal>
            <c:numRef>
              <c:f>'Stark Correlations (2023)LL&amp;CF'!$BJ$3:$BJ$35</c:f>
            </c:numRef>
          </c:yVal>
          <c:smooth val="1"/>
          <c:extLst>
            <c:ext xmlns:c16="http://schemas.microsoft.com/office/drawing/2014/chart" uri="{C3380CC4-5D6E-409C-BE32-E72D297353CC}">
              <c16:uniqueId val="{00000000-9BA0-4245-A70F-5CA86E2A9B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'Stark Correlations (2023)LL&amp;CF'!$AJ$3:$AJ$35</c:f>
            </c:numRef>
          </c:xVal>
          <c:yVal>
            <c:numRef>
              <c:f>'Stark Correlations (2023)LL&amp;CF'!$BI$3:$BI$35</c:f>
            </c:numRef>
          </c:yVal>
          <c:smooth val="1"/>
          <c:extLst>
            <c:ext xmlns:c16="http://schemas.microsoft.com/office/drawing/2014/chart" uri="{C3380CC4-5D6E-409C-BE32-E72D297353CC}">
              <c16:uniqueId val="{00000002-9BA0-4245-A70F-5CA86E2A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85407"/>
        <c:axId val="1138606703"/>
      </c:scatterChart>
      <c:valAx>
        <c:axId val="133728540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06703"/>
        <c:crosses val="autoZero"/>
        <c:crossBetween val="midCat"/>
      </c:valAx>
      <c:valAx>
        <c:axId val="11386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8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'Stark Correlations (2023)LL&amp;CF'!$AJ$3:$AJ$35</c:f>
            </c:numRef>
          </c:xVal>
          <c:yVal>
            <c:numRef>
              <c:f>'Stark Correlations (2023)LL&amp;CF'!$BJ$3:$BJ$35</c:f>
            </c:numRef>
          </c:yVal>
          <c:smooth val="1"/>
          <c:extLst>
            <c:ext xmlns:c16="http://schemas.microsoft.com/office/drawing/2014/chart" uri="{C3380CC4-5D6E-409C-BE32-E72D297353CC}">
              <c16:uniqueId val="{00000000-880D-4CBF-A7BA-A61AE1E259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'Stark Correlations (2023)LL&amp;CF'!$AJ$3:$AJ$35</c:f>
            </c:numRef>
          </c:xVal>
          <c:yVal>
            <c:numRef>
              <c:f>'Stark Correlations (2023)LL&amp;CF'!$BI$3:$BI$35</c:f>
            </c:numRef>
          </c:yVal>
          <c:smooth val="1"/>
          <c:extLst>
            <c:ext xmlns:c16="http://schemas.microsoft.com/office/drawing/2014/chart" uri="{C3380CC4-5D6E-409C-BE32-E72D297353CC}">
              <c16:uniqueId val="{00000001-880D-4CBF-A7BA-A61AE1E2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85407"/>
        <c:axId val="1138606703"/>
      </c:scatterChart>
      <c:valAx>
        <c:axId val="133728540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06703"/>
        <c:crosses val="autoZero"/>
        <c:crossBetween val="midCat"/>
      </c:valAx>
      <c:valAx>
        <c:axId val="11386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8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07655748087024"/>
          <c:y val="5.0291827673935807E-2"/>
          <c:w val="0.83932580186666506"/>
          <c:h val="0.78499827208040851"/>
        </c:manualLayout>
      </c:layout>
      <c:scatterChart>
        <c:scatterStyle val="smoothMarker"/>
        <c:varyColors val="0"/>
        <c:ser>
          <c:idx val="2"/>
          <c:order val="0"/>
          <c:tx>
            <c:v>FSS Power Function (Based on PI)</c:v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(2023)(PI)'!$P$22:$P$30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</c:numCache>
            </c:numRef>
          </c:xVal>
          <c:yVal>
            <c:numRef>
              <c:f>'Stark Correlations (2023)(PI)'!$Q$22:$Q$30</c:f>
              <c:numCache>
                <c:formatCode>0.0</c:formatCode>
                <c:ptCount val="9"/>
                <c:pt idx="0">
                  <c:v>0</c:v>
                </c:pt>
                <c:pt idx="1">
                  <c:v>3.1518100337683186</c:v>
                </c:pt>
                <c:pt idx="2">
                  <c:v>5.8283412204390386</c:v>
                </c:pt>
                <c:pt idx="3">
                  <c:v>13.136505659420935</c:v>
                </c:pt>
                <c:pt idx="4">
                  <c:v>24.292085058119248</c:v>
                </c:pt>
                <c:pt idx="5">
                  <c:v>44.921032409231493</c:v>
                </c:pt>
                <c:pt idx="6">
                  <c:v>83.068174176212779</c:v>
                </c:pt>
                <c:pt idx="7">
                  <c:v>119.01750467529803</c:v>
                </c:pt>
                <c:pt idx="8">
                  <c:v>153.61003946008088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8-4F12-B77A-8F0C5D0E55F2}"/>
            </c:ext>
          </c:extLst>
        </c:ser>
        <c:ser>
          <c:idx val="3"/>
          <c:order val="1"/>
          <c:tx>
            <c:v>Residual Power Function (Based on PI)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(2023)(PI)'!$P$39:$P$47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700</c:v>
                </c:pt>
              </c:numCache>
            </c:numRef>
          </c:xVal>
          <c:yVal>
            <c:numRef>
              <c:f>'Stark Correlations (2023)(PI)'!$Q$39:$Q$47</c:f>
              <c:numCache>
                <c:formatCode>0.0</c:formatCode>
                <c:ptCount val="9"/>
                <c:pt idx="0">
                  <c:v>1.8983375565371832</c:v>
                </c:pt>
                <c:pt idx="1">
                  <c:v>3.371169228786941</c:v>
                </c:pt>
                <c:pt idx="2">
                  <c:v>7.2024263430590985</c:v>
                </c:pt>
                <c:pt idx="3">
                  <c:v>12.790453403143058</c:v>
                </c:pt>
                <c:pt idx="4">
                  <c:v>22.713970329683306</c:v>
                </c:pt>
                <c:pt idx="5">
                  <c:v>40.336681732561026</c:v>
                </c:pt>
                <c:pt idx="6">
                  <c:v>56.440906153863658</c:v>
                </c:pt>
                <c:pt idx="7">
                  <c:v>71.632033923529761</c:v>
                </c:pt>
                <c:pt idx="8">
                  <c:v>113.88521447631219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8-4F12-B77A-8F0C5D0E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320"/>
        <c:axId val="214397144"/>
        <c:extLst/>
      </c:scatterChart>
      <c:valAx>
        <c:axId val="214398320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Effective</a:t>
                </a:r>
                <a:r>
                  <a:rPr lang="en-US" sz="1400" baseline="0"/>
                  <a:t> Normal Stress, </a:t>
                </a:r>
                <a:r>
                  <a:rPr lang="el-GR" sz="1400"/>
                  <a:t>σ'</a:t>
                </a:r>
                <a:r>
                  <a:rPr lang="el-GR" sz="1400" baseline="-25000"/>
                  <a:t>n</a:t>
                </a:r>
                <a:r>
                  <a:rPr lang="en-US" sz="1400" baseline="-25000"/>
                  <a:t>  </a:t>
                </a:r>
                <a:r>
                  <a:rPr lang="en-US" sz="1400"/>
                  <a:t>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7144"/>
        <c:crosses val="autoZero"/>
        <c:crossBetween val="midCat"/>
        <c:majorUnit val="100"/>
        <c:minorUnit val="50"/>
      </c:valAx>
      <c:valAx>
        <c:axId val="21439714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Shear Stress, </a:t>
                </a:r>
                <a:r>
                  <a:rPr lang="el-GR" sz="1400"/>
                  <a:t>τ</a:t>
                </a:r>
                <a:r>
                  <a:rPr lang="en-US" sz="1400"/>
                  <a:t> </a:t>
                </a:r>
                <a:r>
                  <a:rPr lang="el-GR" sz="1400"/>
                  <a:t> </a:t>
                </a:r>
                <a:r>
                  <a:rPr lang="en-US" sz="1400"/>
                  <a:t>(kPa)</a:t>
                </a:r>
              </a:p>
            </c:rich>
          </c:tx>
          <c:layout>
            <c:manualLayout>
              <c:xMode val="edge"/>
              <c:yMode val="edge"/>
              <c:x val="1.0505697173609999E-2"/>
              <c:y val="0.334204950999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14398320"/>
        <c:crosses val="autoZero"/>
        <c:crossBetween val="midCat"/>
        <c:majorUnit val="100"/>
        <c:minorUnit val="5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493880425470264"/>
          <c:y val="6.3006886981549048E-2"/>
          <c:w val="0.27253988350190084"/>
          <c:h val="0.2194534100837744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 w="19050">
      <a:solidFill>
        <a:sysClr val="windowText" lastClr="000000"/>
      </a:solidFill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CF&lt;20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8818897637795E-2"/>
                  <c:y val="-0.11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C-41A1-823E-6B24B74634CC}"/>
            </c:ext>
          </c:extLst>
        </c:ser>
        <c:ser>
          <c:idx val="1"/>
          <c:order val="1"/>
          <c:tx>
            <c:v>20&lt;CF&lt;45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C-41A1-823E-6B24B74634CC}"/>
            </c:ext>
          </c:extLst>
        </c:ser>
        <c:ser>
          <c:idx val="2"/>
          <c:order val="2"/>
          <c:tx>
            <c:v>CF&gt;50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599300087489061E-2"/>
                  <c:y val="8.8607101195683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C-41A1-823E-6B24B74634CC}"/>
            </c:ext>
          </c:extLst>
        </c:ser>
        <c:ser>
          <c:idx val="3"/>
          <c:order val="3"/>
          <c:tx>
            <c:v>CF&lt;20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2720954192223"/>
                  <c:y val="-7.8409428571634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English'!$C$65:$C$69</c:f>
              <c:numCache>
                <c:formatCode>General</c:formatCode>
                <c:ptCount val="5"/>
                <c:pt idx="0">
                  <c:v>0.61209999999999998</c:v>
                </c:pt>
                <c:pt idx="1">
                  <c:v>0.59660000000000002</c:v>
                </c:pt>
                <c:pt idx="2">
                  <c:v>0.58169999999999999</c:v>
                </c:pt>
                <c:pt idx="3">
                  <c:v>0.56940000000000002</c:v>
                </c:pt>
                <c:pt idx="4">
                  <c:v>0.5645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C-41A1-823E-6B24B74634CC}"/>
            </c:ext>
          </c:extLst>
        </c:ser>
        <c:ser>
          <c:idx val="4"/>
          <c:order val="4"/>
          <c:tx>
            <c:v>20&lt;CF&lt;45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-0.114638215760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English'!$E$65:$E$75</c:f>
              <c:numCache>
                <c:formatCode>General</c:formatCode>
                <c:ptCount val="11"/>
                <c:pt idx="0">
                  <c:v>0.56240000000000001</c:v>
                </c:pt>
                <c:pt idx="1">
                  <c:v>0.5413</c:v>
                </c:pt>
                <c:pt idx="2">
                  <c:v>0.52239999999999998</c:v>
                </c:pt>
                <c:pt idx="3">
                  <c:v>0.50360000000000005</c:v>
                </c:pt>
                <c:pt idx="4">
                  <c:v>0.49509999999999998</c:v>
                </c:pt>
                <c:pt idx="5">
                  <c:v>0.48720000000000002</c:v>
                </c:pt>
                <c:pt idx="6">
                  <c:v>0.47220000000000001</c:v>
                </c:pt>
                <c:pt idx="7">
                  <c:v>0.45810000000000001</c:v>
                </c:pt>
                <c:pt idx="8">
                  <c:v>0.4451</c:v>
                </c:pt>
                <c:pt idx="9">
                  <c:v>0.43340000000000001</c:v>
                </c:pt>
                <c:pt idx="10">
                  <c:v>0.42370000000000002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0C-41A1-823E-6B24B74634CC}"/>
            </c:ext>
          </c:extLst>
        </c:ser>
        <c:ser>
          <c:idx val="5"/>
          <c:order val="5"/>
          <c:tx>
            <c:v>CF&gt;50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6.251227603652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English'!$G$65:$G$75</c:f>
              <c:numCache>
                <c:formatCode>General</c:formatCode>
                <c:ptCount val="11"/>
                <c:pt idx="0">
                  <c:v>0.49959999999999999</c:v>
                </c:pt>
                <c:pt idx="1">
                  <c:v>0.4773</c:v>
                </c:pt>
                <c:pt idx="2">
                  <c:v>0.45729999999999998</c:v>
                </c:pt>
                <c:pt idx="3">
                  <c:v>0.43890000000000001</c:v>
                </c:pt>
                <c:pt idx="4">
                  <c:v>0.43020000000000003</c:v>
                </c:pt>
                <c:pt idx="5">
                  <c:v>0.4219</c:v>
                </c:pt>
                <c:pt idx="6">
                  <c:v>0.40539999999999998</c:v>
                </c:pt>
                <c:pt idx="7">
                  <c:v>0.3906</c:v>
                </c:pt>
                <c:pt idx="8">
                  <c:v>0.37819999999999998</c:v>
                </c:pt>
                <c:pt idx="9">
                  <c:v>0.36559999999999998</c:v>
                </c:pt>
                <c:pt idx="10">
                  <c:v>0.35370000000000001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40C-41A1-823E-6B24B746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008"/>
        <c:axId val="214397536"/>
      </c:scatterChart>
      <c:valAx>
        <c:axId val="2143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536"/>
        <c:crosses val="autoZero"/>
        <c:crossBetween val="midCat"/>
      </c:valAx>
      <c:valAx>
        <c:axId val="214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CF≤20 -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47605418828108"/>
                  <c:y val="-7.5976654024561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0.54369999999999996</c:v>
              </c:pt>
              <c:pt idx="1">
                <c:v>0.49070000000000003</c:v>
              </c:pt>
              <c:pt idx="2">
                <c:v>0.44409999999999999</c:v>
              </c:pt>
              <c:pt idx="3">
                <c:v>0.40229999999999999</c:v>
              </c:pt>
              <c:pt idx="4">
                <c:v>0.38250000000000001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18-4FDE-934F-8210C81E7B38}"/>
            </c:ext>
          </c:extLst>
        </c:ser>
        <c:ser>
          <c:idx val="2"/>
          <c:order val="2"/>
          <c:tx>
            <c:v>20 ≤ CF ≤ 45 -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60005468163066"/>
                  <c:y val="-0.1031582596959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0.4657</c:v>
              </c:pt>
              <c:pt idx="1">
                <c:v>0.4199</c:v>
              </c:pt>
              <c:pt idx="2">
                <c:v>0.374</c:v>
              </c:pt>
              <c:pt idx="3">
                <c:v>0.32829999999999998</c:v>
              </c:pt>
              <c:pt idx="4">
                <c:v>0.30620000000000003</c:v>
              </c:pt>
              <c:pt idx="5">
                <c:v>0.28549999999999998</c:v>
              </c:pt>
              <c:pt idx="6">
                <c:v>0.24779999999999999</c:v>
              </c:pt>
              <c:pt idx="7">
                <c:v>0.2155</c:v>
              </c:pt>
              <c:pt idx="8">
                <c:v>0.1913</c:v>
              </c:pt>
              <c:pt idx="9">
                <c:v>0.1769</c:v>
              </c:pt>
              <c:pt idx="10">
                <c:v>0.1734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D18-4FDE-934F-8210C81E7B38}"/>
            </c:ext>
          </c:extLst>
        </c:ser>
        <c:ser>
          <c:idx val="4"/>
          <c:order val="4"/>
          <c:tx>
            <c:v>CF ≥ 50 -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177252357633908"/>
                  <c:y val="-1.66221650726400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0.37519999999999998</c:v>
              </c:pt>
              <c:pt idx="1">
                <c:v>0.32700000000000001</c:v>
              </c:pt>
              <c:pt idx="2">
                <c:v>0.28349999999999997</c:v>
              </c:pt>
              <c:pt idx="3">
                <c:v>0.2455</c:v>
              </c:pt>
              <c:pt idx="4">
                <c:v>0.22819999999999999</c:v>
              </c:pt>
              <c:pt idx="5">
                <c:v>0.2132</c:v>
              </c:pt>
              <c:pt idx="6">
                <c:v>0.18659999999999999</c:v>
              </c:pt>
              <c:pt idx="7">
                <c:v>0.16619999999999999</c:v>
              </c:pt>
              <c:pt idx="8">
                <c:v>0.15390000000000001</c:v>
              </c:pt>
              <c:pt idx="9">
                <c:v>0.14699999999999999</c:v>
              </c:pt>
              <c:pt idx="10">
                <c:v>0.14399999999999999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D18-4FDE-934F-8210C81E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968"/>
        <c:axId val="214397928"/>
      </c:scatterChart>
      <c:scatterChart>
        <c:scatterStyle val="smoothMarker"/>
        <c:varyColors val="0"/>
        <c:ser>
          <c:idx val="1"/>
          <c:order val="1"/>
          <c:tx>
            <c:v>CF ≤ 20 - 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33996921536751"/>
                  <c:y val="-9.82959991318874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0.95940000000000003</c:v>
              </c:pt>
              <c:pt idx="1">
                <c:v>0.95189999999999997</c:v>
              </c:pt>
              <c:pt idx="2">
                <c:v>0.94640000000000002</c:v>
              </c:pt>
              <c:pt idx="3">
                <c:v>0.9446</c:v>
              </c:pt>
              <c:pt idx="4">
                <c:v>0.94599999999999995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AD18-4FDE-934F-8210C81E7B38}"/>
            </c:ext>
          </c:extLst>
        </c:ser>
        <c:ser>
          <c:idx val="3"/>
          <c:order val="3"/>
          <c:tx>
            <c:v>20 ≤ CF ≤ 45 - b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945596419720142"/>
                  <c:y val="9.9086130046058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0.87060000000000004</c:v>
              </c:pt>
              <c:pt idx="1">
                <c:v>0.85899999999999999</c:v>
              </c:pt>
              <c:pt idx="2">
                <c:v>0.84770000000000001</c:v>
              </c:pt>
              <c:pt idx="3">
                <c:v>0.83950000000000002</c:v>
              </c:pt>
              <c:pt idx="4">
                <c:v>0.83730000000000004</c:v>
              </c:pt>
              <c:pt idx="5">
                <c:v>0.83499999999999996</c:v>
              </c:pt>
              <c:pt idx="6">
                <c:v>0.83189999999999997</c:v>
              </c:pt>
              <c:pt idx="7">
                <c:v>0.83760000000000001</c:v>
              </c:pt>
              <c:pt idx="8">
                <c:v>0.84970000000000001</c:v>
              </c:pt>
              <c:pt idx="9">
                <c:v>0.87019999999999997</c:v>
              </c:pt>
              <c:pt idx="10">
                <c:v>0.89670000000000005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AD18-4FDE-934F-8210C81E7B38}"/>
            </c:ext>
          </c:extLst>
        </c:ser>
        <c:ser>
          <c:idx val="5"/>
          <c:order val="5"/>
          <c:tx>
            <c:v>CF ≥ 50 - 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209947953566667E-3"/>
                  <c:y val="6.2894590587032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0.87890000000000001</c:v>
              </c:pt>
              <c:pt idx="1">
                <c:v>0.8609</c:v>
              </c:pt>
              <c:pt idx="2">
                <c:v>0.84040000000000004</c:v>
              </c:pt>
              <c:pt idx="3">
                <c:v>0.81669999999999998</c:v>
              </c:pt>
              <c:pt idx="4">
                <c:v>0.80569999999999997</c:v>
              </c:pt>
              <c:pt idx="5">
                <c:v>0.79210000000000003</c:v>
              </c:pt>
              <c:pt idx="6">
                <c:v>0.77249999999999996</c:v>
              </c:pt>
              <c:pt idx="7">
                <c:v>0.76500000000000001</c:v>
              </c:pt>
              <c:pt idx="8">
                <c:v>0.77300000000000002</c:v>
              </c:pt>
              <c:pt idx="9">
                <c:v>0.79559999999999997</c:v>
              </c:pt>
              <c:pt idx="10">
                <c:v>0.80059999999999998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AD18-4FDE-934F-8210C81E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752"/>
        <c:axId val="214390872"/>
      </c:scatterChart>
      <c:valAx>
        <c:axId val="214395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Limit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928"/>
        <c:crosses val="autoZero"/>
        <c:crossBetween val="midCat"/>
      </c:valAx>
      <c:valAx>
        <c:axId val="21439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Function Coefficient (a coefficient)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968"/>
        <c:crosses val="autoZero"/>
        <c:crossBetween val="midCat"/>
      </c:valAx>
      <c:valAx>
        <c:axId val="214390872"/>
        <c:scaling>
          <c:orientation val="minMax"/>
          <c:max val="1"/>
          <c:min val="0.30000000000000004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Power Function Coefficient (b coefficient)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crossAx val="214396752"/>
        <c:crosses val="max"/>
        <c:crossBetween val="midCat"/>
        <c:minorUnit val="0.1"/>
      </c:valAx>
      <c:valAx>
        <c:axId val="2143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0651094113817"/>
          <c:y val="5.0291827673935807E-2"/>
          <c:w val="0.86552461398424807"/>
          <c:h val="0.78499827208040851"/>
        </c:manualLayout>
      </c:layout>
      <c:scatterChart>
        <c:scatterStyle val="smoothMarker"/>
        <c:varyColors val="0"/>
        <c:ser>
          <c:idx val="0"/>
          <c:order val="0"/>
          <c:tx>
            <c:v>FSS Strength Envelope</c:v>
          </c:tx>
          <c:marker>
            <c:symbol val="diamond"/>
            <c:size val="7"/>
            <c:spPr>
              <a:ln w="12700">
                <a:solidFill>
                  <a:schemeClr val="tx1"/>
                </a:solidFill>
              </a:ln>
            </c:spPr>
          </c:marker>
          <c:xVal>
            <c:numRef>
              <c:f>'Laboratory (2023) (LL&amp;CF)'!$J$4:$N$4</c:f>
              <c:numCache>
                <c:formatCode>0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'Laboratory (2023) (LL&amp;CF)'!$J$11:$N$11</c:f>
              <c:numCache>
                <c:formatCode>0.0</c:formatCode>
                <c:ptCount val="5"/>
                <c:pt idx="0">
                  <c:v>0</c:v>
                </c:pt>
                <c:pt idx="1">
                  <c:v>6.5824219772685009</c:v>
                </c:pt>
                <c:pt idx="2">
                  <c:v>23.261861618608894</c:v>
                </c:pt>
                <c:pt idx="3">
                  <c:v>40.446174062559223</c:v>
                </c:pt>
                <c:pt idx="4">
                  <c:v>139.829554914694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E-43F9-BF77-11A645EAC7F6}"/>
            </c:ext>
          </c:extLst>
        </c:ser>
        <c:ser>
          <c:idx val="2"/>
          <c:order val="1"/>
          <c:tx>
            <c:v>FSS Power Function</c:v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'Laboratory (2023) (LL&amp;CF)'!$P$70:$P$78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</c:numCache>
            </c:numRef>
          </c:xVal>
          <c:yVal>
            <c:numRef>
              <c:f>'Laboratory (2023) (LL&amp;CF)'!$Q$70:$Q$78</c:f>
              <c:numCache>
                <c:formatCode>0.0</c:formatCode>
                <c:ptCount val="9"/>
                <c:pt idx="0">
                  <c:v>0</c:v>
                </c:pt>
                <c:pt idx="1">
                  <c:v>3.0813330932815948</c:v>
                </c:pt>
                <c:pt idx="2">
                  <c:v>5.6266879099827189</c:v>
                </c:pt>
                <c:pt idx="3">
                  <c:v>12.472564762246101</c:v>
                </c:pt>
                <c:pt idx="4">
                  <c:v>22.775606281327505</c:v>
                </c:pt>
                <c:pt idx="5">
                  <c:v>41.589540833831727</c:v>
                </c:pt>
                <c:pt idx="6">
                  <c:v>75.944845788234247</c:v>
                </c:pt>
                <c:pt idx="7">
                  <c:v>108.01256828082244</c:v>
                </c:pt>
                <c:pt idx="8">
                  <c:v>138.6795690975004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9E-43F9-BF77-11A645EAC7F6}"/>
            </c:ext>
          </c:extLst>
        </c:ser>
        <c:ser>
          <c:idx val="1"/>
          <c:order val="2"/>
          <c:tx>
            <c:v>Residual Strength Envelope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'Laboratory (2023) (LL&amp;CF)'!$J$4:$O$4</c:f>
              <c:numCache>
                <c:formatCode>0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100</c:v>
                </c:pt>
                <c:pt idx="4">
                  <c:v>400</c:v>
                </c:pt>
                <c:pt idx="5">
                  <c:v>700</c:v>
                </c:pt>
              </c:numCache>
            </c:numRef>
          </c:xVal>
          <c:yVal>
            <c:numRef>
              <c:f>'Laboratory (2023) (LL&amp;CF)'!$J$6:$O$6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 formatCode="0.0">
                  <c:v>13.727454439878848</c:v>
                </c:pt>
                <c:pt idx="3" formatCode="0.0">
                  <c:v>24.95887456470534</c:v>
                </c:pt>
                <c:pt idx="4" formatCode="0.0">
                  <c:v>86.256188500657984</c:v>
                </c:pt>
                <c:pt idx="5" formatCode="0.0">
                  <c:v>110.79480333297641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9E-43F9-BF77-11A645EAC7F6}"/>
            </c:ext>
          </c:extLst>
        </c:ser>
        <c:ser>
          <c:idx val="3"/>
          <c:order val="3"/>
          <c:tx>
            <c:v>Residual Power Function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'Laboratory (2023) (LL&amp;CF)'!$P$87:$P$95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700</c:v>
                </c:pt>
              </c:numCache>
            </c:numRef>
          </c:xVal>
          <c:yVal>
            <c:numRef>
              <c:f>'Laboratory (2023) (LL&amp;CF)'!$Q$87:$Q$95</c:f>
              <c:numCache>
                <c:formatCode>0.0</c:formatCode>
                <c:ptCount val="9"/>
                <c:pt idx="0">
                  <c:v>2.1590101322814639</c:v>
                </c:pt>
                <c:pt idx="1">
                  <c:v>3.7994429622916628</c:v>
                </c:pt>
                <c:pt idx="2">
                  <c:v>8.0206088626026624</c:v>
                </c:pt>
                <c:pt idx="3">
                  <c:v>14.114730376048568</c:v>
                </c:pt>
                <c:pt idx="4">
                  <c:v>24.839213207050729</c:v>
                </c:pt>
                <c:pt idx="5">
                  <c:v>43.712242197151298</c:v>
                </c:pt>
                <c:pt idx="6">
                  <c:v>60.840258370747733</c:v>
                </c:pt>
                <c:pt idx="7">
                  <c:v>76.925146620990233</c:v>
                </c:pt>
                <c:pt idx="8">
                  <c:v>121.40760990522722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9E-43F9-BF77-11A645EA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320"/>
        <c:axId val="214397144"/>
        <c:extLst/>
      </c:scatterChart>
      <c:valAx>
        <c:axId val="214398320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Effective</a:t>
                </a:r>
                <a:r>
                  <a:rPr lang="en-US" sz="1400" baseline="0"/>
                  <a:t> Normal Stress, </a:t>
                </a:r>
                <a:r>
                  <a:rPr lang="el-GR" sz="1400"/>
                  <a:t>σ'</a:t>
                </a:r>
                <a:r>
                  <a:rPr lang="el-GR" sz="1400" baseline="-25000"/>
                  <a:t>n</a:t>
                </a:r>
                <a:r>
                  <a:rPr lang="en-US" sz="1400" baseline="-25000"/>
                  <a:t>  </a:t>
                </a:r>
                <a:r>
                  <a:rPr lang="en-US" sz="1400"/>
                  <a:t>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7144"/>
        <c:crosses val="autoZero"/>
        <c:crossBetween val="midCat"/>
        <c:majorUnit val="100"/>
        <c:minorUnit val="50"/>
      </c:valAx>
      <c:valAx>
        <c:axId val="21439714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Shear Stress, </a:t>
                </a:r>
                <a:r>
                  <a:rPr lang="el-GR" sz="1400"/>
                  <a:t>τ</a:t>
                </a:r>
                <a:r>
                  <a:rPr lang="en-US" sz="1400"/>
                  <a:t> </a:t>
                </a:r>
                <a:r>
                  <a:rPr lang="el-GR" sz="1400"/>
                  <a:t> </a:t>
                </a:r>
                <a:r>
                  <a:rPr lang="en-US" sz="1400"/>
                  <a:t>(kPa)</a:t>
                </a:r>
              </a:p>
            </c:rich>
          </c:tx>
          <c:layout>
            <c:manualLayout>
              <c:xMode val="edge"/>
              <c:yMode val="edge"/>
              <c:x val="1.0505697173609999E-2"/>
              <c:y val="0.334204950999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14398320"/>
        <c:crosses val="autoZero"/>
        <c:crossBetween val="midCat"/>
        <c:majorUnit val="100"/>
        <c:minorUnit val="5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075535087537886"/>
          <c:y val="6.6270461939273814E-2"/>
          <c:w val="0.27253988350190084"/>
          <c:h val="0.287310725306396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 w="19050">
      <a:solidFill>
        <a:sysClr val="windowText" lastClr="000000"/>
      </a:solidFill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11" Type="http://schemas.openxmlformats.org/officeDocument/2006/relationships/image" Target="../media/image6.jpeg"/><Relationship Id="rId5" Type="http://schemas.openxmlformats.org/officeDocument/2006/relationships/image" Target="../media/image2.jpeg"/><Relationship Id="rId10" Type="http://schemas.openxmlformats.org/officeDocument/2006/relationships/image" Target="../media/image5.jpeg"/><Relationship Id="rId4" Type="http://schemas.openxmlformats.org/officeDocument/2006/relationships/image" Target="../media/image1.png"/><Relationship Id="rId9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chart" Target="../charts/chart8.xml"/><Relationship Id="rId7" Type="http://schemas.openxmlformats.org/officeDocument/2006/relationships/image" Target="../media/image8.jpe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7.jpeg"/><Relationship Id="rId5" Type="http://schemas.openxmlformats.org/officeDocument/2006/relationships/image" Target="../media/image2.jpeg"/><Relationship Id="rId4" Type="http://schemas.openxmlformats.org/officeDocument/2006/relationships/image" Target="../media/image1.png"/><Relationship Id="rId9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chart" Target="../charts/chart11.xml"/><Relationship Id="rId7" Type="http://schemas.openxmlformats.org/officeDocument/2006/relationships/image" Target="../media/image3.jpe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4.jpeg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hart" Target="../charts/chart14.xml"/><Relationship Id="rId7" Type="http://schemas.openxmlformats.org/officeDocument/2006/relationships/image" Target="../media/image11.jpe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image" Target="../media/image2.jpeg"/><Relationship Id="rId5" Type="http://schemas.openxmlformats.org/officeDocument/2006/relationships/image" Target="../media/image12.jpe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88206</xdr:colOff>
      <xdr:row>62</xdr:row>
      <xdr:rowOff>82826</xdr:rowOff>
    </xdr:from>
    <xdr:to>
      <xdr:col>9</xdr:col>
      <xdr:colOff>579783</xdr:colOff>
      <xdr:row>78</xdr:row>
      <xdr:rowOff>40401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03766D2-FE6E-4156-BCDB-FC858B6EB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102</xdr:row>
      <xdr:rowOff>0</xdr:rowOff>
    </xdr:from>
    <xdr:to>
      <xdr:col>14</xdr:col>
      <xdr:colOff>295275</xdr:colOff>
      <xdr:row>116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31AF5-7F37-4483-B2F7-2166FEFD0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568785</xdr:colOff>
      <xdr:row>66</xdr:row>
      <xdr:rowOff>238125</xdr:rowOff>
    </xdr:from>
    <xdr:to>
      <xdr:col>6</xdr:col>
      <xdr:colOff>42294</xdr:colOff>
      <xdr:row>68</xdr:row>
      <xdr:rowOff>91805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BA67B9-145E-4A44-AA6B-D5F20ED849DA}"/>
            </a:ext>
          </a:extLst>
        </xdr:cNvPr>
        <xdr:cNvSpPr txBox="1"/>
      </xdr:nvSpPr>
      <xdr:spPr>
        <a:xfrm>
          <a:off x="4645485" y="2571750"/>
          <a:ext cx="149784" cy="339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 i="0"/>
        </a:p>
      </xdr:txBody>
    </xdr:sp>
    <xdr:clientData/>
  </xdr:twoCellAnchor>
  <xdr:twoCellAnchor>
    <xdr:from>
      <xdr:col>10</xdr:col>
      <xdr:colOff>533398</xdr:colOff>
      <xdr:row>134</xdr:row>
      <xdr:rowOff>87086</xdr:rowOff>
    </xdr:from>
    <xdr:to>
      <xdr:col>21</xdr:col>
      <xdr:colOff>195943</xdr:colOff>
      <xdr:row>160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5E92F-74BB-44D2-B3DB-9F1C01923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54429</xdr:colOff>
      <xdr:row>126</xdr:row>
      <xdr:rowOff>119744</xdr:rowOff>
    </xdr:from>
    <xdr:to>
      <xdr:col>12</xdr:col>
      <xdr:colOff>457200</xdr:colOff>
      <xdr:row>128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382ED13-76FC-4703-8969-288F098CA3C9}"/>
            </a:ext>
          </a:extLst>
        </xdr:cNvPr>
        <xdr:cNvSpPr txBox="1"/>
      </xdr:nvSpPr>
      <xdr:spPr>
        <a:xfrm>
          <a:off x="8893629" y="7191375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(b)</a:t>
          </a:r>
        </a:p>
      </xdr:txBody>
    </xdr:sp>
    <xdr:clientData/>
  </xdr:twoCellAnchor>
  <xdr:twoCellAnchor>
    <xdr:from>
      <xdr:col>12</xdr:col>
      <xdr:colOff>141514</xdr:colOff>
      <xdr:row>139</xdr:row>
      <xdr:rowOff>1</xdr:rowOff>
    </xdr:from>
    <xdr:to>
      <xdr:col>12</xdr:col>
      <xdr:colOff>544285</xdr:colOff>
      <xdr:row>140</xdr:row>
      <xdr:rowOff>141515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BD445F5-D1E9-46C0-9D67-042B9507B802}"/>
            </a:ext>
          </a:extLst>
        </xdr:cNvPr>
        <xdr:cNvSpPr txBox="1"/>
      </xdr:nvSpPr>
      <xdr:spPr>
        <a:xfrm>
          <a:off x="8980714" y="7191375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(a)</a:t>
          </a:r>
        </a:p>
      </xdr:txBody>
    </xdr:sp>
    <xdr:clientData/>
  </xdr:twoCellAnchor>
  <xdr:twoCellAnchor>
    <xdr:from>
      <xdr:col>3</xdr:col>
      <xdr:colOff>491231</xdr:colOff>
      <xdr:row>84</xdr:row>
      <xdr:rowOff>226852</xdr:rowOff>
    </xdr:from>
    <xdr:to>
      <xdr:col>5</xdr:col>
      <xdr:colOff>525782</xdr:colOff>
      <xdr:row>86</xdr:row>
      <xdr:rowOff>188697</xdr:rowOff>
    </xdr:to>
    <xdr:pic>
      <xdr:nvPicPr>
        <xdr:cNvPr id="8" name="Picture 7" descr="UILog">
          <a:extLst>
            <a:ext uri="{FF2B5EF4-FFF2-40B4-BE49-F238E27FC236}">
              <a16:creationId xmlns:a16="http://schemas.microsoft.com/office/drawing/2014/main" id="{E7164930-166C-40DD-9555-E411951E6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26437" y="9034676"/>
          <a:ext cx="2410198" cy="52213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8283</xdr:colOff>
      <xdr:row>65</xdr:row>
      <xdr:rowOff>8283</xdr:rowOff>
    </xdr:from>
    <xdr:to>
      <xdr:col>19</xdr:col>
      <xdr:colOff>0</xdr:colOff>
      <xdr:row>68</xdr:row>
      <xdr:rowOff>19218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EA33B13-B14C-4A1F-8415-ACED38792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0408" y="3932583"/>
          <a:ext cx="1553817" cy="715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6627</xdr:colOff>
      <xdr:row>81</xdr:row>
      <xdr:rowOff>8283</xdr:rowOff>
    </xdr:from>
    <xdr:to>
      <xdr:col>19</xdr:col>
      <xdr:colOff>0</xdr:colOff>
      <xdr:row>84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FF13F30-E2ED-41FB-AE93-DD63F63F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8752" y="7961658"/>
          <a:ext cx="1555473" cy="706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84043</xdr:colOff>
      <xdr:row>4</xdr:row>
      <xdr:rowOff>34737</xdr:rowOff>
    </xdr:from>
    <xdr:to>
      <xdr:col>52</xdr:col>
      <xdr:colOff>498661</xdr:colOff>
      <xdr:row>14</xdr:row>
      <xdr:rowOff>122143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923974-9EE6-45CD-A08E-0987A5F7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184896</xdr:colOff>
      <xdr:row>26</xdr:row>
      <xdr:rowOff>158001</xdr:rowOff>
    </xdr:from>
    <xdr:to>
      <xdr:col>52</xdr:col>
      <xdr:colOff>5602</xdr:colOff>
      <xdr:row>35</xdr:row>
      <xdr:rowOff>54908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A6FA43-7E8B-4461-A23A-99DE4CB6C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22</xdr:col>
      <xdr:colOff>10188</xdr:colOff>
      <xdr:row>65</xdr:row>
      <xdr:rowOff>10188</xdr:rowOff>
    </xdr:from>
    <xdr:ext cx="1595454" cy="709060"/>
    <xdr:pic>
      <xdr:nvPicPr>
        <xdr:cNvPr id="13" name="Picture 12">
          <a:extLst>
            <a:ext uri="{FF2B5EF4-FFF2-40B4-BE49-F238E27FC236}">
              <a16:creationId xmlns:a16="http://schemas.microsoft.com/office/drawing/2014/main" id="{AEC2F51E-81EC-4427-B85C-CBD539761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5867" y="4554974"/>
          <a:ext cx="1595454" cy="70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8532</xdr:colOff>
      <xdr:row>81</xdr:row>
      <xdr:rowOff>10188</xdr:rowOff>
    </xdr:from>
    <xdr:ext cx="1610717" cy="725142"/>
    <xdr:pic>
      <xdr:nvPicPr>
        <xdr:cNvPr id="14" name="Picture 13">
          <a:extLst>
            <a:ext uri="{FF2B5EF4-FFF2-40B4-BE49-F238E27FC236}">
              <a16:creationId xmlns:a16="http://schemas.microsoft.com/office/drawing/2014/main" id="{C40ABE52-45F0-49A3-8DCC-9D816C654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4211" y="8582688"/>
          <a:ext cx="1610717" cy="725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12093</xdr:colOff>
      <xdr:row>65</xdr:row>
      <xdr:rowOff>12093</xdr:rowOff>
    </xdr:from>
    <xdr:ext cx="1579942" cy="709060"/>
    <xdr:pic>
      <xdr:nvPicPr>
        <xdr:cNvPr id="15" name="Picture 14">
          <a:extLst>
            <a:ext uri="{FF2B5EF4-FFF2-40B4-BE49-F238E27FC236}">
              <a16:creationId xmlns:a16="http://schemas.microsoft.com/office/drawing/2014/main" id="{A60E5B28-14BC-4226-96D8-F6089E813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1879" y="4556879"/>
          <a:ext cx="1579942" cy="70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8533</xdr:colOff>
      <xdr:row>81</xdr:row>
      <xdr:rowOff>10188</xdr:rowOff>
    </xdr:from>
    <xdr:ext cx="1597110" cy="706092"/>
    <xdr:pic>
      <xdr:nvPicPr>
        <xdr:cNvPr id="16" name="Picture 15">
          <a:extLst>
            <a:ext uri="{FF2B5EF4-FFF2-40B4-BE49-F238E27FC236}">
              <a16:creationId xmlns:a16="http://schemas.microsoft.com/office/drawing/2014/main" id="{2146B0D1-7D10-46A4-9EC8-BFEBB5900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8319" y="8582688"/>
          <a:ext cx="1597110" cy="706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10188</xdr:colOff>
      <xdr:row>65</xdr:row>
      <xdr:rowOff>10188</xdr:rowOff>
    </xdr:from>
    <xdr:ext cx="1609062" cy="709060"/>
    <xdr:pic>
      <xdr:nvPicPr>
        <xdr:cNvPr id="17" name="Picture 16">
          <a:extLst>
            <a:ext uri="{FF2B5EF4-FFF2-40B4-BE49-F238E27FC236}">
              <a16:creationId xmlns:a16="http://schemas.microsoft.com/office/drawing/2014/main" id="{2B4EF77A-BED9-4F5E-A9C5-2CE3DCC4C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4081" y="4554974"/>
          <a:ext cx="1609062" cy="70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8532</xdr:colOff>
      <xdr:row>81</xdr:row>
      <xdr:rowOff>10188</xdr:rowOff>
    </xdr:from>
    <xdr:ext cx="1583503" cy="696567"/>
    <xdr:pic>
      <xdr:nvPicPr>
        <xdr:cNvPr id="18" name="Picture 17">
          <a:extLst>
            <a:ext uri="{FF2B5EF4-FFF2-40B4-BE49-F238E27FC236}">
              <a16:creationId xmlns:a16="http://schemas.microsoft.com/office/drawing/2014/main" id="{58B0C47E-F346-4A6D-A27C-D24A2A00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2425" y="8582688"/>
          <a:ext cx="1583503" cy="696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8283</xdr:colOff>
      <xdr:row>65</xdr:row>
      <xdr:rowOff>8283</xdr:rowOff>
    </xdr:from>
    <xdr:ext cx="1595455" cy="740005"/>
    <xdr:pic>
      <xdr:nvPicPr>
        <xdr:cNvPr id="19" name="Picture 18">
          <a:extLst>
            <a:ext uri="{FF2B5EF4-FFF2-40B4-BE49-F238E27FC236}">
              <a16:creationId xmlns:a16="http://schemas.microsoft.com/office/drawing/2014/main" id="{0756D690-3B6D-431E-B262-0207619DD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1759" y="14202438"/>
          <a:ext cx="1595455" cy="740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6627</xdr:colOff>
      <xdr:row>81</xdr:row>
      <xdr:rowOff>8283</xdr:rowOff>
    </xdr:from>
    <xdr:ext cx="1597111" cy="724598"/>
    <xdr:pic>
      <xdr:nvPicPr>
        <xdr:cNvPr id="20" name="Picture 19">
          <a:extLst>
            <a:ext uri="{FF2B5EF4-FFF2-40B4-BE49-F238E27FC236}">
              <a16:creationId xmlns:a16="http://schemas.microsoft.com/office/drawing/2014/main" id="{7B5CDA6C-CF5C-4C2A-8D62-8A2173846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0103" y="18230152"/>
          <a:ext cx="1597111" cy="724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0.16239</cdr:x>
      <cdr:y>0.03356</cdr:y>
    </cdr:from>
    <cdr:to>
      <cdr:x>0.19487</cdr:x>
      <cdr:y>0.20134</cdr:y>
    </cdr:to>
    <cdr:sp macro="" textlink="">
      <cdr:nvSpPr>
        <cdr:cNvPr id="2" name="Left Brace 1"/>
        <cdr:cNvSpPr/>
      </cdr:nvSpPr>
      <cdr:spPr>
        <a:xfrm xmlns:a="http://schemas.openxmlformats.org/drawingml/2006/main">
          <a:off x="1034145" y="163285"/>
          <a:ext cx="206829" cy="816429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0.18725</cdr:x>
      <cdr:y>0.3128</cdr:y>
    </cdr:from>
    <cdr:to>
      <cdr:x>0.21175</cdr:x>
      <cdr:y>0.68267</cdr:y>
    </cdr:to>
    <cdr:sp macro="" textlink="">
      <cdr:nvSpPr>
        <cdr:cNvPr id="3" name="Left Brace 2"/>
        <cdr:cNvSpPr/>
      </cdr:nvSpPr>
      <cdr:spPr>
        <a:xfrm xmlns:a="http://schemas.openxmlformats.org/drawingml/2006/main">
          <a:off x="1393047" y="1549951"/>
          <a:ext cx="182266" cy="183275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88205</xdr:colOff>
      <xdr:row>14</xdr:row>
      <xdr:rowOff>82826</xdr:rowOff>
    </xdr:from>
    <xdr:to>
      <xdr:col>9</xdr:col>
      <xdr:colOff>571500</xdr:colOff>
      <xdr:row>30</xdr:row>
      <xdr:rowOff>40401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5F0523D-1939-4AE1-A1E3-977D8DE1C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54</xdr:row>
      <xdr:rowOff>0</xdr:rowOff>
    </xdr:from>
    <xdr:to>
      <xdr:col>13</xdr:col>
      <xdr:colOff>295275</xdr:colOff>
      <xdr:row>68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AE7B7-8960-4847-9EC8-B65B18F29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568785</xdr:colOff>
      <xdr:row>18</xdr:row>
      <xdr:rowOff>238125</xdr:rowOff>
    </xdr:from>
    <xdr:to>
      <xdr:col>5</xdr:col>
      <xdr:colOff>42294</xdr:colOff>
      <xdr:row>20</xdr:row>
      <xdr:rowOff>91805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9DE6E7-42EC-4065-A043-D93ED764482D}"/>
            </a:ext>
          </a:extLst>
        </xdr:cNvPr>
        <xdr:cNvSpPr txBox="1"/>
      </xdr:nvSpPr>
      <xdr:spPr>
        <a:xfrm>
          <a:off x="4131135" y="2800350"/>
          <a:ext cx="149784" cy="339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 i="0"/>
        </a:p>
      </xdr:txBody>
    </xdr:sp>
    <xdr:clientData/>
  </xdr:twoCellAnchor>
  <xdr:twoCellAnchor>
    <xdr:from>
      <xdr:col>9</xdr:col>
      <xdr:colOff>533398</xdr:colOff>
      <xdr:row>86</xdr:row>
      <xdr:rowOff>87086</xdr:rowOff>
    </xdr:from>
    <xdr:to>
      <xdr:col>17</xdr:col>
      <xdr:colOff>195943</xdr:colOff>
      <xdr:row>112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12BA18-77F1-416E-A594-190C665DA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54429</xdr:colOff>
      <xdr:row>78</xdr:row>
      <xdr:rowOff>119744</xdr:rowOff>
    </xdr:from>
    <xdr:to>
      <xdr:col>11</xdr:col>
      <xdr:colOff>457200</xdr:colOff>
      <xdr:row>80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1AB261-EF91-4C72-B7F8-1523BD898774}"/>
            </a:ext>
          </a:extLst>
        </xdr:cNvPr>
        <xdr:cNvSpPr txBox="1"/>
      </xdr:nvSpPr>
      <xdr:spPr>
        <a:xfrm>
          <a:off x="8550729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(b)</a:t>
          </a:r>
        </a:p>
      </xdr:txBody>
    </xdr:sp>
    <xdr:clientData/>
  </xdr:twoCellAnchor>
  <xdr:twoCellAnchor>
    <xdr:from>
      <xdr:col>11</xdr:col>
      <xdr:colOff>141514</xdr:colOff>
      <xdr:row>91</xdr:row>
      <xdr:rowOff>1</xdr:rowOff>
    </xdr:from>
    <xdr:to>
      <xdr:col>11</xdr:col>
      <xdr:colOff>544285</xdr:colOff>
      <xdr:row>92</xdr:row>
      <xdr:rowOff>141515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0A808A-311D-4FDD-8C41-BDC1E8D404F8}"/>
            </a:ext>
          </a:extLst>
        </xdr:cNvPr>
        <xdr:cNvSpPr txBox="1"/>
      </xdr:nvSpPr>
      <xdr:spPr>
        <a:xfrm>
          <a:off x="8637814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(a)</a:t>
          </a:r>
        </a:p>
      </xdr:txBody>
    </xdr:sp>
    <xdr:clientData/>
  </xdr:twoCellAnchor>
  <xdr:twoCellAnchor>
    <xdr:from>
      <xdr:col>3</xdr:col>
      <xdr:colOff>19465</xdr:colOff>
      <xdr:row>38</xdr:row>
      <xdr:rowOff>13942</xdr:rowOff>
    </xdr:from>
    <xdr:to>
      <xdr:col>6</xdr:col>
      <xdr:colOff>194090</xdr:colOff>
      <xdr:row>39</xdr:row>
      <xdr:rowOff>255933</xdr:rowOff>
    </xdr:to>
    <xdr:pic>
      <xdr:nvPicPr>
        <xdr:cNvPr id="8" name="Picture 7" descr="UILog">
          <a:extLst>
            <a:ext uri="{FF2B5EF4-FFF2-40B4-BE49-F238E27FC236}">
              <a16:creationId xmlns:a16="http://schemas.microsoft.com/office/drawing/2014/main" id="{520DD9C2-8C06-4422-87DD-5D21F53F6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91190" y="9357967"/>
          <a:ext cx="2403475" cy="5182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12093</xdr:colOff>
      <xdr:row>17</xdr:row>
      <xdr:rowOff>12093</xdr:rowOff>
    </xdr:from>
    <xdr:to>
      <xdr:col>18</xdr:col>
      <xdr:colOff>783500</xdr:colOff>
      <xdr:row>20</xdr:row>
      <xdr:rowOff>17129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2B8810F-828F-4700-BA2B-8D0C67C2B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4486" y="4529664"/>
          <a:ext cx="1579943" cy="739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8532</xdr:colOff>
      <xdr:row>33</xdr:row>
      <xdr:rowOff>10188</xdr:rowOff>
    </xdr:from>
    <xdr:to>
      <xdr:col>18</xdr:col>
      <xdr:colOff>783227</xdr:colOff>
      <xdr:row>36</xdr:row>
      <xdr:rowOff>22844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7D20C0-A85F-4AD8-BB3E-844DC17B1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0925" y="8555474"/>
          <a:ext cx="1569896" cy="747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22</xdr:col>
      <xdr:colOff>10188</xdr:colOff>
      <xdr:row>17</xdr:row>
      <xdr:rowOff>10188</xdr:rowOff>
    </xdr:from>
    <xdr:ext cx="1609062" cy="711791"/>
    <xdr:pic>
      <xdr:nvPicPr>
        <xdr:cNvPr id="13" name="Picture 12">
          <a:extLst>
            <a:ext uri="{FF2B5EF4-FFF2-40B4-BE49-F238E27FC236}">
              <a16:creationId xmlns:a16="http://schemas.microsoft.com/office/drawing/2014/main" id="{31D9EA8A-80AB-427B-A4DB-BE8752957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6688" y="4527759"/>
          <a:ext cx="1609062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6627</xdr:colOff>
      <xdr:row>33</xdr:row>
      <xdr:rowOff>8283</xdr:rowOff>
    </xdr:from>
    <xdr:ext cx="1555473" cy="711791"/>
    <xdr:pic>
      <xdr:nvPicPr>
        <xdr:cNvPr id="14" name="Picture 13">
          <a:extLst>
            <a:ext uri="{FF2B5EF4-FFF2-40B4-BE49-F238E27FC236}">
              <a16:creationId xmlns:a16="http://schemas.microsoft.com/office/drawing/2014/main" id="{97A335AA-79DC-4107-A80B-36DC12C7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2102" y="7961658"/>
          <a:ext cx="1555473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10188</xdr:colOff>
      <xdr:row>17</xdr:row>
      <xdr:rowOff>10188</xdr:rowOff>
    </xdr:from>
    <xdr:ext cx="1595455" cy="711791"/>
    <xdr:pic>
      <xdr:nvPicPr>
        <xdr:cNvPr id="17" name="Picture 16">
          <a:extLst>
            <a:ext uri="{FF2B5EF4-FFF2-40B4-BE49-F238E27FC236}">
              <a16:creationId xmlns:a16="http://schemas.microsoft.com/office/drawing/2014/main" id="{7213F2FB-5898-435F-A9E0-67327F1E2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40795" y="4527759"/>
          <a:ext cx="1595455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10436</xdr:colOff>
      <xdr:row>33</xdr:row>
      <xdr:rowOff>12093</xdr:rowOff>
    </xdr:from>
    <xdr:ext cx="1581599" cy="711791"/>
    <xdr:pic>
      <xdr:nvPicPr>
        <xdr:cNvPr id="18" name="Picture 17">
          <a:extLst>
            <a:ext uri="{FF2B5EF4-FFF2-40B4-BE49-F238E27FC236}">
              <a16:creationId xmlns:a16="http://schemas.microsoft.com/office/drawing/2014/main" id="{B07854BA-2623-4FA7-B9A0-1FECB4021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41043" y="8557379"/>
          <a:ext cx="1581599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10187</xdr:colOff>
      <xdr:row>17</xdr:row>
      <xdr:rowOff>10188</xdr:rowOff>
    </xdr:from>
    <xdr:ext cx="1595455" cy="711791"/>
    <xdr:pic>
      <xdr:nvPicPr>
        <xdr:cNvPr id="21" name="Picture 20">
          <a:extLst>
            <a:ext uri="{FF2B5EF4-FFF2-40B4-BE49-F238E27FC236}">
              <a16:creationId xmlns:a16="http://schemas.microsoft.com/office/drawing/2014/main" id="{019DAAD6-96C8-45C2-8A8F-A46DB376A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4901" y="4527759"/>
          <a:ext cx="1595455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8532</xdr:colOff>
      <xdr:row>33</xdr:row>
      <xdr:rowOff>10188</xdr:rowOff>
    </xdr:from>
    <xdr:ext cx="1569897" cy="711791"/>
    <xdr:pic>
      <xdr:nvPicPr>
        <xdr:cNvPr id="22" name="Picture 21">
          <a:extLst>
            <a:ext uri="{FF2B5EF4-FFF2-40B4-BE49-F238E27FC236}">
              <a16:creationId xmlns:a16="http://schemas.microsoft.com/office/drawing/2014/main" id="{64CF4CE3-967F-4C7A-8606-83E322BB8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3246" y="8555474"/>
          <a:ext cx="1569897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8283</xdr:colOff>
      <xdr:row>17</xdr:row>
      <xdr:rowOff>8283</xdr:rowOff>
    </xdr:from>
    <xdr:ext cx="1576677" cy="721316"/>
    <xdr:pic>
      <xdr:nvPicPr>
        <xdr:cNvPr id="11" name="Picture 10">
          <a:extLst>
            <a:ext uri="{FF2B5EF4-FFF2-40B4-BE49-F238E27FC236}">
              <a16:creationId xmlns:a16="http://schemas.microsoft.com/office/drawing/2014/main" id="{47A0DD2C-C8CD-4092-9C9F-00D3B5C3C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1438" y="4415501"/>
          <a:ext cx="1576677" cy="721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8532</xdr:colOff>
      <xdr:row>33</xdr:row>
      <xdr:rowOff>10188</xdr:rowOff>
    </xdr:from>
    <xdr:ext cx="1597111" cy="723221"/>
    <xdr:pic>
      <xdr:nvPicPr>
        <xdr:cNvPr id="12" name="Picture 11">
          <a:extLst>
            <a:ext uri="{FF2B5EF4-FFF2-40B4-BE49-F238E27FC236}">
              <a16:creationId xmlns:a16="http://schemas.microsoft.com/office/drawing/2014/main" id="{95ED6702-AAEC-4DB1-AD23-C1B192544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818" y="8555474"/>
          <a:ext cx="1597111" cy="723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0.16239</cdr:x>
      <cdr:y>0.03356</cdr:y>
    </cdr:from>
    <cdr:to>
      <cdr:x>0.19487</cdr:x>
      <cdr:y>0.20134</cdr:y>
    </cdr:to>
    <cdr:sp macro="" textlink="">
      <cdr:nvSpPr>
        <cdr:cNvPr id="2" name="Left Brace 1"/>
        <cdr:cNvSpPr/>
      </cdr:nvSpPr>
      <cdr:spPr>
        <a:xfrm xmlns:a="http://schemas.openxmlformats.org/drawingml/2006/main">
          <a:off x="1034145" y="163285"/>
          <a:ext cx="206829" cy="816429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0.18725</cdr:x>
      <cdr:y>0.3128</cdr:y>
    </cdr:from>
    <cdr:to>
      <cdr:x>0.21175</cdr:x>
      <cdr:y>0.68267</cdr:y>
    </cdr:to>
    <cdr:sp macro="" textlink="">
      <cdr:nvSpPr>
        <cdr:cNvPr id="3" name="Left Brace 2"/>
        <cdr:cNvSpPr/>
      </cdr:nvSpPr>
      <cdr:spPr>
        <a:xfrm xmlns:a="http://schemas.openxmlformats.org/drawingml/2006/main">
          <a:off x="1393047" y="1549951"/>
          <a:ext cx="182266" cy="183275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88206</xdr:colOff>
      <xdr:row>62</xdr:row>
      <xdr:rowOff>82826</xdr:rowOff>
    </xdr:from>
    <xdr:to>
      <xdr:col>9</xdr:col>
      <xdr:colOff>579783</xdr:colOff>
      <xdr:row>78</xdr:row>
      <xdr:rowOff>40401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4F2C73D-614B-4164-87B9-F77086707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102</xdr:row>
      <xdr:rowOff>0</xdr:rowOff>
    </xdr:from>
    <xdr:to>
      <xdr:col>14</xdr:col>
      <xdr:colOff>295275</xdr:colOff>
      <xdr:row>116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ED684-59F3-4FEB-9B05-F558D0D6E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568785</xdr:colOff>
      <xdr:row>66</xdr:row>
      <xdr:rowOff>238125</xdr:rowOff>
    </xdr:from>
    <xdr:to>
      <xdr:col>6</xdr:col>
      <xdr:colOff>42294</xdr:colOff>
      <xdr:row>68</xdr:row>
      <xdr:rowOff>91805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D11A57C-FF29-49E9-8FF9-6A8BA25A81D1}"/>
            </a:ext>
          </a:extLst>
        </xdr:cNvPr>
        <xdr:cNvSpPr txBox="1"/>
      </xdr:nvSpPr>
      <xdr:spPr>
        <a:xfrm>
          <a:off x="4131135" y="2800350"/>
          <a:ext cx="149784" cy="339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 i="0"/>
        </a:p>
      </xdr:txBody>
    </xdr:sp>
    <xdr:clientData/>
  </xdr:twoCellAnchor>
  <xdr:twoCellAnchor>
    <xdr:from>
      <xdr:col>10</xdr:col>
      <xdr:colOff>533398</xdr:colOff>
      <xdr:row>134</xdr:row>
      <xdr:rowOff>87086</xdr:rowOff>
    </xdr:from>
    <xdr:to>
      <xdr:col>21</xdr:col>
      <xdr:colOff>195943</xdr:colOff>
      <xdr:row>160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4BE8F-0F6E-42F5-8F5B-38AC25D9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54429</xdr:colOff>
      <xdr:row>126</xdr:row>
      <xdr:rowOff>119744</xdr:rowOff>
    </xdr:from>
    <xdr:to>
      <xdr:col>12</xdr:col>
      <xdr:colOff>457200</xdr:colOff>
      <xdr:row>128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097516-53AC-4B7C-B928-F23D1639F7E2}"/>
            </a:ext>
          </a:extLst>
        </xdr:cNvPr>
        <xdr:cNvSpPr txBox="1"/>
      </xdr:nvSpPr>
      <xdr:spPr>
        <a:xfrm>
          <a:off x="8550729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(b)</a:t>
          </a:r>
        </a:p>
      </xdr:txBody>
    </xdr:sp>
    <xdr:clientData/>
  </xdr:twoCellAnchor>
  <xdr:twoCellAnchor>
    <xdr:from>
      <xdr:col>12</xdr:col>
      <xdr:colOff>141514</xdr:colOff>
      <xdr:row>139</xdr:row>
      <xdr:rowOff>1</xdr:rowOff>
    </xdr:from>
    <xdr:to>
      <xdr:col>12</xdr:col>
      <xdr:colOff>544285</xdr:colOff>
      <xdr:row>140</xdr:row>
      <xdr:rowOff>141515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C2B5F8-E54D-4205-97CC-E8B8364F679C}"/>
            </a:ext>
          </a:extLst>
        </xdr:cNvPr>
        <xdr:cNvSpPr txBox="1"/>
      </xdr:nvSpPr>
      <xdr:spPr>
        <a:xfrm>
          <a:off x="8637814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(a)</a:t>
          </a:r>
        </a:p>
      </xdr:txBody>
    </xdr:sp>
    <xdr:clientData/>
  </xdr:twoCellAnchor>
  <xdr:twoCellAnchor>
    <xdr:from>
      <xdr:col>3</xdr:col>
      <xdr:colOff>209965</xdr:colOff>
      <xdr:row>83</xdr:row>
      <xdr:rowOff>271117</xdr:rowOff>
    </xdr:from>
    <xdr:to>
      <xdr:col>5</xdr:col>
      <xdr:colOff>594140</xdr:colOff>
      <xdr:row>85</xdr:row>
      <xdr:rowOff>236883</xdr:rowOff>
    </xdr:to>
    <xdr:pic>
      <xdr:nvPicPr>
        <xdr:cNvPr id="8" name="Picture 7" descr="UILog">
          <a:extLst>
            <a:ext uri="{FF2B5EF4-FFF2-40B4-BE49-F238E27FC236}">
              <a16:creationId xmlns:a16="http://schemas.microsoft.com/office/drawing/2014/main" id="{77FDCFCD-E54B-46C0-B4CD-10FC1075F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53015" y="19082992"/>
          <a:ext cx="2403475" cy="5182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8283</xdr:colOff>
      <xdr:row>65</xdr:row>
      <xdr:rowOff>8283</xdr:rowOff>
    </xdr:from>
    <xdr:to>
      <xdr:col>19</xdr:col>
      <xdr:colOff>16921</xdr:colOff>
      <xdr:row>68</xdr:row>
      <xdr:rowOff>2071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B19EA3-7B24-481A-8851-CE4BDF24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018" y="3941548"/>
          <a:ext cx="1571747" cy="702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6627</xdr:colOff>
      <xdr:row>81</xdr:row>
      <xdr:rowOff>8283</xdr:rowOff>
    </xdr:from>
    <xdr:to>
      <xdr:col>18</xdr:col>
      <xdr:colOff>778921</xdr:colOff>
      <xdr:row>84</xdr:row>
      <xdr:rowOff>18095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52AEFC-127A-4C9C-989E-5D9B49BA5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8362" y="7964459"/>
          <a:ext cx="1550991" cy="71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22</xdr:col>
      <xdr:colOff>10188</xdr:colOff>
      <xdr:row>65</xdr:row>
      <xdr:rowOff>10188</xdr:rowOff>
    </xdr:from>
    <xdr:ext cx="1581847" cy="708163"/>
    <xdr:pic>
      <xdr:nvPicPr>
        <xdr:cNvPr id="11" name="Picture 10">
          <a:extLst>
            <a:ext uri="{FF2B5EF4-FFF2-40B4-BE49-F238E27FC236}">
              <a16:creationId xmlns:a16="http://schemas.microsoft.com/office/drawing/2014/main" id="{BB27FBE6-C779-4C23-9221-963CD2ED4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5867" y="4527759"/>
          <a:ext cx="1581847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8532</xdr:colOff>
      <xdr:row>81</xdr:row>
      <xdr:rowOff>10188</xdr:rowOff>
    </xdr:from>
    <xdr:ext cx="1583503" cy="708163"/>
    <xdr:pic>
      <xdr:nvPicPr>
        <xdr:cNvPr id="12" name="Picture 11">
          <a:extLst>
            <a:ext uri="{FF2B5EF4-FFF2-40B4-BE49-F238E27FC236}">
              <a16:creationId xmlns:a16="http://schemas.microsoft.com/office/drawing/2014/main" id="{64A5BD08-1CA0-4EB9-948E-11B75975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4211" y="8555474"/>
          <a:ext cx="1583503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10188</xdr:colOff>
      <xdr:row>65</xdr:row>
      <xdr:rowOff>10188</xdr:rowOff>
    </xdr:from>
    <xdr:ext cx="1581847" cy="708163"/>
    <xdr:pic>
      <xdr:nvPicPr>
        <xdr:cNvPr id="13" name="Picture 12">
          <a:extLst>
            <a:ext uri="{FF2B5EF4-FFF2-40B4-BE49-F238E27FC236}">
              <a16:creationId xmlns:a16="http://schemas.microsoft.com/office/drawing/2014/main" id="{6E23C9CC-5C92-4941-B647-620069C47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974" y="4527759"/>
          <a:ext cx="1581847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8532</xdr:colOff>
      <xdr:row>81</xdr:row>
      <xdr:rowOff>10188</xdr:rowOff>
    </xdr:from>
    <xdr:ext cx="1569896" cy="708163"/>
    <xdr:pic>
      <xdr:nvPicPr>
        <xdr:cNvPr id="14" name="Picture 13">
          <a:extLst>
            <a:ext uri="{FF2B5EF4-FFF2-40B4-BE49-F238E27FC236}">
              <a16:creationId xmlns:a16="http://schemas.microsoft.com/office/drawing/2014/main" id="{8BCBB08E-0826-4F5B-8A70-24956247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8318" y="8555474"/>
          <a:ext cx="1569896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10188</xdr:colOff>
      <xdr:row>65</xdr:row>
      <xdr:rowOff>10188</xdr:rowOff>
    </xdr:from>
    <xdr:ext cx="1581848" cy="708163"/>
    <xdr:pic>
      <xdr:nvPicPr>
        <xdr:cNvPr id="15" name="Picture 14">
          <a:extLst>
            <a:ext uri="{FF2B5EF4-FFF2-40B4-BE49-F238E27FC236}">
              <a16:creationId xmlns:a16="http://schemas.microsoft.com/office/drawing/2014/main" id="{580B6A66-2FBE-47B4-941C-7D0AC714E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4081" y="4527759"/>
          <a:ext cx="1581848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8532</xdr:colOff>
      <xdr:row>81</xdr:row>
      <xdr:rowOff>10188</xdr:rowOff>
    </xdr:from>
    <xdr:ext cx="1583504" cy="708163"/>
    <xdr:pic>
      <xdr:nvPicPr>
        <xdr:cNvPr id="16" name="Picture 15">
          <a:extLst>
            <a:ext uri="{FF2B5EF4-FFF2-40B4-BE49-F238E27FC236}">
              <a16:creationId xmlns:a16="http://schemas.microsoft.com/office/drawing/2014/main" id="{98961FB3-77F7-4D58-AF4C-61FB9472C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2425" y="8555474"/>
          <a:ext cx="1583504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10188</xdr:colOff>
      <xdr:row>65</xdr:row>
      <xdr:rowOff>10188</xdr:rowOff>
    </xdr:from>
    <xdr:ext cx="1581848" cy="708163"/>
    <xdr:pic>
      <xdr:nvPicPr>
        <xdr:cNvPr id="17" name="Picture 16">
          <a:extLst>
            <a:ext uri="{FF2B5EF4-FFF2-40B4-BE49-F238E27FC236}">
              <a16:creationId xmlns:a16="http://schemas.microsoft.com/office/drawing/2014/main" id="{4BFD5297-BBE5-4D77-96AB-04C201666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7652" y="4527759"/>
          <a:ext cx="1581848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6627</xdr:colOff>
      <xdr:row>81</xdr:row>
      <xdr:rowOff>8283</xdr:rowOff>
    </xdr:from>
    <xdr:ext cx="1550991" cy="708163"/>
    <xdr:pic>
      <xdr:nvPicPr>
        <xdr:cNvPr id="18" name="Picture 17">
          <a:extLst>
            <a:ext uri="{FF2B5EF4-FFF2-40B4-BE49-F238E27FC236}">
              <a16:creationId xmlns:a16="http://schemas.microsoft.com/office/drawing/2014/main" id="{CD9BA3FD-C30F-4541-BED6-D18F2D38D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0282" y="18441063"/>
          <a:ext cx="1550991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0.16239</cdr:x>
      <cdr:y>0.03356</cdr:y>
    </cdr:from>
    <cdr:to>
      <cdr:x>0.19487</cdr:x>
      <cdr:y>0.20134</cdr:y>
    </cdr:to>
    <cdr:sp macro="" textlink="">
      <cdr:nvSpPr>
        <cdr:cNvPr id="2" name="Left Brace 1"/>
        <cdr:cNvSpPr/>
      </cdr:nvSpPr>
      <cdr:spPr>
        <a:xfrm xmlns:a="http://schemas.openxmlformats.org/drawingml/2006/main">
          <a:off x="1034145" y="163285"/>
          <a:ext cx="206829" cy="816429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0.18725</cdr:x>
      <cdr:y>0.3128</cdr:y>
    </cdr:from>
    <cdr:to>
      <cdr:x>0.21175</cdr:x>
      <cdr:y>0.68267</cdr:y>
    </cdr:to>
    <cdr:sp macro="" textlink="">
      <cdr:nvSpPr>
        <cdr:cNvPr id="3" name="Left Brace 2"/>
        <cdr:cNvSpPr/>
      </cdr:nvSpPr>
      <cdr:spPr>
        <a:xfrm xmlns:a="http://schemas.openxmlformats.org/drawingml/2006/main">
          <a:off x="1393047" y="1549951"/>
          <a:ext cx="182266" cy="183275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88206</xdr:colOff>
      <xdr:row>41</xdr:row>
      <xdr:rowOff>82826</xdr:rowOff>
    </xdr:from>
    <xdr:to>
      <xdr:col>9</xdr:col>
      <xdr:colOff>561975</xdr:colOff>
      <xdr:row>57</xdr:row>
      <xdr:rowOff>40401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DF7550A-43D7-4006-826E-050D5B72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81</xdr:row>
      <xdr:rowOff>0</xdr:rowOff>
    </xdr:from>
    <xdr:to>
      <xdr:col>13</xdr:col>
      <xdr:colOff>295275</xdr:colOff>
      <xdr:row>95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837FB-A240-4D87-929F-6B69ED59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568785</xdr:colOff>
      <xdr:row>45</xdr:row>
      <xdr:rowOff>238125</xdr:rowOff>
    </xdr:from>
    <xdr:to>
      <xdr:col>5</xdr:col>
      <xdr:colOff>42294</xdr:colOff>
      <xdr:row>47</xdr:row>
      <xdr:rowOff>91805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8844DB-A09C-4AD4-B614-5953C89CD86F}"/>
            </a:ext>
          </a:extLst>
        </xdr:cNvPr>
        <xdr:cNvSpPr txBox="1"/>
      </xdr:nvSpPr>
      <xdr:spPr>
        <a:xfrm>
          <a:off x="3388185" y="2800350"/>
          <a:ext cx="149784" cy="339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 i="0"/>
        </a:p>
      </xdr:txBody>
    </xdr:sp>
    <xdr:clientData/>
  </xdr:twoCellAnchor>
  <xdr:twoCellAnchor>
    <xdr:from>
      <xdr:col>9</xdr:col>
      <xdr:colOff>533398</xdr:colOff>
      <xdr:row>113</xdr:row>
      <xdr:rowOff>87086</xdr:rowOff>
    </xdr:from>
    <xdr:to>
      <xdr:col>17</xdr:col>
      <xdr:colOff>195943</xdr:colOff>
      <xdr:row>139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D0E60-36DF-476A-9BE9-C651083C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54429</xdr:colOff>
      <xdr:row>105</xdr:row>
      <xdr:rowOff>119744</xdr:rowOff>
    </xdr:from>
    <xdr:to>
      <xdr:col>11</xdr:col>
      <xdr:colOff>457200</xdr:colOff>
      <xdr:row>107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91708E-8F81-4298-9679-A5FCC0511B3A}"/>
            </a:ext>
          </a:extLst>
        </xdr:cNvPr>
        <xdr:cNvSpPr txBox="1"/>
      </xdr:nvSpPr>
      <xdr:spPr>
        <a:xfrm>
          <a:off x="7807779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(b)</a:t>
          </a:r>
        </a:p>
      </xdr:txBody>
    </xdr:sp>
    <xdr:clientData/>
  </xdr:twoCellAnchor>
  <xdr:twoCellAnchor>
    <xdr:from>
      <xdr:col>11</xdr:col>
      <xdr:colOff>141514</xdr:colOff>
      <xdr:row>118</xdr:row>
      <xdr:rowOff>1</xdr:rowOff>
    </xdr:from>
    <xdr:to>
      <xdr:col>11</xdr:col>
      <xdr:colOff>544285</xdr:colOff>
      <xdr:row>119</xdr:row>
      <xdr:rowOff>141515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1EAD47A-80AE-47FC-AC87-82A505740EE9}"/>
            </a:ext>
          </a:extLst>
        </xdr:cNvPr>
        <xdr:cNvSpPr txBox="1"/>
      </xdr:nvSpPr>
      <xdr:spPr>
        <a:xfrm>
          <a:off x="7894864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(a)</a:t>
          </a:r>
        </a:p>
      </xdr:txBody>
    </xdr:sp>
    <xdr:clientData/>
  </xdr:twoCellAnchor>
  <xdr:twoCellAnchor>
    <xdr:from>
      <xdr:col>2</xdr:col>
      <xdr:colOff>1393306</xdr:colOff>
      <xdr:row>65</xdr:row>
      <xdr:rowOff>22906</xdr:rowOff>
    </xdr:from>
    <xdr:to>
      <xdr:col>6</xdr:col>
      <xdr:colOff>321838</xdr:colOff>
      <xdr:row>66</xdr:row>
      <xdr:rowOff>259294</xdr:rowOff>
    </xdr:to>
    <xdr:pic>
      <xdr:nvPicPr>
        <xdr:cNvPr id="8" name="Picture 7" descr="UILog">
          <a:extLst>
            <a:ext uri="{FF2B5EF4-FFF2-40B4-BE49-F238E27FC236}">
              <a16:creationId xmlns:a16="http://schemas.microsoft.com/office/drawing/2014/main" id="{74BEB6A5-4218-451E-A622-50631CE58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93406" y="9366931"/>
          <a:ext cx="2862357" cy="5126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8531</xdr:colOff>
      <xdr:row>60</xdr:row>
      <xdr:rowOff>10188</xdr:rowOff>
    </xdr:from>
    <xdr:to>
      <xdr:col>18</xdr:col>
      <xdr:colOff>784186</xdr:colOff>
      <xdr:row>62</xdr:row>
      <xdr:rowOff>224886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8B8052-FD99-46AB-9F31-7F935AE60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2472" y="8493041"/>
          <a:ext cx="1582703" cy="707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9524</xdr:colOff>
      <xdr:row>44</xdr:row>
      <xdr:rowOff>0</xdr:rowOff>
    </xdr:from>
    <xdr:to>
      <xdr:col>18</xdr:col>
      <xdr:colOff>781050</xdr:colOff>
      <xdr:row>47</xdr:row>
      <xdr:rowOff>138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943216F-5566-4B27-A9DF-ED95CC9E4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49" y="3924300"/>
          <a:ext cx="1543051" cy="714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22</xdr:col>
      <xdr:colOff>10188</xdr:colOff>
      <xdr:row>44</xdr:row>
      <xdr:rowOff>10188</xdr:rowOff>
    </xdr:from>
    <xdr:ext cx="1581047" cy="706188"/>
    <xdr:pic>
      <xdr:nvPicPr>
        <xdr:cNvPr id="17" name="Picture 16">
          <a:extLst>
            <a:ext uri="{FF2B5EF4-FFF2-40B4-BE49-F238E27FC236}">
              <a16:creationId xmlns:a16="http://schemas.microsoft.com/office/drawing/2014/main" id="{228D4EAA-87E0-4EC1-98FF-B8BD199A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2217" y="4470129"/>
          <a:ext cx="1581047" cy="706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8532</xdr:colOff>
      <xdr:row>60</xdr:row>
      <xdr:rowOff>10188</xdr:rowOff>
    </xdr:from>
    <xdr:ext cx="1560292" cy="706188"/>
    <xdr:pic>
      <xdr:nvPicPr>
        <xdr:cNvPr id="18" name="Picture 17">
          <a:extLst>
            <a:ext uri="{FF2B5EF4-FFF2-40B4-BE49-F238E27FC236}">
              <a16:creationId xmlns:a16="http://schemas.microsoft.com/office/drawing/2014/main" id="{D24C068A-0A38-4993-A056-FF644613A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0561" y="8493041"/>
          <a:ext cx="1560292" cy="706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10189</xdr:colOff>
      <xdr:row>44</xdr:row>
      <xdr:rowOff>10188</xdr:rowOff>
    </xdr:from>
    <xdr:ext cx="1581046" cy="706188"/>
    <xdr:pic>
      <xdr:nvPicPr>
        <xdr:cNvPr id="21" name="Picture 20">
          <a:extLst>
            <a:ext uri="{FF2B5EF4-FFF2-40B4-BE49-F238E27FC236}">
              <a16:creationId xmlns:a16="http://schemas.microsoft.com/office/drawing/2014/main" id="{5D02BE10-D218-4274-9BFC-8A2694AF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0307" y="4470129"/>
          <a:ext cx="1581046" cy="706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8531</xdr:colOff>
      <xdr:row>60</xdr:row>
      <xdr:rowOff>10188</xdr:rowOff>
    </xdr:from>
    <xdr:ext cx="1560291" cy="706188"/>
    <xdr:pic>
      <xdr:nvPicPr>
        <xdr:cNvPr id="22" name="Picture 21">
          <a:extLst>
            <a:ext uri="{FF2B5EF4-FFF2-40B4-BE49-F238E27FC236}">
              <a16:creationId xmlns:a16="http://schemas.microsoft.com/office/drawing/2014/main" id="{8B407373-5834-4AA7-9624-6CD492E8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68649" y="8493041"/>
          <a:ext cx="1560291" cy="706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12094</xdr:colOff>
      <xdr:row>44</xdr:row>
      <xdr:rowOff>12093</xdr:rowOff>
    </xdr:from>
    <xdr:ext cx="1579141" cy="706188"/>
    <xdr:pic>
      <xdr:nvPicPr>
        <xdr:cNvPr id="25" name="Picture 24">
          <a:extLst>
            <a:ext uri="{FF2B5EF4-FFF2-40B4-BE49-F238E27FC236}">
              <a16:creationId xmlns:a16="http://schemas.microsoft.com/office/drawing/2014/main" id="{A8DBC5AB-9A8B-439F-9449-BEF007ED0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0300" y="4472034"/>
          <a:ext cx="1579141" cy="706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32</xdr:col>
      <xdr:colOff>8531</xdr:colOff>
      <xdr:row>60</xdr:row>
      <xdr:rowOff>10188</xdr:rowOff>
    </xdr:from>
    <xdr:ext cx="1571497" cy="706188"/>
    <xdr:pic>
      <xdr:nvPicPr>
        <xdr:cNvPr id="26" name="Picture 25">
          <a:extLst>
            <a:ext uri="{FF2B5EF4-FFF2-40B4-BE49-F238E27FC236}">
              <a16:creationId xmlns:a16="http://schemas.microsoft.com/office/drawing/2014/main" id="{48163E94-E341-4B4E-89F6-EAE16600C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46737" y="8493041"/>
          <a:ext cx="1571497" cy="706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10189</xdr:colOff>
      <xdr:row>44</xdr:row>
      <xdr:rowOff>10188</xdr:rowOff>
    </xdr:from>
    <xdr:ext cx="1569840" cy="706188"/>
    <xdr:pic>
      <xdr:nvPicPr>
        <xdr:cNvPr id="9" name="Picture 8">
          <a:extLst>
            <a:ext uri="{FF2B5EF4-FFF2-40B4-BE49-F238E27FC236}">
              <a16:creationId xmlns:a16="http://schemas.microsoft.com/office/drawing/2014/main" id="{3A1D6039-66CB-4140-B2CF-28DC59F7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6042" y="4470129"/>
          <a:ext cx="1569840" cy="706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8532</xdr:colOff>
      <xdr:row>60</xdr:row>
      <xdr:rowOff>10188</xdr:rowOff>
    </xdr:from>
    <xdr:ext cx="1560291" cy="706188"/>
    <xdr:pic>
      <xdr:nvPicPr>
        <xdr:cNvPr id="12" name="Picture 11">
          <a:extLst>
            <a:ext uri="{FF2B5EF4-FFF2-40B4-BE49-F238E27FC236}">
              <a16:creationId xmlns:a16="http://schemas.microsoft.com/office/drawing/2014/main" id="{A576AD99-9AF4-4502-9F25-09C47107E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4385" y="8493041"/>
          <a:ext cx="1560291" cy="706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0.16239</cdr:x>
      <cdr:y>0.03356</cdr:y>
    </cdr:from>
    <cdr:to>
      <cdr:x>0.19487</cdr:x>
      <cdr:y>0.20134</cdr:y>
    </cdr:to>
    <cdr:sp macro="" textlink="">
      <cdr:nvSpPr>
        <cdr:cNvPr id="2" name="Left Brace 1"/>
        <cdr:cNvSpPr/>
      </cdr:nvSpPr>
      <cdr:spPr>
        <a:xfrm xmlns:a="http://schemas.openxmlformats.org/drawingml/2006/main">
          <a:off x="1034145" y="163285"/>
          <a:ext cx="206829" cy="816429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0.18725</cdr:x>
      <cdr:y>0.3128</cdr:y>
    </cdr:from>
    <cdr:to>
      <cdr:x>0.21175</cdr:x>
      <cdr:y>0.68267</cdr:y>
    </cdr:to>
    <cdr:sp macro="" textlink="">
      <cdr:nvSpPr>
        <cdr:cNvPr id="3" name="Left Brace 2"/>
        <cdr:cNvSpPr/>
      </cdr:nvSpPr>
      <cdr:spPr>
        <a:xfrm xmlns:a="http://schemas.openxmlformats.org/drawingml/2006/main">
          <a:off x="1393047" y="1549951"/>
          <a:ext cx="182266" cy="183275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go/Box/new%20excel%20correlation/Residual-FullySoftened-Correlations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-Output Metric"/>
      <sheetName val="Input-Output English"/>
    </sheetNames>
    <sheetDataSet>
      <sheetData sheetId="0">
        <row r="4">
          <cell r="K4">
            <v>0</v>
          </cell>
        </row>
      </sheetData>
      <sheetData sheetId="1">
        <row r="65">
          <cell r="B65">
            <v>40</v>
          </cell>
          <cell r="C65">
            <v>0.61209999999999998</v>
          </cell>
          <cell r="E65">
            <v>0.56240000000000001</v>
          </cell>
          <cell r="G65">
            <v>0.49959999999999999</v>
          </cell>
        </row>
        <row r="66">
          <cell r="B66">
            <v>50</v>
          </cell>
          <cell r="C66">
            <v>0.59660000000000002</v>
          </cell>
          <cell r="E66">
            <v>0.5413</v>
          </cell>
          <cell r="G66">
            <v>0.4773</v>
          </cell>
        </row>
        <row r="67">
          <cell r="B67">
            <v>60</v>
          </cell>
          <cell r="C67">
            <v>0.58169999999999999</v>
          </cell>
          <cell r="E67">
            <v>0.52239999999999998</v>
          </cell>
          <cell r="G67">
            <v>0.45729999999999998</v>
          </cell>
        </row>
        <row r="68">
          <cell r="B68">
            <v>70</v>
          </cell>
          <cell r="C68">
            <v>0.56940000000000002</v>
          </cell>
          <cell r="E68">
            <v>0.50360000000000005</v>
          </cell>
          <cell r="G68">
            <v>0.43890000000000001</v>
          </cell>
        </row>
        <row r="69">
          <cell r="B69">
            <v>75</v>
          </cell>
          <cell r="C69">
            <v>0.5645</v>
          </cell>
          <cell r="E69">
            <v>0.49509999999999998</v>
          </cell>
          <cell r="G69">
            <v>0.43020000000000003</v>
          </cell>
        </row>
        <row r="70">
          <cell r="B70">
            <v>80</v>
          </cell>
          <cell r="E70">
            <v>0.48720000000000002</v>
          </cell>
          <cell r="G70">
            <v>0.4219</v>
          </cell>
        </row>
        <row r="71">
          <cell r="B71">
            <v>90</v>
          </cell>
          <cell r="E71">
            <v>0.47220000000000001</v>
          </cell>
          <cell r="G71">
            <v>0.40539999999999998</v>
          </cell>
        </row>
        <row r="72">
          <cell r="B72">
            <v>100</v>
          </cell>
          <cell r="E72">
            <v>0.45810000000000001</v>
          </cell>
          <cell r="G72">
            <v>0.3906</v>
          </cell>
        </row>
        <row r="73">
          <cell r="B73">
            <v>110</v>
          </cell>
          <cell r="E73">
            <v>0.4451</v>
          </cell>
          <cell r="G73">
            <v>0.37819999999999998</v>
          </cell>
        </row>
        <row r="74">
          <cell r="B74">
            <v>120</v>
          </cell>
          <cell r="E74">
            <v>0.43340000000000001</v>
          </cell>
          <cell r="G74">
            <v>0.36559999999999998</v>
          </cell>
        </row>
        <row r="75">
          <cell r="B75">
            <v>130</v>
          </cell>
          <cell r="E75">
            <v>0.42370000000000002</v>
          </cell>
          <cell r="G75">
            <v>0.35370000000000001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stark.ne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stark.ne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stark.ne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stark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191"/>
  <sheetViews>
    <sheetView zoomScale="70" zoomScaleNormal="70" workbookViewId="0">
      <selection activeCell="C5" sqref="C5"/>
    </sheetView>
  </sheetViews>
  <sheetFormatPr defaultColWidth="8.88671875" defaultRowHeight="14.4" x14ac:dyDescent="0.3"/>
  <cols>
    <col min="1" max="1" width="1.88671875" style="3" customWidth="1"/>
    <col min="2" max="2" width="10.109375" style="3" customWidth="1"/>
    <col min="3" max="3" width="11.109375" style="3" customWidth="1"/>
    <col min="4" max="4" width="26.33203125" style="3" customWidth="1"/>
    <col min="5" max="24" width="11.6640625" style="3" customWidth="1"/>
    <col min="25" max="35" width="11.6640625" customWidth="1"/>
    <col min="36" max="36" width="10" style="3" hidden="1" customWidth="1"/>
    <col min="37" max="48" width="8.88671875" style="3" hidden="1" customWidth="1"/>
    <col min="49" max="49" width="8.88671875" style="172" hidden="1" customWidth="1"/>
    <col min="50" max="64" width="8.88671875" style="3" hidden="1" customWidth="1"/>
    <col min="65" max="69" width="8.88671875" style="3" customWidth="1"/>
    <col min="70" max="16384" width="8.88671875" style="3"/>
  </cols>
  <sheetData>
    <row r="1" spans="1:62" ht="30" customHeight="1" x14ac:dyDescent="0.35">
      <c r="A1" s="124"/>
      <c r="B1" s="124"/>
      <c r="C1" s="124"/>
      <c r="D1" s="124"/>
      <c r="E1" s="124"/>
      <c r="F1" s="124" t="s">
        <v>113</v>
      </c>
      <c r="G1" s="124"/>
      <c r="H1" s="124"/>
      <c r="I1" s="124"/>
      <c r="J1" s="124"/>
      <c r="K1" s="124"/>
      <c r="L1" s="124"/>
      <c r="M1" s="124"/>
      <c r="N1" s="124"/>
      <c r="O1" s="124"/>
      <c r="P1" s="125"/>
      <c r="Q1" s="125"/>
      <c r="R1" s="125"/>
      <c r="S1" s="125"/>
      <c r="T1" s="125"/>
      <c r="U1" s="125"/>
      <c r="V1" s="154" t="s">
        <v>80</v>
      </c>
      <c r="W1" s="179"/>
      <c r="X1" s="179"/>
      <c r="Y1" s="179"/>
      <c r="Z1" s="2"/>
      <c r="AA1" s="2"/>
      <c r="AB1" s="2"/>
      <c r="AC1" s="2"/>
      <c r="AD1" s="132"/>
      <c r="AE1" s="170"/>
      <c r="AF1" s="170"/>
      <c r="AG1" s="170"/>
      <c r="AH1" s="170"/>
      <c r="AI1" s="170"/>
    </row>
    <row r="2" spans="1:62" ht="19.5" customHeight="1" x14ac:dyDescent="0.4">
      <c r="A2" s="2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2"/>
      <c r="W2" s="179"/>
      <c r="X2" s="179"/>
      <c r="Y2" s="179"/>
      <c r="Z2" s="2"/>
      <c r="AA2" s="2"/>
      <c r="AB2" s="2"/>
      <c r="AC2" s="2"/>
      <c r="AD2" s="132"/>
      <c r="AE2" s="170"/>
      <c r="AF2" s="170"/>
      <c r="AG2" s="170"/>
      <c r="AH2" s="170"/>
      <c r="AI2" s="170"/>
      <c r="AJ2" s="3" t="s">
        <v>4</v>
      </c>
      <c r="AK2" s="3" t="s">
        <v>93</v>
      </c>
      <c r="AN2"/>
      <c r="AO2"/>
      <c r="AP2"/>
      <c r="AQ2"/>
      <c r="AR2"/>
      <c r="AS2"/>
      <c r="AT2"/>
      <c r="AU2"/>
      <c r="AV2"/>
      <c r="AW2" s="173"/>
      <c r="AX2"/>
      <c r="AY2"/>
      <c r="AZ2"/>
      <c r="BA2"/>
      <c r="BB2"/>
      <c r="BC2"/>
      <c r="BD2"/>
      <c r="BE2"/>
      <c r="BF2"/>
      <c r="BG2"/>
      <c r="BH2"/>
      <c r="BI2" t="s">
        <v>33</v>
      </c>
      <c r="BJ2" t="s">
        <v>32</v>
      </c>
    </row>
    <row r="3" spans="1:62" ht="18.75" customHeight="1" x14ac:dyDescent="0.4">
      <c r="A3" s="2"/>
      <c r="B3" s="446" t="s">
        <v>0</v>
      </c>
      <c r="C3" s="447"/>
      <c r="D3" s="126"/>
      <c r="E3" s="448" t="s">
        <v>1</v>
      </c>
      <c r="F3" s="449"/>
      <c r="G3" s="449"/>
      <c r="H3" s="449"/>
      <c r="I3" s="450"/>
      <c r="J3" s="451" t="s">
        <v>2</v>
      </c>
      <c r="K3" s="452"/>
      <c r="L3" s="452"/>
      <c r="M3" s="452"/>
      <c r="N3" s="452"/>
      <c r="O3" s="453"/>
      <c r="P3" s="451" t="s">
        <v>3</v>
      </c>
      <c r="Q3" s="452"/>
      <c r="R3" s="452"/>
      <c r="S3" s="452"/>
      <c r="T3" s="452"/>
      <c r="U3" s="453"/>
      <c r="V3" s="2"/>
      <c r="W3" s="179"/>
      <c r="X3" s="179"/>
      <c r="Y3" s="179"/>
      <c r="Z3" s="2"/>
      <c r="AA3" s="2"/>
      <c r="AB3" s="2"/>
      <c r="AC3" s="2"/>
      <c r="AD3" s="132"/>
      <c r="AE3" s="170"/>
      <c r="AF3" s="170"/>
      <c r="AG3" s="170"/>
      <c r="AH3" s="170"/>
      <c r="AI3" s="170"/>
      <c r="AJ3" s="3">
        <v>20</v>
      </c>
      <c r="AK3" s="3" t="s">
        <v>93</v>
      </c>
      <c r="AL3" s="170">
        <v>0</v>
      </c>
      <c r="AM3" s="170">
        <v>12</v>
      </c>
      <c r="AN3" s="170">
        <v>50</v>
      </c>
      <c r="AO3" s="170">
        <v>100</v>
      </c>
      <c r="AP3" s="170">
        <v>400</v>
      </c>
      <c r="AQ3" s="170"/>
      <c r="AR3" s="66">
        <f>AM3*TAN(RADIANS(($R$19+$S$19*(AJ3)+$T$19*(AJ3)^2)))</f>
        <v>8.8989336835748727</v>
      </c>
      <c r="AS3" s="66">
        <f>AN3*TAN(RADIANS(($R$20+$S$20*(AJ3)+$T$20*(AJ3)^2)))</f>
        <v>35.104831955902476</v>
      </c>
      <c r="AT3" s="66">
        <f>AO3*TAN(RADIANS(($R$21+$S$21*(AJ3)+$T$21*(AJ3)^2)))</f>
        <v>69.593024129366299</v>
      </c>
      <c r="AU3" s="66">
        <f>AP3*TAN(RADIANS(($R$22+$S$22*(AJ3)+$T$22*(AJ3)^2+$U$22*(AJ3)^3)))</f>
        <v>270.78878644429329</v>
      </c>
      <c r="AV3" s="171"/>
      <c r="AW3" s="166">
        <f>LOG(AR3/101)</f>
        <v>-1.0549834034392502</v>
      </c>
      <c r="AX3" s="166">
        <f t="shared" ref="AX3" si="0">LOG(AS3/101)</f>
        <v>-0.45895447534084632</v>
      </c>
      <c r="AY3" s="166">
        <f t="shared" ref="AY3:AY35" si="1">LOG(AT3/101)</f>
        <v>-0.16175566483238724</v>
      </c>
      <c r="AZ3" s="166">
        <f t="shared" ref="AZ3:AZ35" si="2">LOG(AU3/101)</f>
        <v>0.42830930216030416</v>
      </c>
      <c r="BA3" s="166"/>
      <c r="BB3" s="166">
        <f>LOG(AM3/101)</f>
        <v>-0.92514012773501775</v>
      </c>
      <c r="BC3" s="166">
        <f>LOG(AN3/101)</f>
        <v>-0.30535136944662378</v>
      </c>
      <c r="BD3" s="166">
        <f>LOG(AO3/101)</f>
        <v>-4.3213737826425782E-3</v>
      </c>
      <c r="BE3" s="166">
        <f>LOG(AP3/101)</f>
        <v>0.59773861754531976</v>
      </c>
      <c r="BF3" s="166"/>
      <c r="BG3" s="136">
        <f>AVERAGE(BB3:BE3)</f>
        <v>-0.15926856335474107</v>
      </c>
      <c r="BH3" s="136">
        <f>AVERAGE(AW3:AZ3)</f>
        <v>-0.31184606036304491</v>
      </c>
      <c r="BI3" s="136">
        <f>((BB3-BG3)*(AW3-BH3)+(BC3-BG3)*(AX3-BH3)+(BD3-BG3)*(AY3-BH3)+(BE3-BG3)*(AZ3-BH3))/((BB3-BG3)^2+(BC3-BG3)^2+(BD3-BG3)^2+(BE3-BG3)^2)</f>
        <v>0.97446308501144829</v>
      </c>
      <c r="BJ3" s="136">
        <f>10^(BH3-(BI3*BG3))</f>
        <v>0.69719662359568446</v>
      </c>
    </row>
    <row r="4" spans="1:62" ht="17.25" customHeight="1" x14ac:dyDescent="0.35">
      <c r="A4" s="2"/>
      <c r="B4" s="127" t="s">
        <v>4</v>
      </c>
      <c r="C4" s="127" t="s">
        <v>5</v>
      </c>
      <c r="D4" s="128" t="s">
        <v>7</v>
      </c>
      <c r="E4" s="129" t="s">
        <v>8</v>
      </c>
      <c r="F4" s="130" t="s">
        <v>9</v>
      </c>
      <c r="G4" s="129" t="s">
        <v>10</v>
      </c>
      <c r="H4" s="130" t="s">
        <v>11</v>
      </c>
      <c r="I4" s="130" t="s">
        <v>12</v>
      </c>
      <c r="J4" s="131">
        <v>0</v>
      </c>
      <c r="K4" s="131">
        <v>12</v>
      </c>
      <c r="L4" s="131">
        <v>50</v>
      </c>
      <c r="M4" s="131">
        <v>100</v>
      </c>
      <c r="N4" s="131">
        <v>400</v>
      </c>
      <c r="O4" s="131">
        <v>700</v>
      </c>
      <c r="P4" s="131">
        <v>0</v>
      </c>
      <c r="Q4" s="131">
        <f>K4*20.89</f>
        <v>250.68</v>
      </c>
      <c r="R4" s="131">
        <f t="shared" ref="R4:U5" si="3">L4*20.89</f>
        <v>1044.5</v>
      </c>
      <c r="S4" s="131">
        <f t="shared" si="3"/>
        <v>2089</v>
      </c>
      <c r="T4" s="131">
        <f t="shared" si="3"/>
        <v>8356</v>
      </c>
      <c r="U4" s="131">
        <f t="shared" si="3"/>
        <v>14623</v>
      </c>
      <c r="V4" s="2"/>
      <c r="W4" s="179"/>
      <c r="X4" s="179"/>
      <c r="Y4" s="179"/>
      <c r="Z4" s="2"/>
      <c r="AA4" s="2"/>
      <c r="AB4" s="2"/>
      <c r="AC4" s="2"/>
      <c r="AD4" s="132"/>
      <c r="AE4" s="170"/>
      <c r="AF4" s="316"/>
      <c r="AG4" s="316"/>
      <c r="AH4" s="316"/>
      <c r="AI4" s="170"/>
      <c r="AJ4" s="3">
        <v>22</v>
      </c>
      <c r="AK4" s="3" t="s">
        <v>93</v>
      </c>
      <c r="AL4" s="170">
        <v>0</v>
      </c>
      <c r="AM4" s="170">
        <v>12</v>
      </c>
      <c r="AN4" s="170">
        <v>50</v>
      </c>
      <c r="AO4" s="170">
        <v>100</v>
      </c>
      <c r="AP4" s="170">
        <v>400</v>
      </c>
      <c r="AQ4" s="170"/>
      <c r="AR4" s="66">
        <f>AM4*TAN(RADIANS(($R$19+$S$19*(AJ4)+$T$19*(AJ4)^2)))</f>
        <v>8.8586335072259157</v>
      </c>
      <c r="AS4" s="66">
        <f>AN4*TAN(RADIANS(($R$20+$S$20*(AJ4)+$T$20*(AJ4)^2)))</f>
        <v>34.939732579466693</v>
      </c>
      <c r="AT4" s="66">
        <f>AO4*TAN(RADIANS(($R$21+$S$21*(AJ4)+$T$21*(AJ4)^2)))</f>
        <v>69.199193889354333</v>
      </c>
      <c r="AU4" s="66">
        <f>AP4*TAN(RADIANS(($R$22+$S$22*(AJ4)+$T$22*(AJ4)^2+$U$22*(AJ4)^3)))</f>
        <v>268.99334069421286</v>
      </c>
      <c r="AV4" s="171"/>
      <c r="AW4" s="166">
        <f t="shared" ref="AW4:AW35" si="4">LOG(AR4/101)</f>
        <v>-1.0569546390334295</v>
      </c>
      <c r="AX4" s="166">
        <f t="shared" ref="AX4:AX35" si="5">LOG(AS4/101)</f>
        <v>-0.46100179711130035</v>
      </c>
      <c r="AY4" s="166">
        <f t="shared" si="1"/>
        <v>-0.16422033845080281</v>
      </c>
      <c r="AZ4" s="166">
        <f t="shared" si="2"/>
        <v>0.4254201547864741</v>
      </c>
      <c r="BA4" s="166"/>
      <c r="BB4" s="166">
        <f t="shared" ref="BB4:BB35" si="6">LOG(AM4/101)</f>
        <v>-0.92514012773501775</v>
      </c>
      <c r="BC4" s="166">
        <f t="shared" ref="BC4:BC35" si="7">LOG(AN4/101)</f>
        <v>-0.30535136944662378</v>
      </c>
      <c r="BD4" s="166">
        <f t="shared" ref="BD4:BD35" si="8">LOG(AO4/101)</f>
        <v>-4.3213737826425782E-3</v>
      </c>
      <c r="BE4" s="166">
        <f t="shared" ref="BE4:BE35" si="9">LOG(AP4/101)</f>
        <v>0.59773861754531976</v>
      </c>
      <c r="BF4" s="166"/>
      <c r="BG4" s="136">
        <f t="shared" ref="BG4:BG35" si="10">AVERAGE(BB4:BE4)</f>
        <v>-0.15926856335474107</v>
      </c>
      <c r="BH4" s="136">
        <f t="shared" ref="BH4:BH35" si="11">AVERAGE(AW4:AZ4)</f>
        <v>-0.31418915495226463</v>
      </c>
      <c r="BI4" s="136">
        <f t="shared" ref="BI4:BI35" si="12">((BB4-BG4)*(AW4-BH4)+(BC4-BG4)*(AX4-BH4)+(BD4-BG4)*(AY4-BH4)+(BE4-BG4)*(AZ4-BH4))/((BB4-BG4)^2+(BC4-BG4)^2+(BD4-BG4)^2+(BE4-BG4)^2)</f>
        <v>0.9738321904170435</v>
      </c>
      <c r="BJ4" s="136">
        <f t="shared" ref="BJ4:BJ35" si="13">10^(BH4-(BI4*BG4))</f>
        <v>0.69328483256351114</v>
      </c>
    </row>
    <row r="5" spans="1:62" ht="24" customHeight="1" x14ac:dyDescent="0.35">
      <c r="A5" s="2"/>
      <c r="B5" s="1">
        <v>69</v>
      </c>
      <c r="C5" s="1">
        <v>50</v>
      </c>
      <c r="D5" s="306" t="s">
        <v>108</v>
      </c>
      <c r="E5" s="307" t="s">
        <v>14</v>
      </c>
      <c r="F5" s="308">
        <f>IF(($C$5&lt;=20),(F6+(3.6/3)),IF(($C$5&lt;25),(F6+(3.3/3)),IF(($C$5&lt;45),(F6+(3/3)),IF($C$5=25,(F6+(3/3)),IF($C$5=45,(F6+(3/3)),IF(($C$5&lt;50),(F6+(2.7/3)),IF($C$5=50,F6+(2.4/3),(F6+(2.4/3)))))))))</f>
        <v>16.152229599999998</v>
      </c>
      <c r="G5" s="308">
        <f>IF(($C$5&lt;=20),(G6+(3.6/3)),IF(($C$5&lt;25),(G6+(3.3/3)),IF(($C$5&lt;45),(G6+(3/3)),IF($C$5=25,(G6+(3/3)),IF($C$5=45,(G6+(3/3)),IF(($C$5&lt;50),(G6+(2.1/3)),IF($C$5=50,G6+(2.4/3),(G6+(2.4/3)))))))))</f>
        <v>14.8140642511</v>
      </c>
      <c r="H5" s="308">
        <f>IF(($C$5&lt;=20),(H6+(4.2/3)),IF(($C$5&lt;25),(H6+(4.35/3)),IF(($C$5&lt;45),(H6+(4.5/3)),IF($C$5=25,(H6+(4.5/3)),IF($C$5=45,(H6+(4.5/3)),IF(($C$5&lt;50),(H6+(3.45/3)),IF($C$5=50,H6+(2.4/3),(H6+(2.4/3)))))))))</f>
        <v>12.968950510000001</v>
      </c>
      <c r="I5" s="308">
        <f>IF(($C$5&lt;=20),(I6+(3.9/3)),IF(($C$5&lt;25),(I6+(3.6/3)),IF(($C$5&lt;45),(I6+(3.3/3)),IF($C$5=25,(I6+(3.3/3)),IF($C$5=45,(I6+(3.3/3)),IF(($C$5&lt;50),(I6+(2.4/3)),IF($C$5=50,I6+(2.4/3),(I6+(2.4/3)))))))))</f>
        <v>9.7940667999999995</v>
      </c>
      <c r="J5" s="308">
        <v>0</v>
      </c>
      <c r="K5" s="309" t="s">
        <v>14</v>
      </c>
      <c r="L5" s="308">
        <f>IF(F5="NA", "NA", $L$4*TAN(RADIANS(F5)))</f>
        <v>14.481147563101507</v>
      </c>
      <c r="M5" s="308">
        <f t="shared" ref="M5" si="14">IF(G5="NA", "NA", $M$4*TAN(RADIANS(G5)))</f>
        <v>26.447401681041093</v>
      </c>
      <c r="N5" s="308">
        <f>IF(H5="NA", "NA", $N$4*TAN(RADIANS(H5)))</f>
        <v>92.118984985150519</v>
      </c>
      <c r="O5" s="308">
        <f t="shared" ref="O5" si="15">IF(I5="NA", "NA", $O$4*TAN(RADIANS(I5)))</f>
        <v>120.83634583297794</v>
      </c>
      <c r="P5" s="328">
        <v>0</v>
      </c>
      <c r="Q5" s="310" t="s">
        <v>14</v>
      </c>
      <c r="R5" s="310">
        <f>L5*20.89</f>
        <v>302.51117259319051</v>
      </c>
      <c r="S5" s="310">
        <f t="shared" si="3"/>
        <v>552.4862211169484</v>
      </c>
      <c r="T5" s="310">
        <f t="shared" si="3"/>
        <v>1924.3655963397944</v>
      </c>
      <c r="U5" s="310">
        <f t="shared" si="3"/>
        <v>2524.2712644509093</v>
      </c>
      <c r="V5" s="2"/>
      <c r="W5" s="395" t="s">
        <v>88</v>
      </c>
      <c r="X5" s="396"/>
      <c r="Y5" s="396"/>
      <c r="Z5" s="396"/>
      <c r="AA5" s="396"/>
      <c r="AB5" s="396"/>
      <c r="AC5" s="396"/>
      <c r="AD5" s="132"/>
      <c r="AE5" s="170"/>
      <c r="AF5" s="316"/>
      <c r="AG5" s="316"/>
      <c r="AH5" s="316"/>
      <c r="AI5" s="170"/>
      <c r="AJ5" s="3">
        <v>24</v>
      </c>
      <c r="AK5" s="3" t="s">
        <v>93</v>
      </c>
      <c r="AL5" s="170">
        <v>0</v>
      </c>
      <c r="AM5" s="170">
        <v>12</v>
      </c>
      <c r="AN5" s="170">
        <v>50</v>
      </c>
      <c r="AO5" s="170">
        <v>100</v>
      </c>
      <c r="AP5" s="170">
        <v>400</v>
      </c>
      <c r="AQ5" s="170"/>
      <c r="AR5" s="66">
        <f>AM5*TAN(RADIANS(($R$19+$S$19*(AJ5)+$T$19*(AJ5)^2)))</f>
        <v>8.8190651593861791</v>
      </c>
      <c r="AS5" s="66">
        <f>AN5*TAN(RADIANS(($R$20+$S$20*(AJ5)+$T$20*(AJ5)^2)))</f>
        <v>34.777333819573705</v>
      </c>
      <c r="AT5" s="66">
        <f>AO5*TAN(RADIANS(($R$21+$S$21*(AJ5)+$T$21*(AJ5)^2)))</f>
        <v>68.812450904338434</v>
      </c>
      <c r="AU5" s="66">
        <f>AP5*TAN(RADIANS(($R$22+$S$22*(AJ5)+$T$22*(AJ5)^2+$U$22*(AJ5)^3)))</f>
        <v>267.21804790562959</v>
      </c>
      <c r="AV5" s="171"/>
      <c r="AW5" s="166">
        <f t="shared" si="4"/>
        <v>-1.0588988223965745</v>
      </c>
      <c r="AX5" s="166">
        <f t="shared" si="5"/>
        <v>-0.46302508972810685</v>
      </c>
      <c r="AY5" s="166">
        <f t="shared" si="1"/>
        <v>-0.16665434732305551</v>
      </c>
      <c r="AZ5" s="166">
        <f t="shared" si="2"/>
        <v>0.42254441325861275</v>
      </c>
      <c r="BA5" s="166"/>
      <c r="BB5" s="166">
        <f t="shared" si="6"/>
        <v>-0.92514012773501775</v>
      </c>
      <c r="BC5" s="166">
        <f t="shared" si="7"/>
        <v>-0.30535136944662378</v>
      </c>
      <c r="BD5" s="166">
        <f t="shared" si="8"/>
        <v>-4.3213737826425782E-3</v>
      </c>
      <c r="BE5" s="166">
        <f t="shared" si="9"/>
        <v>0.59773861754531976</v>
      </c>
      <c r="BF5" s="166"/>
      <c r="BG5" s="136">
        <f t="shared" si="10"/>
        <v>-0.15926856335474107</v>
      </c>
      <c r="BH5" s="136">
        <f t="shared" si="11"/>
        <v>-0.31650846154728102</v>
      </c>
      <c r="BI5" s="136">
        <f t="shared" si="12"/>
        <v>0.97319355367244353</v>
      </c>
      <c r="BJ5" s="136">
        <f t="shared" si="13"/>
        <v>0.6894307939725548</v>
      </c>
    </row>
    <row r="6" spans="1:62" ht="21" customHeight="1" x14ac:dyDescent="0.35">
      <c r="A6" s="2"/>
      <c r="B6" s="163"/>
      <c r="C6" s="163"/>
      <c r="D6" s="180" t="s">
        <v>13</v>
      </c>
      <c r="E6" s="181" t="s">
        <v>14</v>
      </c>
      <c r="F6" s="182">
        <f>IF(C5&lt;21,E18,IF(C5=21,((4*E18+E20)/5),IF(C5=22,((3*E18+2*E20)/5),IF(C5=23,((2*E18+3*E20)/5),IF(C5=24,((E18+4*E20)/5),IF(C5=46,((4*E20+E23)/5),IF(C5=47,((3*E20+2*E23)/5),IF(C5=48,((2*E20+3*E23)/5),IF(C5=49,((E20+4*E23)/5),IF(C5&gt;49,E23,E20))))))))))</f>
        <v>15.352229599999998</v>
      </c>
      <c r="G6" s="182">
        <f>IF(C5&lt;21,F18,IF(C5=21,((4*F18+F20)/5),IF(C5=22,((3*F18+2*F20)/5),IF(C5=23,((2*F18+3*F20)/5),IF(C5=24,((F18+4*F20)/5),IF(C5=46,((4*F20+F23)/5),IF(C5=47,((3*F20+2*F23)/5),IF(C5=48,((2*F20+3*F23)/5),IF(C5=49,((F20+4*F23)/5),IF(C5&gt;49,F23,F20))))))))))</f>
        <v>14.014064251099999</v>
      </c>
      <c r="H6" s="182">
        <f>IF(C5&lt;21,G18,IF(C5=21,((4*G18+G20)/5),IF(C5=22,((3*G18+2*G20)/5),IF(C5=23,((2*G18+3*G20)/5),IF(C5=24,((G18+4*G20)/5),IF(C5=46,((4*G20+G23)/5),IF(C5=47,((3*G20+2*G23)/5),IF(C5=48,((2*G20+3*G23)/5),IF(C5=49,((G20+4*G23)/5),IF(C5&gt;49,G23,G20))))))))))</f>
        <v>12.16895051</v>
      </c>
      <c r="I6" s="182">
        <f>IF(C5&lt;21,H18,IF(C5=21,((4*H18+H20)/5),IF(C5=22,((3*H18+2*H20)/5),IF(C5=23,((2*H18+3*H20)/5),IF(C5=24,((H18+4*H20)/5),IF(C5=46,((4*H20+H23)/5),IF(C5=47,((3*H20+2*H23)/5),IF(C5=48,((2*H20+3*H23)/5),IF(C5=49,((H20+4*H23)/5),IF(C5&gt;49,H23,H20))))))))))</f>
        <v>8.9940667999999988</v>
      </c>
      <c r="J6" s="184">
        <v>0</v>
      </c>
      <c r="K6" s="183" t="s">
        <v>14</v>
      </c>
      <c r="L6" s="184">
        <f>IF(F6="NA", "NA", $L$4*TAN(RADIANS(F6)))</f>
        <v>13.727454439878848</v>
      </c>
      <c r="M6" s="184">
        <f>IF(G6="NA", "NA", $M$4*TAN(RADIANS(G6)))</f>
        <v>24.95887456470534</v>
      </c>
      <c r="N6" s="184">
        <f>IF(H6="NA", "NA", $N$4*TAN(RADIANS(H6)))</f>
        <v>86.256188500657984</v>
      </c>
      <c r="O6" s="184">
        <f>IF(I6="NA", "NA", $O$4*TAN(RADIANS(I6)))</f>
        <v>110.79480333297641</v>
      </c>
      <c r="P6" s="329">
        <v>0</v>
      </c>
      <c r="Q6" s="185" t="s">
        <v>14</v>
      </c>
      <c r="R6" s="185">
        <f>L6*20.89</f>
        <v>286.76652324906917</v>
      </c>
      <c r="S6" s="185">
        <f>M6*20.89</f>
        <v>521.39088965669453</v>
      </c>
      <c r="T6" s="185">
        <f>N6*20.89</f>
        <v>1801.8917777787453</v>
      </c>
      <c r="U6" s="185">
        <f t="shared" ref="U6" si="16">O6*20.89</f>
        <v>2314.5034416258773</v>
      </c>
      <c r="V6" s="2"/>
      <c r="W6" s="395"/>
      <c r="X6" s="396"/>
      <c r="Y6" s="396"/>
      <c r="Z6" s="396"/>
      <c r="AA6" s="396"/>
      <c r="AB6" s="396"/>
      <c r="AC6" s="396"/>
      <c r="AD6" s="132"/>
      <c r="AE6" s="170"/>
      <c r="AF6" s="316"/>
      <c r="AG6" s="316"/>
      <c r="AH6" s="316"/>
      <c r="AI6" s="170"/>
      <c r="AL6" s="170"/>
      <c r="AM6" s="170"/>
      <c r="AN6" s="170"/>
      <c r="AO6" s="170"/>
      <c r="AP6" s="170"/>
      <c r="AQ6" s="170"/>
      <c r="AR6" s="66"/>
      <c r="AS6" s="66"/>
      <c r="AT6" s="66"/>
      <c r="AU6" s="66"/>
      <c r="AV6" s="171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36"/>
      <c r="BH6" s="136"/>
      <c r="BI6" s="136"/>
      <c r="BJ6" s="136"/>
    </row>
    <row r="7" spans="1:62" ht="21" customHeight="1" x14ac:dyDescent="0.35">
      <c r="A7" s="2"/>
      <c r="B7" s="163"/>
      <c r="C7" s="163"/>
      <c r="D7" s="186" t="s">
        <v>95</v>
      </c>
      <c r="E7" s="187" t="s">
        <v>14</v>
      </c>
      <c r="F7" s="188">
        <f>IF(($C$5&lt;=20),(F6-(3.6/3)),IF(($C$5&lt;25),(F6-(3.3/3)),IF(($C$5&lt;45),(F6-(3/3)),IF($C$5=25,(F6-(3/3)),IF($C$5=45,(F6-(3/3)),IF(($C$5&lt;50),(F6-(2.7/3)),IF($C$5=50,F6-(2.4/3),(F6-(2.4/3)))))))))</f>
        <v>14.552229599999997</v>
      </c>
      <c r="G7" s="188">
        <f>IF(($C$5&lt;=20),(G6-(3.6/3)),IF(($C$5&lt;25),(G6-(3.3/3)),IF(($C$5&lt;45),(G6-(3/3)),IF($C$5=25,(G6-(3/3)),IF($C$5=45,(G6-(3/3)),IF(($C$5&lt;50),(G6-(2.1/3)),IF($C$5=50,G6-(2.4/3),(G6-(2.4/3)))))))))</f>
        <v>13.214064251099998</v>
      </c>
      <c r="H7" s="188">
        <f>IF(($C$5&lt;=20),(H6-(4.2/3)),IF(($C$5&lt;25),(H6-(4.35/3)),IF(($C$5&lt;45),(H6-(4.5/3)),IF($C$5=25,(H6-(4.5/3)),IF($C$5=45,(H6-(4.5/3)),IF(($C$5&lt;50),(H6-(3.45/3)),IF($C$5=50,H6-(2.4/3),(H6-(2.4/3)))))))))</f>
        <v>11.368950509999999</v>
      </c>
      <c r="I7" s="188">
        <f>IF(($C$5&lt;=20),(I6-(3.9/3)),IF(($C$5&lt;25),(I6-(3.6/3)),IF(($C$5&lt;45),(I6-(3.3/3)),IF($C$5=25,(I6-(3.3/3)),IF($C$5=45,(I6-(3.3/3)),IF(($C$5&lt;50),(I6-(2.4/3)),IF($C$5=50,I6-(2.4/3),(I6-(2.4/3)))))))))</f>
        <v>8.1940667999999981</v>
      </c>
      <c r="J7" s="190">
        <v>0</v>
      </c>
      <c r="K7" s="189" t="s">
        <v>14</v>
      </c>
      <c r="L7" s="190">
        <f t="shared" ref="L7:L9" si="17">IF(F7="NA", "NA", $L$4*TAN(RADIANS(F7)))</f>
        <v>12.979518079941133</v>
      </c>
      <c r="M7" s="190">
        <f t="shared" ref="M7:M10" si="18">IF(G7="NA", "NA", $M$4*TAN(RADIANS(G7)))</f>
        <v>23.480686873107558</v>
      </c>
      <c r="N7" s="190">
        <f t="shared" ref="N7:N9" si="19">IF(H7="NA", "NA", $N$4*TAN(RADIANS(H7)))</f>
        <v>80.428593009901149</v>
      </c>
      <c r="O7" s="190">
        <f t="shared" ref="O7:O9" si="20">IF(I7="NA", "NA", $O$4*TAN(RADIANS(I7)))</f>
        <v>100.79754908804027</v>
      </c>
      <c r="P7" s="330">
        <v>0</v>
      </c>
      <c r="Q7" s="191" t="s">
        <v>14</v>
      </c>
      <c r="R7" s="191">
        <f t="shared" ref="R7:R9" si="21">L7*20.89</f>
        <v>271.14213268997031</v>
      </c>
      <c r="S7" s="191">
        <f t="shared" ref="S7:S10" si="22">M7*20.89</f>
        <v>490.51154877921692</v>
      </c>
      <c r="T7" s="191">
        <f t="shared" ref="T7:T10" si="23">N7*20.89</f>
        <v>1680.1533079768351</v>
      </c>
      <c r="U7" s="191">
        <f t="shared" ref="U7:U8" si="24">O7*20.89</f>
        <v>2105.6608004491613</v>
      </c>
      <c r="V7" s="2"/>
      <c r="W7" s="396"/>
      <c r="X7" s="396"/>
      <c r="Y7" s="396"/>
      <c r="Z7" s="396"/>
      <c r="AA7" s="396"/>
      <c r="AB7" s="396"/>
      <c r="AC7" s="396"/>
      <c r="AD7" s="132"/>
      <c r="AE7" s="132"/>
      <c r="AF7" s="316"/>
      <c r="AG7" s="316"/>
      <c r="AH7" s="316"/>
      <c r="AI7" s="132"/>
      <c r="AJ7" s="3">
        <v>26</v>
      </c>
      <c r="AK7" s="3" t="s">
        <v>93</v>
      </c>
      <c r="AL7" s="170">
        <v>0</v>
      </c>
      <c r="AM7" s="170">
        <v>12</v>
      </c>
      <c r="AN7" s="170">
        <v>50</v>
      </c>
      <c r="AO7" s="170">
        <v>100</v>
      </c>
      <c r="AP7" s="170">
        <v>400</v>
      </c>
      <c r="AQ7" s="170"/>
      <c r="AR7" s="66">
        <f>AM7*TAN(RADIANS(($R$19+$S$19*(AJ7)+$T$19*(AJ7)^2)))</f>
        <v>8.780221984640189</v>
      </c>
      <c r="AS7" s="66">
        <f>AN7*TAN(RADIANS(($R$20+$S$20*(AJ7)+$T$20*(AJ7)^2)))</f>
        <v>34.617611804930988</v>
      </c>
      <c r="AT7" s="66">
        <f>AO7*TAN(RADIANS(($R$21+$S$21*(AJ7)+$T$21*(AJ7)^2)))</f>
        <v>68.432720972454248</v>
      </c>
      <c r="AU7" s="66">
        <f>AP7*TAN(RADIANS(($R$22+$S$22*(AJ7)+$T$22*(AJ7)^2+$U$22*(AJ7)^3)))</f>
        <v>265.46267290456058</v>
      </c>
      <c r="AV7" s="171"/>
      <c r="AW7" s="166">
        <f t="shared" si="4"/>
        <v>-1.0608158777528958</v>
      </c>
      <c r="AX7" s="166">
        <f t="shared" si="5"/>
        <v>-0.46502427025816556</v>
      </c>
      <c r="AY7" s="166">
        <f t="shared" si="1"/>
        <v>-0.16905756533932059</v>
      </c>
      <c r="AZ7" s="166">
        <f t="shared" si="2"/>
        <v>0.41968208914428323</v>
      </c>
      <c r="BA7" s="166"/>
      <c r="BB7" s="166">
        <f t="shared" si="6"/>
        <v>-0.92514012773501775</v>
      </c>
      <c r="BC7" s="166">
        <f t="shared" si="7"/>
        <v>-0.30535136944662378</v>
      </c>
      <c r="BD7" s="166">
        <f t="shared" si="8"/>
        <v>-4.3213737826425782E-3</v>
      </c>
      <c r="BE7" s="166">
        <f t="shared" si="9"/>
        <v>0.59773861754531976</v>
      </c>
      <c r="BF7" s="166"/>
      <c r="BG7" s="136">
        <f t="shared" si="10"/>
        <v>-0.15926856335474107</v>
      </c>
      <c r="BH7" s="136">
        <f t="shared" si="11"/>
        <v>-0.3188039060515247</v>
      </c>
      <c r="BI7" s="136">
        <f t="shared" si="12"/>
        <v>0.97254714004433362</v>
      </c>
      <c r="BJ7" s="136">
        <f t="shared" si="13"/>
        <v>0.68563389580276723</v>
      </c>
    </row>
    <row r="8" spans="1:62" ht="21" customHeight="1" x14ac:dyDescent="0.35">
      <c r="A8" s="2"/>
      <c r="B8" s="163"/>
      <c r="C8" s="163"/>
      <c r="D8" s="192" t="s">
        <v>96</v>
      </c>
      <c r="E8" s="193" t="s">
        <v>14</v>
      </c>
      <c r="F8" s="194">
        <f>IF(($C$5&lt;=20),(F6-(2*3.6/3)),IF(($C$5&lt;25),(F6-(2*3.3/3)),IF(($C$5&lt;45),(F6-(2*3/3)),IF($C$5=25,(F6-(2*3/3)),IF($C$5=45,(F6-(2*3/3)),IF(($C$5&lt;50),(F6-(2*2.7/3)),IF($C$5=50,F6-(2*2.4/3),(F6-(2*2.4/3)))))))))</f>
        <v>13.752229599999998</v>
      </c>
      <c r="G8" s="194">
        <f t="shared" ref="G8:G9" si="25">IF(($C$5&lt;=20),(G7-(3.6/3)),IF(($C$5&lt;25),(G7-(3.3/3)),IF(($C$5&lt;45),(G7-(3/3)),IF($C$5=25,(G7-(3/3)),IF($C$5=45,(G7-(3/3)),IF(($C$5&lt;50),(G7-(2.1/3)),IF($C$5=50,G7-(2.4/3),(G7-(2.4/3)))))))))</f>
        <v>12.414064251099997</v>
      </c>
      <c r="H8" s="194">
        <f>IF(($C$5&lt;=20),(H7-(4.2/3)),IF(($C$5&lt;25),(H7-(4.35/3)),IF(($C$5&lt;45),(H7-(4.5/3)),IF($C$5=25,(H7-(4.5/3)),IF($C$5=45,(H7-(4.5/3)),IF(($C$5&lt;50),(H7-(3.45/3)),IF($C$5=50,H7-(2.4/3),(H7-(2.4/3)))))))))</f>
        <v>10.568950509999999</v>
      </c>
      <c r="I8" s="194">
        <f t="shared" ref="I8:I9" si="26">IF(($C$5&lt;=20),(I7-(3.9/3)),IF(($C$5&lt;25),(I7-(3.6/3)),IF(($C$5&lt;45),(I7-(3.3/3)),IF($C$5=25,(I7-(3.3/3)),IF($C$5=45,(I7-(3.3/3)),IF(($C$5&lt;50),(I7-(2.4/3)),IF($C$5=50,I7-(2.4/3),(I7-(2.4/3)))))))))</f>
        <v>7.3940667999999983</v>
      </c>
      <c r="J8" s="196">
        <v>0</v>
      </c>
      <c r="K8" s="195" t="s">
        <v>14</v>
      </c>
      <c r="L8" s="196">
        <f t="shared" si="17"/>
        <v>12.236984377040811</v>
      </c>
      <c r="M8" s="196">
        <f t="shared" si="18"/>
        <v>22.012160676777683</v>
      </c>
      <c r="N8" s="196">
        <f t="shared" si="19"/>
        <v>74.633629828225324</v>
      </c>
      <c r="O8" s="196">
        <f t="shared" si="20"/>
        <v>90.840417148917155</v>
      </c>
      <c r="P8" s="331">
        <v>0</v>
      </c>
      <c r="Q8" s="197" t="s">
        <v>14</v>
      </c>
      <c r="R8" s="197">
        <f t="shared" si="21"/>
        <v>255.63060363638255</v>
      </c>
      <c r="S8" s="197">
        <f t="shared" si="22"/>
        <v>459.83403653788582</v>
      </c>
      <c r="T8" s="197">
        <f t="shared" si="23"/>
        <v>1559.096527111627</v>
      </c>
      <c r="U8" s="197">
        <f t="shared" si="24"/>
        <v>1897.6563142408795</v>
      </c>
      <c r="V8" s="2"/>
      <c r="W8" s="396"/>
      <c r="X8" s="396"/>
      <c r="Y8" s="396"/>
      <c r="Z8" s="396"/>
      <c r="AA8" s="396"/>
      <c r="AB8" s="396"/>
      <c r="AC8" s="396"/>
      <c r="AD8" s="132"/>
      <c r="AE8" s="132"/>
      <c r="AF8" s="316"/>
      <c r="AG8" s="316"/>
      <c r="AH8" s="316"/>
      <c r="AI8" s="132"/>
      <c r="AJ8" s="3">
        <v>28</v>
      </c>
      <c r="AK8" s="3" t="s">
        <v>93</v>
      </c>
      <c r="AL8" s="170">
        <v>0</v>
      </c>
      <c r="AM8" s="170">
        <v>12</v>
      </c>
      <c r="AN8" s="170">
        <v>50</v>
      </c>
      <c r="AO8" s="170">
        <v>100</v>
      </c>
      <c r="AP8" s="170">
        <v>400</v>
      </c>
      <c r="AQ8" s="170"/>
      <c r="AR8" s="66">
        <f>AM8*TAN(RADIANS(($R$19+$S$19*(AJ8)+$T$19*(AJ8)^2)))</f>
        <v>8.7420975076068999</v>
      </c>
      <c r="AS8" s="66">
        <f>AN8*TAN(RADIANS(($R$20+$S$20*(AJ8)+$T$20*(AJ8)^2)))</f>
        <v>34.460543269486116</v>
      </c>
      <c r="AT8" s="66">
        <f>AO8*TAN(RADIANS(($R$21+$S$21*(AJ8)+$T$21*(AJ8)^2)))</f>
        <v>68.059932019147425</v>
      </c>
      <c r="AU8" s="66">
        <f>AP8*TAN(RADIANS(($R$22+$S$22*(AJ8)+$T$22*(AJ8)^2+$U$22*(AJ8)^3)))</f>
        <v>263.72698585801817</v>
      </c>
      <c r="AV8" s="171"/>
      <c r="AW8" s="166">
        <f t="shared" si="4"/>
        <v>-1.0627057275682155</v>
      </c>
      <c r="AX8" s="166">
        <f t="shared" si="5"/>
        <v>-0.46699925397648862</v>
      </c>
      <c r="AY8" s="166">
        <f t="shared" si="1"/>
        <v>-0.17142986281250661</v>
      </c>
      <c r="AZ8" s="166">
        <f t="shared" si="2"/>
        <v>0.41683319745785913</v>
      </c>
      <c r="BA8" s="166"/>
      <c r="BB8" s="166">
        <f t="shared" si="6"/>
        <v>-0.92514012773501775</v>
      </c>
      <c r="BC8" s="166">
        <f t="shared" si="7"/>
        <v>-0.30535136944662378</v>
      </c>
      <c r="BD8" s="166">
        <f t="shared" si="8"/>
        <v>-4.3213737826425782E-3</v>
      </c>
      <c r="BE8" s="166">
        <f t="shared" si="9"/>
        <v>0.59773861754531976</v>
      </c>
      <c r="BF8" s="166"/>
      <c r="BG8" s="136">
        <f t="shared" si="10"/>
        <v>-0.15926856335474107</v>
      </c>
      <c r="BH8" s="136">
        <f t="shared" si="11"/>
        <v>-0.32107541172483789</v>
      </c>
      <c r="BI8" s="136">
        <f t="shared" si="12"/>
        <v>0.97189291608995887</v>
      </c>
      <c r="BJ8" s="136">
        <f t="shared" si="13"/>
        <v>0.68189354099239319</v>
      </c>
    </row>
    <row r="9" spans="1:62" ht="21" customHeight="1" x14ac:dyDescent="0.35">
      <c r="A9" s="2"/>
      <c r="B9" s="163"/>
      <c r="C9" s="163"/>
      <c r="D9" s="198" t="s">
        <v>97</v>
      </c>
      <c r="E9" s="199" t="s">
        <v>14</v>
      </c>
      <c r="F9" s="200">
        <f>IF(($C$5&lt;=20),(F6-(3.6)),IF(($C$5&lt;25),(F6-(3.3)),IF(($C$5&lt;45),(F6-(3)),IF($C$5=25,(F6-(3)),IF($C$5=45,(F6-(3)),IF(($C$5&lt;50),(F6-(2.7)),IF($C$5=50,F6-(2.4),(F6-(2.4)))))))))</f>
        <v>12.952229599999997</v>
      </c>
      <c r="G9" s="200">
        <f t="shared" si="25"/>
        <v>11.614064251099997</v>
      </c>
      <c r="H9" s="200">
        <f>IF(($C$5&lt;=20),(H8-(4.2/3)),IF(($C$5&lt;25),(H8-(4.35/3)),IF(($C$5&lt;45),(H8-(4.5/3)),IF($C$5=25,(H8-(4.5/3)),IF($C$5=45,(H8-(4.5/3)),IF(($C$5&lt;50),(H8-(3.45/3)),IF($C$5=50,H8-(2.4/3),(H8-(2.4/3)))))))))</f>
        <v>9.768950509999998</v>
      </c>
      <c r="I9" s="200">
        <f t="shared" si="26"/>
        <v>6.5940667999999985</v>
      </c>
      <c r="J9" s="202">
        <v>0</v>
      </c>
      <c r="K9" s="201" t="s">
        <v>14</v>
      </c>
      <c r="L9" s="202">
        <f t="shared" si="17"/>
        <v>11.499508507355584</v>
      </c>
      <c r="M9" s="202">
        <f t="shared" si="18"/>
        <v>20.552634368612598</v>
      </c>
      <c r="N9" s="202">
        <f t="shared" si="19"/>
        <v>68.868784276973443</v>
      </c>
      <c r="O9" s="202">
        <f t="shared" si="20"/>
        <v>80.919306117536621</v>
      </c>
      <c r="P9" s="332">
        <v>0</v>
      </c>
      <c r="Q9" s="203" t="s">
        <v>14</v>
      </c>
      <c r="R9" s="203">
        <f t="shared" si="21"/>
        <v>240.22473271865815</v>
      </c>
      <c r="S9" s="203">
        <f t="shared" si="22"/>
        <v>429.34453196031717</v>
      </c>
      <c r="T9" s="203">
        <f t="shared" si="23"/>
        <v>1438.6689035459754</v>
      </c>
      <c r="U9" s="203">
        <f>O9*20.89</f>
        <v>1690.4043047953401</v>
      </c>
      <c r="V9" s="2"/>
      <c r="W9" s="396"/>
      <c r="X9" s="396"/>
      <c r="Y9" s="396"/>
      <c r="Z9" s="396"/>
      <c r="AA9" s="396"/>
      <c r="AB9" s="396"/>
      <c r="AC9" s="396"/>
      <c r="AD9" s="132"/>
      <c r="AE9" s="132"/>
      <c r="AF9" s="316"/>
      <c r="AG9" s="316"/>
      <c r="AH9" s="316"/>
      <c r="AI9" s="132"/>
      <c r="AJ9" s="3">
        <v>30</v>
      </c>
      <c r="AK9" s="3" t="s">
        <v>93</v>
      </c>
      <c r="AL9" s="170">
        <v>0</v>
      </c>
      <c r="AM9" s="170">
        <v>12</v>
      </c>
      <c r="AN9" s="170">
        <v>50</v>
      </c>
      <c r="AO9" s="170">
        <v>100</v>
      </c>
      <c r="AP9" s="170">
        <v>400</v>
      </c>
      <c r="AQ9" s="170"/>
      <c r="AR9" s="66">
        <f>AM9*TAN(RADIANS(($R$19+$S$19*(AJ9)+$T$19*(AJ9)^2)))</f>
        <v>8.7046854284197046</v>
      </c>
      <c r="AS9" s="66">
        <f>AN9*TAN(RADIANS(($R$20+$S$20*(AJ9)+$T$20*(AJ9)^2)))</f>
        <v>34.306105537670064</v>
      </c>
      <c r="AT9" s="66">
        <f>AO9*TAN(RADIANS(($R$21+$S$21*(AJ9)+$T$21*(AJ9)^2)))</f>
        <v>67.694014037047992</v>
      </c>
      <c r="AU9" s="66">
        <f>AP9*TAN(RADIANS(($R$22+$S$22*(AJ9)+$T$22*(AJ9)^2+$U$22*(AJ9)^3)))</f>
        <v>262.01076213744693</v>
      </c>
      <c r="AV9" s="171"/>
      <c r="AW9" s="166">
        <f t="shared" si="4"/>
        <v>-1.064568292662434</v>
      </c>
      <c r="AX9" s="166">
        <f t="shared" si="5"/>
        <v>-0.46894995445855064</v>
      </c>
      <c r="AY9" s="166">
        <f t="shared" si="1"/>
        <v>-0.17377110665755416</v>
      </c>
      <c r="AZ9" s="166">
        <f t="shared" si="2"/>
        <v>0.41399775662456084</v>
      </c>
      <c r="BA9" s="166"/>
      <c r="BB9" s="166">
        <f t="shared" si="6"/>
        <v>-0.92514012773501775</v>
      </c>
      <c r="BC9" s="166">
        <f t="shared" si="7"/>
        <v>-0.30535136944662378</v>
      </c>
      <c r="BD9" s="166">
        <f t="shared" si="8"/>
        <v>-4.3213737826425782E-3</v>
      </c>
      <c r="BE9" s="166">
        <f t="shared" si="9"/>
        <v>0.59773861754531976</v>
      </c>
      <c r="BF9" s="166"/>
      <c r="BG9" s="136">
        <f t="shared" si="10"/>
        <v>-0.15926856335474107</v>
      </c>
      <c r="BH9" s="136">
        <f t="shared" si="11"/>
        <v>-0.32332289928849456</v>
      </c>
      <c r="BI9" s="136">
        <f t="shared" si="12"/>
        <v>0.97123084969415496</v>
      </c>
      <c r="BJ9" s="136">
        <f t="shared" si="13"/>
        <v>0.6782091470330851</v>
      </c>
    </row>
    <row r="10" spans="1:62" ht="21" customHeight="1" x14ac:dyDescent="0.35">
      <c r="A10" s="2"/>
      <c r="B10" s="163"/>
      <c r="C10" s="163"/>
      <c r="D10" s="313" t="s">
        <v>109</v>
      </c>
      <c r="E10" s="314">
        <f>IF(($C$5&lt;=20),(E11+(1.3/3)),IF(($C$5&lt;25),(E11+(2.15/3)),IF(($C$5&lt;45),(E11+(3/3)),IF($C$5=25,(E11+(3/3)),IF($C$5=45,(E11+(3/3)),IF(($C$5&lt;50),(E11+(4.05/3)),IF($C$5=50,E11+(5.1/3),(E11+(5.1/3)))))))))</f>
        <v>32.946317131085451</v>
      </c>
      <c r="F10" s="314">
        <f>IF(($C$5&lt;=20),(F11+(0.63/3)),IF(($C$5&lt;25),(F11+(2.27/3)),IF(($C$5&lt;45),(F11+(3.9/3)),IF($C$5=25,(F11+(3.9/3)),IF($C$5=45,(F11+(3.9/3)),IF(($C$5&lt;50),(F11+(4.05/3)),IF($C$5=50,F11+(4.2/3),(F11+(4.2/3)))))))))</f>
        <v>28.849602545614115</v>
      </c>
      <c r="G10" s="314">
        <f>IF(($C$5&lt;=20),(G11+(0.63/3)),IF(($C$5&lt;25),(G11+(1.8/3)),IF(($C$5&lt;45),(G11+(3/3)),IF($C$5=25,(G11+(3/3)),IF($C$5=45,(G11+(3/3)),IF(($C$5&lt;50),(G11+(3.6/3)),IF($C$5=50,G11+(4.2/3),(G11+(4.2/3)))))))))</f>
        <v>25.921448234644668</v>
      </c>
      <c r="H10" s="314">
        <f>IF(($C$5&lt;=20),(H11+(1.2/3)),IF(($C$5&lt;25),(H11+(2.1/3)),IF(($C$5&lt;45),(H11+(3/3)),IF($C$5=25,(H11+(3/3)),IF($C$5=45,(H11+(3/3)),IF(($C$5&lt;50),(H11+(3.45/3)),IF($C$5=50,H11+(3.9/3),(H11+(3.9/3)))))))))</f>
        <v>23.068293254271929</v>
      </c>
      <c r="I10" s="315" t="s">
        <v>14</v>
      </c>
      <c r="J10" s="314">
        <v>0</v>
      </c>
      <c r="K10" s="314">
        <f>IF(E10="NA", "NA", $K$4*TAN(RADIANS(E10)))</f>
        <v>7.7769158749678873</v>
      </c>
      <c r="L10" s="314">
        <f>IF(F10="NA", "NA", $L$4*TAN(RADIANS(F10)))</f>
        <v>27.544128303896027</v>
      </c>
      <c r="M10" s="314">
        <f t="shared" si="18"/>
        <v>48.603660003689733</v>
      </c>
      <c r="N10" s="314">
        <f t="shared" ref="N10" si="27">IF(H10="NA","NA",$N$4*TAN(RADIANS(H10)))</f>
        <v>170.35289355614125</v>
      </c>
      <c r="O10" s="314" t="s">
        <v>14</v>
      </c>
      <c r="P10" s="314">
        <f t="shared" ref="P10" si="28">J10*20.89</f>
        <v>0</v>
      </c>
      <c r="Q10" s="314">
        <f t="shared" ref="Q10" si="29">K10*20.89</f>
        <v>162.45977262807918</v>
      </c>
      <c r="R10" s="314">
        <f>L10*20.89</f>
        <v>575.39684026838802</v>
      </c>
      <c r="S10" s="314">
        <f t="shared" si="22"/>
        <v>1015.3304574770785</v>
      </c>
      <c r="T10" s="314">
        <f t="shared" si="23"/>
        <v>3558.6719463877907</v>
      </c>
      <c r="U10" s="314" t="s">
        <v>14</v>
      </c>
      <c r="V10" s="2"/>
      <c r="W10" s="396"/>
      <c r="X10" s="396"/>
      <c r="Y10" s="396"/>
      <c r="Z10" s="396"/>
      <c r="AA10" s="396"/>
      <c r="AB10" s="396"/>
      <c r="AC10" s="396"/>
      <c r="AD10" s="132"/>
      <c r="AE10" s="132"/>
      <c r="AF10" s="316"/>
      <c r="AG10" s="316"/>
      <c r="AH10" s="316"/>
      <c r="AI10" s="132"/>
      <c r="AL10" s="170"/>
      <c r="AM10" s="170"/>
      <c r="AN10" s="170"/>
      <c r="AO10" s="170"/>
      <c r="AP10" s="170"/>
      <c r="AQ10" s="170"/>
      <c r="AR10" s="66"/>
      <c r="AS10" s="66"/>
      <c r="AT10" s="66"/>
      <c r="AU10" s="66"/>
      <c r="AV10" s="171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36"/>
      <c r="BH10" s="136"/>
      <c r="BI10" s="136"/>
      <c r="BJ10" s="136"/>
    </row>
    <row r="11" spans="1:62" ht="21" customHeight="1" x14ac:dyDescent="0.35">
      <c r="A11" s="2"/>
      <c r="B11" s="163"/>
      <c r="C11" s="163"/>
      <c r="D11" s="311" t="s">
        <v>15</v>
      </c>
      <c r="E11" s="252">
        <f>IF(C5&lt;21,D27,IF(C5=21,((4*D27+D29)/5),IF(C5=22,((3*D27+2*D29)/5),IF(C5=23,((2*D27+3*D29)/5),IF(C5=24,((D27+4*D29)/5),IF(C5=46,((4*D29+D31)/5),IF(C5=47,((3*D29+2*D31)/5),IF(C5=48,((2*D29+3*D31)/5),IF(C5=49,((D29+4*D31)/5),IF(C5&gt;49,D31,D29))))))))))</f>
        <v>31.246317131085448</v>
      </c>
      <c r="F11" s="252">
        <f>IF(C5&lt;21,E27,IF(C5=21,((4*E27+E29)/5),IF(C5=22,((3*E27+2*E29)/5),IF(C5=23,((2*E27+3*E29)/5),IF(C5=24,((E27+4*E29)/5),IF(C5=46,((4*E29+E31)/5),IF(C5=47,((3*E29+2*E31)/5),IF(C5=48,((2*E29+3*E31)/5),IF(C5=49,((E29+4*E31)/5),IF(C5&gt;49,E31,E29))))))))))</f>
        <v>27.449602545614116</v>
      </c>
      <c r="G11" s="252">
        <f>IF(C5&lt;21,F27,IF(C5=21,((4*F27+F29)/5),IF(C5=22,((3*F27+2*F29)/5),IF(C5=23,((2*F27+3*F29)/5),IF(C5=24,((F27+4*F29)/5),IF(C5=46,((4*F29+F31)/5),IF(C5=47,((3*F29+2*F31)/5),IF(C5=48,((2*F29+3*F31)/5),IF(C5=49,((F29+4*F31)/5),IF(C5&gt;49,F31,F29))))))))))</f>
        <v>24.521448234644669</v>
      </c>
      <c r="H11" s="252">
        <f>IF(C5&lt;21,G27,IF(C5=21,((4*G27+G29)/5),IF(C5=22,((3*G27+2*G29)/5),IF(C5=23,((2*G27+3*G29)/5),IF(C5=24,((G27+4*G29)/5),IF(C5=46,((4*G29+G31)/5),IF(C5=47,((3*G29+2*G31)/5),IF(C5=48,((2*G29+3*G31)/5),IF(C5=49,((G29+4*G31)/5),IF(C5&gt;49,G31,G29))))))))))</f>
        <v>21.768293254271928</v>
      </c>
      <c r="I11" s="312" t="s">
        <v>14</v>
      </c>
      <c r="J11" s="252">
        <v>0</v>
      </c>
      <c r="K11" s="252">
        <f>IF(E11="NA", "NA", $K$4*TAN(RADIANS(E11)))</f>
        <v>7.2807234331691024</v>
      </c>
      <c r="L11" s="252">
        <f>IF(F11="NA", "NA", $L$4*TAN(RADIANS(F11)))</f>
        <v>25.972479858029541</v>
      </c>
      <c r="M11" s="252">
        <f>IF(G11="NA", "NA", $M$4*TAN(RADIANS(G11)))</f>
        <v>45.617842082021255</v>
      </c>
      <c r="N11" s="252">
        <f>IF(H11="NA","NA",$N$4*TAN(RADIANS(H11)))</f>
        <v>159.73187585853964</v>
      </c>
      <c r="O11" s="252" t="s">
        <v>14</v>
      </c>
      <c r="P11" s="252">
        <f>J11*20.89</f>
        <v>0</v>
      </c>
      <c r="Q11" s="252">
        <f>K11*20.89</f>
        <v>152.09431251890254</v>
      </c>
      <c r="R11" s="252">
        <f t="shared" ref="R11" si="30">L11*20.89</f>
        <v>542.56510423423708</v>
      </c>
      <c r="S11" s="252">
        <f t="shared" ref="S11" si="31">M11*20.89</f>
        <v>952.95672109342399</v>
      </c>
      <c r="T11" s="252">
        <f t="shared" ref="T11" si="32">N11*20.89</f>
        <v>3336.7988866848932</v>
      </c>
      <c r="U11" s="252" t="s">
        <v>14</v>
      </c>
      <c r="V11" s="2"/>
      <c r="W11" s="396"/>
      <c r="X11" s="396"/>
      <c r="Y11" s="396"/>
      <c r="Z11" s="396"/>
      <c r="AA11" s="396"/>
      <c r="AB11" s="396"/>
      <c r="AC11" s="396"/>
      <c r="AD11" s="132"/>
      <c r="AE11" s="170"/>
      <c r="AF11" s="316"/>
      <c r="AG11" s="316"/>
      <c r="AH11" s="316"/>
      <c r="AI11" s="170"/>
      <c r="AJ11" s="3">
        <v>32</v>
      </c>
      <c r="AK11" s="3" t="s">
        <v>93</v>
      </c>
      <c r="AL11" s="170">
        <v>0</v>
      </c>
      <c r="AM11" s="170">
        <v>12</v>
      </c>
      <c r="AN11" s="170">
        <v>50</v>
      </c>
      <c r="AO11" s="170">
        <v>100</v>
      </c>
      <c r="AP11" s="170">
        <v>400</v>
      </c>
      <c r="AQ11" s="170"/>
      <c r="AR11" s="66">
        <f t="shared" ref="AR11:AR35" si="33">AM11*TAN(RADIANS(($R$19+$S$19*(AJ11)+$T$19*(AJ11)^2)))</f>
        <v>8.6679796183585864</v>
      </c>
      <c r="AS11" s="66">
        <f t="shared" ref="AS11:AS35" si="34">AN11*TAN(RADIANS(($R$20+$S$20*(AJ11)+$T$20*(AJ11)^2)))</f>
        <v>34.154276510107387</v>
      </c>
      <c r="AT11" s="66">
        <f t="shared" ref="AT11:AT35" si="35">AO11*TAN(RADIANS(($R$21+$S$21*(AJ11)+$T$21*(AJ11)^2)))</f>
        <v>67.334899028008749</v>
      </c>
      <c r="AU11" s="66">
        <f t="shared" ref="AU11:AU35" si="36">AP11*TAN(RADIANS(($R$22+$S$22*(AJ11)+$T$22*(AJ11)^2+$U$22*(AJ11)^3)))</f>
        <v>260.31378218633773</v>
      </c>
      <c r="AV11" s="171"/>
      <c r="AW11" s="166">
        <f t="shared" si="4"/>
        <v>-1.0664034923213879</v>
      </c>
      <c r="AX11" s="166">
        <f t="shared" si="5"/>
        <v>-0.47087628367252654</v>
      </c>
      <c r="AY11" s="166">
        <f t="shared" si="1"/>
        <v>-0.17608116057074552</v>
      </c>
      <c r="AZ11" s="166">
        <f t="shared" si="2"/>
        <v>0.41117578844500202</v>
      </c>
      <c r="BA11" s="166"/>
      <c r="BB11" s="166">
        <f t="shared" si="6"/>
        <v>-0.92514012773501775</v>
      </c>
      <c r="BC11" s="166">
        <f t="shared" si="7"/>
        <v>-0.30535136944662378</v>
      </c>
      <c r="BD11" s="166">
        <f t="shared" si="8"/>
        <v>-4.3213737826425782E-3</v>
      </c>
      <c r="BE11" s="166">
        <f t="shared" si="9"/>
        <v>0.59773861754531976</v>
      </c>
      <c r="BF11" s="166"/>
      <c r="BG11" s="136">
        <f t="shared" si="10"/>
        <v>-0.15926856335474107</v>
      </c>
      <c r="BH11" s="136">
        <f t="shared" si="11"/>
        <v>-0.32554628702991445</v>
      </c>
      <c r="BI11" s="136">
        <f t="shared" si="12"/>
        <v>0.9705609101062953</v>
      </c>
      <c r="BJ11" s="136">
        <f t="shared" si="13"/>
        <v>0.67458014557836066</v>
      </c>
    </row>
    <row r="12" spans="1:62" ht="21" customHeight="1" x14ac:dyDescent="0.35">
      <c r="A12" s="2"/>
      <c r="B12" s="163"/>
      <c r="C12" s="163"/>
      <c r="D12" s="240" t="s">
        <v>98</v>
      </c>
      <c r="E12" s="241">
        <f>IF(($C$5&lt;=20),(E11-(1.3/3)),IF(($C$5&lt;25),(E11-(2.15/3)),IF(($C$5&lt;45),(E11-(3/3)),IF($C$5=25,(E11-(3/3)),IF($C$5=45,(E11-(3/3)),IF(($C$5&lt;50),(E11-(4.05/3)),IF($C$5=50,E11-(5.1/3),(E11-(5.1/3)))))))))</f>
        <v>29.546317131085448</v>
      </c>
      <c r="F12" s="241">
        <f>IF(($C$5&lt;=20),(F11-(0.63/3)),IF(($C$5&lt;25),(F11-(2.27/3)),IF(($C$5&lt;45),(F11-(3.9/3)),IF($C$5=25,(F11-(3.9/3)),IF($C$5=45,(F11-(3.9/3)),IF(($C$5&lt;50),(F11-(4.05/3)),IF($C$5=50,F11-(4.2/3),(F11-(4.2/3)))))))))</f>
        <v>26.049602545614118</v>
      </c>
      <c r="G12" s="241">
        <f>IF(($C$5&lt;=20),(G11-(0.63/3)),IF(($C$5&lt;25),(G11-(1.8/3)),IF(($C$5&lt;45),(G11-(3/3)),IF($C$5=25,(G11-(3/3)),IF($C$5=45,(G11-(3/3)),IF(($C$5&lt;50),(G11-(3.6/3)),IF($C$5=50,G11-(4.2/3),(G11-(4.2/3)))))))))</f>
        <v>23.121448234644671</v>
      </c>
      <c r="H12" s="241">
        <f>IF(($C$5&lt;=20),(H11-(1.2/3)),IF(($C$5&lt;25),(H11-(2.1/3)),IF(($C$5&lt;45),(H11-(3/3)),IF($C$5=25,(H11-(3/3)),IF($C$5=45,(H11-(3/3)),IF(($C$5&lt;50),(H11-(3.45/3)),IF($C$5=50,H11-(3.9/3),(H11-(3.9/3)))))))))</f>
        <v>20.468293254271927</v>
      </c>
      <c r="I12" s="242" t="s">
        <v>14</v>
      </c>
      <c r="J12" s="241">
        <v>0</v>
      </c>
      <c r="K12" s="241">
        <f t="shared" ref="K12:K14" si="37">IF(E12="NA", "NA", $K$4*TAN(RADIANS(E12)))</f>
        <v>6.8020850005725357</v>
      </c>
      <c r="L12" s="241">
        <f t="shared" ref="L12:L14" si="38">IF(F12="NA", "NA", $L$4*TAN(RADIANS(F12)))</f>
        <v>24.440235562404023</v>
      </c>
      <c r="M12" s="241">
        <f t="shared" ref="M12:M14" si="39">IF(G12="NA", "NA", $M$4*TAN(RADIANS(G12)))</f>
        <v>42.697866438175161</v>
      </c>
      <c r="N12" s="241">
        <f t="shared" ref="N12:N13" si="40">IF(H12="NA","NA",$N$4*TAN(RADIANS(H12)))</f>
        <v>149.30162597637906</v>
      </c>
      <c r="O12" s="241" t="s">
        <v>14</v>
      </c>
      <c r="P12" s="241">
        <f t="shared" ref="P12:P14" si="41">J12*20.89</f>
        <v>0</v>
      </c>
      <c r="Q12" s="241">
        <f t="shared" ref="Q12:Q14" si="42">K12*20.89</f>
        <v>142.09555566196028</v>
      </c>
      <c r="R12" s="241">
        <f t="shared" ref="R12:R14" si="43">L12*20.89</f>
        <v>510.55652089862008</v>
      </c>
      <c r="S12" s="241">
        <f t="shared" ref="S12:S14" si="44">M12*20.89</f>
        <v>891.95842989347909</v>
      </c>
      <c r="T12" s="241">
        <f t="shared" ref="T12:T14" si="45">N12*20.89</f>
        <v>3118.9109666465588</v>
      </c>
      <c r="U12" s="241" t="s">
        <v>14</v>
      </c>
      <c r="V12" s="2"/>
      <c r="W12" s="179"/>
      <c r="X12" s="179"/>
      <c r="Y12" s="179"/>
      <c r="Z12" s="2"/>
      <c r="AA12" s="2"/>
      <c r="AB12" s="2"/>
      <c r="AC12" s="2"/>
      <c r="AD12" s="132"/>
      <c r="AE12" s="132"/>
      <c r="AF12" s="316"/>
      <c r="AG12" s="316"/>
      <c r="AH12" s="316"/>
      <c r="AI12" s="132"/>
      <c r="AJ12" s="3">
        <v>34</v>
      </c>
      <c r="AK12" s="3" t="s">
        <v>93</v>
      </c>
      <c r="AL12" s="170">
        <v>0</v>
      </c>
      <c r="AM12" s="170">
        <v>12</v>
      </c>
      <c r="AN12" s="170">
        <v>50</v>
      </c>
      <c r="AO12" s="170">
        <v>100</v>
      </c>
      <c r="AP12" s="170">
        <v>400</v>
      </c>
      <c r="AQ12" s="170"/>
      <c r="AR12" s="66">
        <f t="shared" si="33"/>
        <v>8.6319741156289673</v>
      </c>
      <c r="AS12" s="66">
        <f t="shared" si="34"/>
        <v>34.005034649777279</v>
      </c>
      <c r="AT12" s="66">
        <f t="shared" si="35"/>
        <v>66.982520947222511</v>
      </c>
      <c r="AU12" s="66">
        <f t="shared" si="36"/>
        <v>258.63583139187114</v>
      </c>
      <c r="AV12" s="171"/>
      <c r="AW12" s="166">
        <f t="shared" si="4"/>
        <v>-1.0682112444081082</v>
      </c>
      <c r="AX12" s="166">
        <f t="shared" si="5"/>
        <v>-0.47277815207142165</v>
      </c>
      <c r="AY12" s="166">
        <f t="shared" si="1"/>
        <v>-0.17835988520905538</v>
      </c>
      <c r="AZ12" s="166">
        <f t="shared" si="2"/>
        <v>0.40836731806019649</v>
      </c>
      <c r="BA12" s="166"/>
      <c r="BB12" s="166">
        <f t="shared" si="6"/>
        <v>-0.92514012773501775</v>
      </c>
      <c r="BC12" s="166">
        <f t="shared" si="7"/>
        <v>-0.30535136944662378</v>
      </c>
      <c r="BD12" s="166">
        <f t="shared" si="8"/>
        <v>-4.3213737826425782E-3</v>
      </c>
      <c r="BE12" s="166">
        <f t="shared" si="9"/>
        <v>0.59773861754531976</v>
      </c>
      <c r="BF12" s="166"/>
      <c r="BG12" s="136">
        <f t="shared" si="10"/>
        <v>-0.15926856335474107</v>
      </c>
      <c r="BH12" s="136">
        <f t="shared" si="11"/>
        <v>-0.32774549090709715</v>
      </c>
      <c r="BI12" s="136">
        <f t="shared" si="12"/>
        <v>0.9698830679771282</v>
      </c>
      <c r="BJ12" s="136">
        <f t="shared" si="13"/>
        <v>0.67100598206491624</v>
      </c>
    </row>
    <row r="13" spans="1:62" ht="21" customHeight="1" x14ac:dyDescent="0.35">
      <c r="A13" s="2"/>
      <c r="B13" s="163"/>
      <c r="C13" s="163"/>
      <c r="D13" s="243" t="s">
        <v>99</v>
      </c>
      <c r="E13" s="244">
        <f>IF(($C$5&lt;=20),(E11-(2*1.3/3)),IF(($C$5&lt;25),(E11-(2*2.15/3)),IF(($C$5&lt;45),(E11-(2*3/3)),IF($C$5=25,(E11-(2*3/3)),IF($C$5=45,(E11-(2*3/3)),IF(($C$5&lt;50),(E11-(2*4.05/3)),IF($C$5=50,E11-(2*5.1/3),(E11-(2*5.1/3)))))))))</f>
        <v>27.846317131085449</v>
      </c>
      <c r="F13" s="244">
        <f t="shared" ref="F13:F14" si="46">IF(($C$5&lt;=20),(F12-(0.63/3)),IF(($C$5&lt;25),(F12-(2.27/3)),IF(($C$5&lt;45),(F12-(3.9/3)),IF($C$5=25,(F12-(3.9/3)),IF($C$5=45,(F12-(3.9/3)),IF(($C$5&lt;50),(F12-(4.05/3)),IF($C$5=50,F12-(4.2/3),(F12-(4.2/3)))))))))</f>
        <v>24.649602545614119</v>
      </c>
      <c r="G13" s="244">
        <f>IF(($C$5&lt;=20),(G12-(0.63/3)),IF(($C$5&lt;25),(G12-(1.8/3)),IF(($C$5&lt;45),(G12-(3/3)),IF($C$5=25,(G12-(3/3)),IF($C$5=45,(G12-(3/3)),IF(($C$5&lt;50),(G12-(3.6/3)),IF($C$5=50,G12-(4.2/3),(G12-(4.2/3)))))))))</f>
        <v>21.721448234644672</v>
      </c>
      <c r="H13" s="244">
        <f>IF(($C$5&lt;=20),(H11-(2*1.2/3)),IF(($C$5&lt;25),(H11-(2*2.1/3)),IF(($C$5&lt;45),(H11-(2*3/3)),IF($C$5=25,(H11-(2*3/3)),IF($C$5=45,(H11-(2*3/3)),IF(($C$5&lt;50),(H11-(2*3.45/3)),IF($C$5=50,H11-(2*3.9/3),(H11-(2*3.9/3)))))))))</f>
        <v>19.168293254271926</v>
      </c>
      <c r="I13" s="245" t="s">
        <v>14</v>
      </c>
      <c r="J13" s="244">
        <v>0</v>
      </c>
      <c r="K13" s="244">
        <f t="shared" si="37"/>
        <v>6.3392847957658507</v>
      </c>
      <c r="L13" s="244">
        <f t="shared" si="38"/>
        <v>22.944167874891484</v>
      </c>
      <c r="M13" s="244">
        <f>IF(G13="NA", "NA", $M$4*TAN(RADIANS(G13)))</f>
        <v>39.838202110685842</v>
      </c>
      <c r="N13" s="244">
        <f t="shared" si="40"/>
        <v>139.0465871022443</v>
      </c>
      <c r="O13" s="244" t="s">
        <v>14</v>
      </c>
      <c r="P13" s="244">
        <f t="shared" si="41"/>
        <v>0</v>
      </c>
      <c r="Q13" s="244">
        <f t="shared" si="42"/>
        <v>132.42765938354862</v>
      </c>
      <c r="R13" s="244">
        <f t="shared" si="43"/>
        <v>479.3036669064831</v>
      </c>
      <c r="S13" s="244">
        <f t="shared" si="44"/>
        <v>832.22004209222723</v>
      </c>
      <c r="T13" s="244">
        <f t="shared" si="45"/>
        <v>2904.6832045658834</v>
      </c>
      <c r="U13" s="244" t="s">
        <v>14</v>
      </c>
      <c r="V13" s="2"/>
      <c r="W13" s="179"/>
      <c r="X13" s="179"/>
      <c r="Y13" s="179"/>
      <c r="Z13" s="2"/>
      <c r="AA13" s="2"/>
      <c r="AB13" s="2"/>
      <c r="AC13" s="2"/>
      <c r="AD13" s="132"/>
      <c r="AE13" s="132"/>
      <c r="AF13" s="316"/>
      <c r="AG13" s="316"/>
      <c r="AH13" s="316"/>
      <c r="AI13" s="132"/>
      <c r="AJ13" s="3">
        <v>36</v>
      </c>
      <c r="AK13" s="3" t="s">
        <v>93</v>
      </c>
      <c r="AL13" s="170">
        <v>0</v>
      </c>
      <c r="AM13" s="170">
        <v>12</v>
      </c>
      <c r="AN13" s="170">
        <v>50</v>
      </c>
      <c r="AO13" s="170">
        <v>100</v>
      </c>
      <c r="AP13" s="170">
        <v>400</v>
      </c>
      <c r="AQ13" s="170"/>
      <c r="AR13" s="66">
        <f t="shared" si="33"/>
        <v>8.596663121282198</v>
      </c>
      <c r="AS13" s="66">
        <f t="shared" si="34"/>
        <v>33.858358968610332</v>
      </c>
      <c r="AT13" s="66">
        <f t="shared" si="35"/>
        <v>66.636815649337279</v>
      </c>
      <c r="AU13" s="66">
        <f t="shared" si="36"/>
        <v>256.97669996044647</v>
      </c>
      <c r="AV13" s="171"/>
      <c r="AW13" s="166">
        <f t="shared" si="4"/>
        <v>-1.0699914654734675</v>
      </c>
      <c r="AX13" s="166">
        <f t="shared" si="5"/>
        <v>-0.47465546868509739</v>
      </c>
      <c r="AY13" s="166">
        <f t="shared" si="1"/>
        <v>-0.18060713836956441</v>
      </c>
      <c r="AZ13" s="166">
        <f t="shared" si="2"/>
        <v>0.40557237391697859</v>
      </c>
      <c r="BA13" s="166"/>
      <c r="BB13" s="166">
        <f t="shared" si="6"/>
        <v>-0.92514012773501775</v>
      </c>
      <c r="BC13" s="166">
        <f t="shared" si="7"/>
        <v>-0.30535136944662378</v>
      </c>
      <c r="BD13" s="166">
        <f t="shared" si="8"/>
        <v>-4.3213737826425782E-3</v>
      </c>
      <c r="BE13" s="166">
        <f t="shared" si="9"/>
        <v>0.59773861754531976</v>
      </c>
      <c r="BF13" s="166"/>
      <c r="BG13" s="136">
        <f t="shared" si="10"/>
        <v>-0.15926856335474107</v>
      </c>
      <c r="BH13" s="136">
        <f t="shared" si="11"/>
        <v>-0.3299204246527877</v>
      </c>
      <c r="BI13" s="136">
        <f t="shared" si="12"/>
        <v>0.96919729539546573</v>
      </c>
      <c r="BJ13" s="136">
        <f t="shared" si="13"/>
        <v>0.66748611534634916</v>
      </c>
    </row>
    <row r="14" spans="1:62" ht="21" customHeight="1" x14ac:dyDescent="0.35">
      <c r="A14" s="2"/>
      <c r="B14" s="163"/>
      <c r="C14" s="163"/>
      <c r="D14" s="246" t="s">
        <v>100</v>
      </c>
      <c r="E14" s="247">
        <f>IF(($C$5&lt;=20),(E11-(1.3)),IF(($C$5&lt;25),(E11-(2.15)),IF(($C$5&lt;45),(E11-(3)),IF($C$5=25,(E11-(3)),IF($C$5=45,(E11-(3)),IF(($C$5&lt;50),(E11-(4.05)),IF($C$5=50,E11-(5.1),(E11-(5.1)))))))))</f>
        <v>26.146317131085446</v>
      </c>
      <c r="F14" s="247">
        <f t="shared" si="46"/>
        <v>23.24960254561412</v>
      </c>
      <c r="G14" s="247">
        <f>IF(($C$5&lt;=20),(G13-(0.63/3)),IF(($C$5&lt;25),(G13-(1.8/3)),IF(($C$5&lt;45),(G13-(3/3)),IF($C$5=25,(G13-(3/3)),IF($C$5=45,(G13-(3/3)),IF(($C$5&lt;50),(G13-(3.6/3)),IF($C$5=50,G13-(4.2/3),(G13-(4.2/3)))))))))</f>
        <v>20.321448234644674</v>
      </c>
      <c r="H14" s="247">
        <f>IF(($C$5&lt;=20),(H11-(1.2)),IF(($C$5&lt;25),(H11-(2.1)),IF(($C$5&lt;45),(H11-(3)),IF($C$5=25,(H11-(3)),IF($C$5=45,(H11-(3)),IF(($C$5&lt;50),(H11-(3.45)),IF($C$5=50,H11-(3.9),(H11-(3.9)))))))))</f>
        <v>17.868293254271929</v>
      </c>
      <c r="I14" s="248" t="s">
        <v>14</v>
      </c>
      <c r="J14" s="247">
        <v>0</v>
      </c>
      <c r="K14" s="247">
        <f t="shared" si="37"/>
        <v>5.8907728701056126</v>
      </c>
      <c r="L14" s="247">
        <f t="shared" si="38"/>
        <v>21.481284432811183</v>
      </c>
      <c r="M14" s="247">
        <f t="shared" si="39"/>
        <v>37.033685645773836</v>
      </c>
      <c r="N14" s="247">
        <f>IF(H14="NA","NA",$N$4*TAN(RADIANS(H14)))</f>
        <v>128.95207608366908</v>
      </c>
      <c r="O14" s="247" t="s">
        <v>14</v>
      </c>
      <c r="P14" s="247">
        <f t="shared" si="41"/>
        <v>0</v>
      </c>
      <c r="Q14" s="247">
        <f t="shared" si="42"/>
        <v>123.05824525650625</v>
      </c>
      <c r="R14" s="247">
        <f t="shared" si="43"/>
        <v>448.74403180142565</v>
      </c>
      <c r="S14" s="247">
        <f t="shared" si="44"/>
        <v>773.63369314021543</v>
      </c>
      <c r="T14" s="247">
        <f t="shared" si="45"/>
        <v>2693.8088693878472</v>
      </c>
      <c r="U14" s="247" t="s">
        <v>14</v>
      </c>
      <c r="V14" s="2"/>
      <c r="W14" s="2"/>
      <c r="X14" s="2"/>
      <c r="Y14" s="2"/>
      <c r="Z14" s="2"/>
      <c r="AA14" s="2"/>
      <c r="AB14" s="2"/>
      <c r="AC14" s="2"/>
      <c r="AD14" s="132"/>
      <c r="AE14" s="132"/>
      <c r="AF14" s="316"/>
      <c r="AG14" s="316"/>
      <c r="AH14" s="316"/>
      <c r="AI14" s="132"/>
      <c r="AJ14" s="3">
        <v>38</v>
      </c>
      <c r="AK14" s="3" t="s">
        <v>93</v>
      </c>
      <c r="AL14" s="170">
        <v>0</v>
      </c>
      <c r="AM14" s="170">
        <v>12</v>
      </c>
      <c r="AN14" s="170">
        <v>50</v>
      </c>
      <c r="AO14" s="170">
        <v>100</v>
      </c>
      <c r="AP14" s="170">
        <v>400</v>
      </c>
      <c r="AQ14" s="170"/>
      <c r="AR14" s="66">
        <f t="shared" si="33"/>
        <v>8.5620409952726533</v>
      </c>
      <c r="AS14" s="66">
        <f t="shared" si="34"/>
        <v>33.714229014506294</v>
      </c>
      <c r="AT14" s="66">
        <f t="shared" si="35"/>
        <v>66.297720836491806</v>
      </c>
      <c r="AU14" s="66">
        <f t="shared" si="36"/>
        <v>255.33618279695941</v>
      </c>
      <c r="AV14" s="171"/>
      <c r="AW14" s="166">
        <f t="shared" si="4"/>
        <v>-1.0717440708662167</v>
      </c>
      <c r="AX14" s="166">
        <f t="shared" si="5"/>
        <v>-0.47650814121219215</v>
      </c>
      <c r="AY14" s="166">
        <f t="shared" si="1"/>
        <v>-0.18282277516895207</v>
      </c>
      <c r="AZ14" s="166">
        <f t="shared" si="2"/>
        <v>0.40279098773378752</v>
      </c>
      <c r="BA14" s="166"/>
      <c r="BB14" s="166">
        <f t="shared" si="6"/>
        <v>-0.92514012773501775</v>
      </c>
      <c r="BC14" s="166">
        <f t="shared" si="7"/>
        <v>-0.30535136944662378</v>
      </c>
      <c r="BD14" s="166">
        <f t="shared" si="8"/>
        <v>-4.3213737826425782E-3</v>
      </c>
      <c r="BE14" s="166">
        <f t="shared" si="9"/>
        <v>0.59773861754531976</v>
      </c>
      <c r="BF14" s="166"/>
      <c r="BG14" s="136">
        <f t="shared" si="10"/>
        <v>-0.15926856335474107</v>
      </c>
      <c r="BH14" s="136">
        <f t="shared" si="11"/>
        <v>-0.33207099987839328</v>
      </c>
      <c r="BI14" s="136">
        <f t="shared" si="12"/>
        <v>0.96850356592469056</v>
      </c>
      <c r="BJ14" s="136">
        <f t="shared" si="13"/>
        <v>0.66402001733884297</v>
      </c>
    </row>
    <row r="15" spans="1:62" ht="21" hidden="1" x14ac:dyDescent="0.4">
      <c r="A15" s="2"/>
      <c r="E15" s="163"/>
      <c r="F15" s="163"/>
      <c r="G15" s="163"/>
      <c r="H15" s="163"/>
      <c r="I15" s="163"/>
      <c r="P15" s="2"/>
      <c r="Q15" s="4"/>
      <c r="Y15" s="2"/>
      <c r="Z15" s="2"/>
      <c r="AA15" s="2"/>
      <c r="AB15" s="2"/>
      <c r="AC15" s="2"/>
      <c r="AD15" s="132"/>
      <c r="AE15" s="170"/>
      <c r="AF15" s="170"/>
      <c r="AG15" s="170"/>
      <c r="AH15" s="170"/>
      <c r="AI15" s="170"/>
      <c r="AJ15" s="3">
        <v>40</v>
      </c>
      <c r="AK15" s="3" t="s">
        <v>93</v>
      </c>
      <c r="AL15" s="170">
        <v>0</v>
      </c>
      <c r="AM15" s="170">
        <v>12</v>
      </c>
      <c r="AN15" s="170">
        <v>50</v>
      </c>
      <c r="AO15" s="170">
        <v>100</v>
      </c>
      <c r="AP15" s="170">
        <v>400</v>
      </c>
      <c r="AQ15" s="170"/>
      <c r="AR15" s="66">
        <f t="shared" si="33"/>
        <v>8.5281022526468959</v>
      </c>
      <c r="AS15" s="66">
        <f t="shared" si="34"/>
        <v>33.572624858758907</v>
      </c>
      <c r="AT15" s="66">
        <f t="shared" si="35"/>
        <v>65.965176008198512</v>
      </c>
      <c r="AU15" s="66">
        <f t="shared" si="36"/>
        <v>253.71407938769676</v>
      </c>
      <c r="AV15" s="171"/>
      <c r="AW15" s="166">
        <f t="shared" si="4"/>
        <v>-1.0734689748423971</v>
      </c>
      <c r="AX15" s="166">
        <f t="shared" si="5"/>
        <v>-0.47833607611193296</v>
      </c>
      <c r="AY15" s="166">
        <f t="shared" si="1"/>
        <v>-0.18500664822307031</v>
      </c>
      <c r="AZ15" s="166">
        <f t="shared" si="2"/>
        <v>0.40002319446677037</v>
      </c>
      <c r="BA15" s="166"/>
      <c r="BB15" s="166">
        <f t="shared" si="6"/>
        <v>-0.92514012773501775</v>
      </c>
      <c r="BC15" s="166">
        <f t="shared" si="7"/>
        <v>-0.30535136944662378</v>
      </c>
      <c r="BD15" s="166">
        <f t="shared" si="8"/>
        <v>-4.3213737826425782E-3</v>
      </c>
      <c r="BE15" s="166">
        <f t="shared" si="9"/>
        <v>0.59773861754531976</v>
      </c>
      <c r="BF15" s="166"/>
      <c r="BG15" s="136">
        <f t="shared" si="10"/>
        <v>-0.15926856335474107</v>
      </c>
      <c r="BH15" s="136">
        <f t="shared" si="11"/>
        <v>-0.33419712617765751</v>
      </c>
      <c r="BI15" s="136">
        <f t="shared" si="12"/>
        <v>0.96780185463904034</v>
      </c>
      <c r="BJ15" s="136">
        <f t="shared" si="13"/>
        <v>0.66060717267840063</v>
      </c>
    </row>
    <row r="16" spans="1:62" ht="18" hidden="1" x14ac:dyDescent="0.35">
      <c r="A16" s="2"/>
      <c r="B16" s="408" t="s">
        <v>16</v>
      </c>
      <c r="C16" s="408"/>
      <c r="D16" s="408"/>
      <c r="E16" s="408"/>
      <c r="F16" s="408"/>
      <c r="G16" s="408"/>
      <c r="H16" s="408"/>
      <c r="K16" s="440" t="s">
        <v>16</v>
      </c>
      <c r="L16" s="440"/>
      <c r="M16" s="440"/>
      <c r="N16" s="440"/>
      <c r="O16" s="440"/>
      <c r="P16" s="2"/>
      <c r="Q16" s="441" t="s">
        <v>17</v>
      </c>
      <c r="R16" s="442"/>
      <c r="S16" s="442"/>
      <c r="T16" s="443"/>
      <c r="Y16" s="2"/>
      <c r="Z16" s="2"/>
      <c r="AA16" s="2"/>
      <c r="AB16" s="2"/>
      <c r="AC16" s="2"/>
      <c r="AD16" s="132"/>
      <c r="AE16" s="170"/>
      <c r="AF16" s="170"/>
      <c r="AG16" s="170"/>
      <c r="AH16" s="170"/>
      <c r="AI16" s="170"/>
      <c r="AJ16" s="3">
        <v>42</v>
      </c>
      <c r="AK16" s="3" t="s">
        <v>93</v>
      </c>
      <c r="AL16" s="170">
        <v>0</v>
      </c>
      <c r="AM16" s="170">
        <v>12</v>
      </c>
      <c r="AN16" s="170">
        <v>50</v>
      </c>
      <c r="AO16" s="170">
        <v>100</v>
      </c>
      <c r="AP16" s="170">
        <v>400</v>
      </c>
      <c r="AQ16" s="170"/>
      <c r="AR16" s="66">
        <f t="shared" si="33"/>
        <v>8.4948415598602089</v>
      </c>
      <c r="AS16" s="66">
        <f t="shared" si="34"/>
        <v>33.433527083874438</v>
      </c>
      <c r="AT16" s="66">
        <f t="shared" si="35"/>
        <v>65.639122413002724</v>
      </c>
      <c r="AU16" s="66">
        <f t="shared" si="36"/>
        <v>252.11019368672112</v>
      </c>
      <c r="AV16" s="171"/>
      <c r="AW16" s="166">
        <f t="shared" si="4"/>
        <v>-1.0751660906741192</v>
      </c>
      <c r="AX16" s="166">
        <f t="shared" si="5"/>
        <v>-0.48013917869583345</v>
      </c>
      <c r="AY16" s="166">
        <f t="shared" si="1"/>
        <v>-0.18715860782660423</v>
      </c>
      <c r="AZ16" s="166">
        <f t="shared" si="2"/>
        <v>0.39726903227615684</v>
      </c>
      <c r="BA16" s="166"/>
      <c r="BB16" s="166">
        <f t="shared" si="6"/>
        <v>-0.92514012773501775</v>
      </c>
      <c r="BC16" s="166">
        <f t="shared" si="7"/>
        <v>-0.30535136944662378</v>
      </c>
      <c r="BD16" s="166">
        <f t="shared" si="8"/>
        <v>-4.3213737826425782E-3</v>
      </c>
      <c r="BE16" s="166">
        <f t="shared" si="9"/>
        <v>0.59773861754531976</v>
      </c>
      <c r="BF16" s="166"/>
      <c r="BG16" s="136">
        <f t="shared" si="10"/>
        <v>-0.15926856335474107</v>
      </c>
      <c r="BH16" s="136">
        <f t="shared" si="11"/>
        <v>-0.33629871123010002</v>
      </c>
      <c r="BI16" s="136">
        <f t="shared" si="12"/>
        <v>0.96709213815963724</v>
      </c>
      <c r="BJ16" s="136">
        <f t="shared" si="13"/>
        <v>0.65724707838923024</v>
      </c>
    </row>
    <row r="17" spans="1:62" ht="18" hidden="1" x14ac:dyDescent="0.35">
      <c r="A17" s="2"/>
      <c r="B17" s="444" t="s">
        <v>18</v>
      </c>
      <c r="C17" s="5">
        <f>B5</f>
        <v>69</v>
      </c>
      <c r="D17" s="5" t="s">
        <v>14</v>
      </c>
      <c r="E17" s="6">
        <f>L19+M19*C17+N19*(C17)^2</f>
        <v>22.3981722149415</v>
      </c>
      <c r="F17" s="6">
        <f>L20+M20*C17+N20*(C17)^2</f>
        <v>21.412408736202398</v>
      </c>
      <c r="G17" s="6">
        <f>L21+M21*C17+N21*(C17)^2</f>
        <v>20.445819272259602</v>
      </c>
      <c r="H17" s="7">
        <f>L22+M22*C17+N22*(C17)^2+O22*(C17)^3</f>
        <v>19.887101714773149</v>
      </c>
      <c r="K17" s="8" t="s">
        <v>18</v>
      </c>
      <c r="L17" s="9" t="s">
        <v>19</v>
      </c>
      <c r="M17" s="9" t="s">
        <v>20</v>
      </c>
      <c r="N17" s="9" t="s">
        <v>21</v>
      </c>
      <c r="O17" s="9" t="s">
        <v>21</v>
      </c>
      <c r="P17" s="2"/>
      <c r="Q17" s="8" t="s">
        <v>18</v>
      </c>
      <c r="R17" s="10" t="s">
        <v>19</v>
      </c>
      <c r="S17" s="11" t="s">
        <v>20</v>
      </c>
      <c r="T17" s="11" t="s">
        <v>21</v>
      </c>
      <c r="U17" s="11" t="s">
        <v>27</v>
      </c>
      <c r="Y17" s="2"/>
      <c r="Z17" s="2"/>
      <c r="AA17" s="2"/>
      <c r="AB17" s="2"/>
      <c r="AC17" s="2"/>
      <c r="AD17" s="132"/>
      <c r="AE17" s="170"/>
      <c r="AF17" s="170"/>
      <c r="AG17" s="170"/>
      <c r="AH17" s="170"/>
      <c r="AI17" s="170"/>
      <c r="AJ17" s="3">
        <v>44</v>
      </c>
      <c r="AK17" s="3" t="s">
        <v>93</v>
      </c>
      <c r="AL17" s="170">
        <v>0</v>
      </c>
      <c r="AM17" s="170">
        <v>12</v>
      </c>
      <c r="AN17" s="170">
        <v>50</v>
      </c>
      <c r="AO17" s="170">
        <v>100</v>
      </c>
      <c r="AP17" s="170">
        <v>400</v>
      </c>
      <c r="AQ17" s="170"/>
      <c r="AR17" s="66">
        <f t="shared" si="33"/>
        <v>8.4622537312163448</v>
      </c>
      <c r="AS17" s="66">
        <f t="shared" si="34"/>
        <v>33.296916771770789</v>
      </c>
      <c r="AT17" s="66">
        <f t="shared" si="35"/>
        <v>65.319503001852425</v>
      </c>
      <c r="AU17" s="66">
        <f t="shared" si="36"/>
        <v>250.52433400562518</v>
      </c>
      <c r="AV17" s="171"/>
      <c r="AW17" s="166">
        <f t="shared" si="4"/>
        <v>-1.0768353307576923</v>
      </c>
      <c r="AX17" s="166">
        <f t="shared" si="5"/>
        <v>-0.48191735321927143</v>
      </c>
      <c r="AY17" s="166">
        <f t="shared" si="1"/>
        <v>-0.18927850213280309</v>
      </c>
      <c r="AZ17" s="166">
        <f t="shared" si="2"/>
        <v>0.3945285424928609</v>
      </c>
      <c r="BA17" s="166"/>
      <c r="BB17" s="166">
        <f t="shared" si="6"/>
        <v>-0.92514012773501775</v>
      </c>
      <c r="BC17" s="166">
        <f t="shared" si="7"/>
        <v>-0.30535136944662378</v>
      </c>
      <c r="BD17" s="166">
        <f t="shared" si="8"/>
        <v>-4.3213737826425782E-3</v>
      </c>
      <c r="BE17" s="166">
        <f t="shared" si="9"/>
        <v>0.59773861754531976</v>
      </c>
      <c r="BF17" s="166"/>
      <c r="BG17" s="136">
        <f t="shared" si="10"/>
        <v>-0.15926856335474107</v>
      </c>
      <c r="BH17" s="136">
        <f t="shared" si="11"/>
        <v>-0.33837566090422649</v>
      </c>
      <c r="BI17" s="136">
        <f t="shared" si="12"/>
        <v>0.96637439469022279</v>
      </c>
      <c r="BJ17" s="136">
        <f t="shared" si="13"/>
        <v>0.65393924356289224</v>
      </c>
    </row>
    <row r="18" spans="1:62" ht="18" hidden="1" x14ac:dyDescent="0.4">
      <c r="A18" s="2"/>
      <c r="B18" s="435"/>
      <c r="C18" s="12">
        <f>C17</f>
        <v>69</v>
      </c>
      <c r="D18" s="12" t="s">
        <v>14</v>
      </c>
      <c r="E18" s="13">
        <f>IF(C18&lt;25,"NA",IF(C18&lt;81,E17,"NA"))</f>
        <v>22.3981722149415</v>
      </c>
      <c r="F18" s="13">
        <f>IF(C18&lt;25,"NA",IF(C18&lt;81,F17,"NA"))</f>
        <v>21.412408736202398</v>
      </c>
      <c r="G18" s="13">
        <f>IF(C18&lt;25,"NA",IF(C18&lt;81,G17,"NA"))</f>
        <v>20.445819272259602</v>
      </c>
      <c r="H18" s="14">
        <f>IF(C18&lt;25,"NA",IF(C18&lt;81,H17,"NA"))</f>
        <v>19.887101714773149</v>
      </c>
      <c r="K18" s="15" t="s">
        <v>22</v>
      </c>
      <c r="L18" s="16"/>
      <c r="M18" s="16" t="s">
        <v>23</v>
      </c>
      <c r="N18" s="16" t="s">
        <v>24</v>
      </c>
      <c r="O18" s="16" t="s">
        <v>28</v>
      </c>
      <c r="P18" s="2"/>
      <c r="Q18" s="15" t="s">
        <v>22</v>
      </c>
      <c r="R18" s="17"/>
      <c r="S18" s="18" t="s">
        <v>23</v>
      </c>
      <c r="T18" s="18" t="s">
        <v>24</v>
      </c>
      <c r="U18" s="18" t="s">
        <v>28</v>
      </c>
      <c r="Y18" s="2"/>
      <c r="Z18" s="2"/>
      <c r="AA18" s="2"/>
      <c r="AB18" s="2"/>
      <c r="AC18" s="2"/>
      <c r="AD18" s="132"/>
      <c r="AE18" s="170"/>
      <c r="AF18" s="170"/>
      <c r="AG18" s="170"/>
      <c r="AH18" s="170"/>
      <c r="AI18" s="170"/>
      <c r="AJ18" s="3">
        <v>46</v>
      </c>
      <c r="AK18" s="3" t="s">
        <v>93</v>
      </c>
      <c r="AL18" s="170">
        <v>0</v>
      </c>
      <c r="AM18" s="170">
        <v>12</v>
      </c>
      <c r="AN18" s="170">
        <v>50</v>
      </c>
      <c r="AO18" s="170">
        <v>100</v>
      </c>
      <c r="AP18" s="170">
        <v>400</v>
      </c>
      <c r="AQ18" s="170"/>
      <c r="AR18" s="66">
        <f t="shared" si="33"/>
        <v>8.4303337254262942</v>
      </c>
      <c r="AS18" s="66">
        <f t="shared" si="34"/>
        <v>33.16277549234519</v>
      </c>
      <c r="AT18" s="66">
        <f t="shared" si="35"/>
        <v>65.006262383113352</v>
      </c>
      <c r="AU18" s="66">
        <f t="shared" si="36"/>
        <v>248.95631290653841</v>
      </c>
      <c r="AV18" s="171"/>
      <c r="AW18" s="166">
        <f t="shared" si="4"/>
        <v>-1.0784766067210849</v>
      </c>
      <c r="AX18" s="166">
        <f t="shared" si="5"/>
        <v>-0.48367050297293218</v>
      </c>
      <c r="AY18" s="166">
        <f t="shared" si="1"/>
        <v>-0.19136617733327393</v>
      </c>
      <c r="AZ18" s="166">
        <f t="shared" si="2"/>
        <v>0.39180176958526591</v>
      </c>
      <c r="BA18" s="166"/>
      <c r="BB18" s="166">
        <f t="shared" si="6"/>
        <v>-0.92514012773501775</v>
      </c>
      <c r="BC18" s="166">
        <f t="shared" si="7"/>
        <v>-0.30535136944662378</v>
      </c>
      <c r="BD18" s="166">
        <f t="shared" si="8"/>
        <v>-4.3213737826425782E-3</v>
      </c>
      <c r="BE18" s="166">
        <f t="shared" si="9"/>
        <v>0.59773861754531976</v>
      </c>
      <c r="BF18" s="166"/>
      <c r="BG18" s="136">
        <f t="shared" si="10"/>
        <v>-0.15926856335474107</v>
      </c>
      <c r="BH18" s="136">
        <f t="shared" si="11"/>
        <v>-0.34042787936050634</v>
      </c>
      <c r="BI18" s="136">
        <f t="shared" si="12"/>
        <v>0.96564860405255826</v>
      </c>
      <c r="BJ18" s="136">
        <f t="shared" si="13"/>
        <v>0.65068318904785249</v>
      </c>
    </row>
    <row r="19" spans="1:62" hidden="1" x14ac:dyDescent="0.3">
      <c r="A19" s="2"/>
      <c r="B19" s="436" t="s">
        <v>25</v>
      </c>
      <c r="C19" s="19">
        <f>B5</f>
        <v>69</v>
      </c>
      <c r="D19" s="19" t="s">
        <v>14</v>
      </c>
      <c r="E19" s="20">
        <f>J26+K26*C19+L26*(C19)^2+M26*(C19)^3</f>
        <v>19.363315133965621</v>
      </c>
      <c r="F19" s="20">
        <f>J27+K27*C19+L27*(C19)^2+M27*(C19)^3+N27*(C19)^4+O27*(C19)^5</f>
        <v>17.486817097727744</v>
      </c>
      <c r="G19" s="20">
        <f>J28+K28*C19+L28*(C19)^2+M28*(C19)^3+N28*(C19)^4+O28*(C19)^5+P28*(C19)^6</f>
        <v>15.412786731742408</v>
      </c>
      <c r="H19" s="21">
        <f>J29+K29*C19+L29*(C19)^2+M29*(C19)^3+N29*(C19)^4+O29*(C19)^5</f>
        <v>12.944316697363234</v>
      </c>
      <c r="K19" s="22">
        <v>50</v>
      </c>
      <c r="L19" s="23">
        <v>38.033086709999999</v>
      </c>
      <c r="M19" s="24">
        <v>-0.2605941973</v>
      </c>
      <c r="N19" s="25">
        <v>4.9277150149999998E-4</v>
      </c>
      <c r="P19" s="2"/>
      <c r="Q19" s="26">
        <v>12</v>
      </c>
      <c r="R19" s="27">
        <v>37.906075280000003</v>
      </c>
      <c r="S19" s="28">
        <v>-7.1986118880000005E-2</v>
      </c>
      <c r="T19" s="29">
        <v>2.3364568279999999E-4</v>
      </c>
      <c r="U19" s="29">
        <v>0</v>
      </c>
      <c r="Y19" s="2"/>
      <c r="Z19" s="2"/>
      <c r="AA19" s="2"/>
      <c r="AB19" s="2"/>
      <c r="AC19" s="2"/>
      <c r="AD19" s="132"/>
      <c r="AE19" s="170"/>
      <c r="AF19" s="170"/>
      <c r="AG19" s="170"/>
      <c r="AH19" s="170"/>
      <c r="AI19" s="170"/>
      <c r="AJ19" s="3">
        <v>48</v>
      </c>
      <c r="AK19" s="3" t="s">
        <v>93</v>
      </c>
      <c r="AL19" s="170">
        <v>0</v>
      </c>
      <c r="AM19" s="170">
        <v>12</v>
      </c>
      <c r="AN19" s="170">
        <v>50</v>
      </c>
      <c r="AO19" s="170">
        <v>100</v>
      </c>
      <c r="AP19" s="170">
        <v>400</v>
      </c>
      <c r="AQ19" s="170"/>
      <c r="AR19" s="66">
        <f t="shared" si="33"/>
        <v>8.3990766422821519</v>
      </c>
      <c r="AS19" s="66">
        <f t="shared" si="34"/>
        <v>33.031085292398195</v>
      </c>
      <c r="AT19" s="66">
        <f t="shared" si="35"/>
        <v>64.699346779169986</v>
      </c>
      <c r="AU19" s="66">
        <f t="shared" si="36"/>
        <v>247.40594709827417</v>
      </c>
      <c r="AV19" s="171"/>
      <c r="AW19" s="166">
        <f t="shared" si="4"/>
        <v>-1.0800898295306982</v>
      </c>
      <c r="AX19" s="166">
        <f t="shared" si="5"/>
        <v>-0.48539853037410996</v>
      </c>
      <c r="AY19" s="166">
        <f t="shared" si="1"/>
        <v>-0.19342147783780672</v>
      </c>
      <c r="AZ19" s="166">
        <f t="shared" si="2"/>
        <v>0.38908876112614732</v>
      </c>
      <c r="BA19" s="166"/>
      <c r="BB19" s="166">
        <f t="shared" si="6"/>
        <v>-0.92514012773501775</v>
      </c>
      <c r="BC19" s="166">
        <f t="shared" si="7"/>
        <v>-0.30535136944662378</v>
      </c>
      <c r="BD19" s="166">
        <f t="shared" si="8"/>
        <v>-4.3213737826425782E-3</v>
      </c>
      <c r="BE19" s="166">
        <f t="shared" si="9"/>
        <v>0.59773861754531976</v>
      </c>
      <c r="BF19" s="166"/>
      <c r="BG19" s="136">
        <f t="shared" si="10"/>
        <v>-0.15926856335474107</v>
      </c>
      <c r="BH19" s="136">
        <f t="shared" si="11"/>
        <v>-0.34245526915411689</v>
      </c>
      <c r="BI19" s="136">
        <f t="shared" si="12"/>
        <v>0.96491474772145502</v>
      </c>
      <c r="BJ19" s="136">
        <f t="shared" si="13"/>
        <v>0.64747844714908387</v>
      </c>
    </row>
    <row r="20" spans="1:62" hidden="1" x14ac:dyDescent="0.3">
      <c r="A20" s="2"/>
      <c r="B20" s="437"/>
      <c r="C20" s="30">
        <f>C19</f>
        <v>69</v>
      </c>
      <c r="D20" s="30" t="s">
        <v>14</v>
      </c>
      <c r="E20" s="31">
        <f>IF(C20&lt;35,"NA",IF(C20&lt;=131,E19,"NA"))</f>
        <v>19.363315133965621</v>
      </c>
      <c r="F20" s="31">
        <f>IF(C20&lt;35,"NA",IF(C20&lt;=131,F19,"NA"))</f>
        <v>17.486817097727744</v>
      </c>
      <c r="G20" s="31">
        <f>IF(C20&lt;35,"NA",IF(C20&lt;=131,G19,"NA"))</f>
        <v>15.412786731742408</v>
      </c>
      <c r="H20" s="32">
        <f>IF(C20&lt;35,"NA",IF(C20&lt;=131,H19,"NA"))</f>
        <v>12.944316697363234</v>
      </c>
      <c r="K20" s="33">
        <v>100</v>
      </c>
      <c r="L20" s="34">
        <v>37.803024729999997</v>
      </c>
      <c r="M20" s="35">
        <v>-0.27287084909999998</v>
      </c>
      <c r="N20" s="36">
        <v>5.1196651839999999E-4</v>
      </c>
      <c r="P20" s="2"/>
      <c r="Q20" s="26">
        <v>50</v>
      </c>
      <c r="R20" s="27">
        <v>36.434800000000003</v>
      </c>
      <c r="S20" s="28">
        <v>-7.234071551E-2</v>
      </c>
      <c r="T20" s="29">
        <v>2.1144580809999999E-4</v>
      </c>
      <c r="U20" s="29">
        <v>0</v>
      </c>
      <c r="Y20" s="2"/>
      <c r="Z20" s="2"/>
      <c r="AA20" s="2"/>
      <c r="AB20" s="2"/>
      <c r="AC20" s="2"/>
      <c r="AD20" s="132"/>
      <c r="AE20" s="170"/>
      <c r="AF20" s="170"/>
      <c r="AG20" s="170"/>
      <c r="AH20" s="170"/>
      <c r="AI20" s="170"/>
      <c r="AJ20" s="3">
        <v>50</v>
      </c>
      <c r="AK20" s="3" t="s">
        <v>93</v>
      </c>
      <c r="AL20" s="170">
        <v>0</v>
      </c>
      <c r="AM20" s="170">
        <v>12</v>
      </c>
      <c r="AN20" s="170">
        <v>50</v>
      </c>
      <c r="AO20" s="170">
        <v>100</v>
      </c>
      <c r="AP20" s="170">
        <v>400</v>
      </c>
      <c r="AQ20" s="170"/>
      <c r="AR20" s="66">
        <f t="shared" si="33"/>
        <v>8.3684777194422484</v>
      </c>
      <c r="AS20" s="66">
        <f t="shared" si="34"/>
        <v>32.901828684903009</v>
      </c>
      <c r="AT20" s="66">
        <f t="shared" si="35"/>
        <v>64.398703984553094</v>
      </c>
      <c r="AU20" s="66">
        <f t="shared" si="36"/>
        <v>245.87305733551008</v>
      </c>
      <c r="AV20" s="171"/>
      <c r="AW20" s="166">
        <f t="shared" si="4"/>
        <v>-1.081674909597427</v>
      </c>
      <c r="AX20" s="166">
        <f t="shared" si="5"/>
        <v>-0.48710133705784719</v>
      </c>
      <c r="AY20" s="166">
        <f t="shared" si="1"/>
        <v>-0.19544424645420749</v>
      </c>
      <c r="AZ20" s="166">
        <f t="shared" si="2"/>
        <v>0.38638956775969235</v>
      </c>
      <c r="BA20" s="166"/>
      <c r="BB20" s="166">
        <f t="shared" si="6"/>
        <v>-0.92514012773501775</v>
      </c>
      <c r="BC20" s="166">
        <f t="shared" si="7"/>
        <v>-0.30535136944662378</v>
      </c>
      <c r="BD20" s="166">
        <f t="shared" si="8"/>
        <v>-4.3213737826425782E-3</v>
      </c>
      <c r="BE20" s="166">
        <f t="shared" si="9"/>
        <v>0.59773861754531976</v>
      </c>
      <c r="BF20" s="166"/>
      <c r="BG20" s="136">
        <f t="shared" si="10"/>
        <v>-0.15926856335474107</v>
      </c>
      <c r="BH20" s="136">
        <f t="shared" si="11"/>
        <v>-0.34445773133744728</v>
      </c>
      <c r="BI20" s="136">
        <f t="shared" si="12"/>
        <v>0.96417280885939061</v>
      </c>
      <c r="BJ20" s="136">
        <f t="shared" si="13"/>
        <v>0.64432456133738558</v>
      </c>
    </row>
    <row r="21" spans="1:62" hidden="1" x14ac:dyDescent="0.3">
      <c r="A21" s="2"/>
      <c r="B21" s="438" t="s">
        <v>26</v>
      </c>
      <c r="C21" s="41">
        <f>B5</f>
        <v>69</v>
      </c>
      <c r="D21" s="41" t="s">
        <v>14</v>
      </c>
      <c r="E21" s="42">
        <f>L33+M33*C21+N33*(C21)^2+O33*(C21)^3</f>
        <v>15.352229599999998</v>
      </c>
      <c r="F21" s="42">
        <f>L34+M34*$C21+N34*($C21)^2+O34*($C21)^3</f>
        <v>14.014064251099999</v>
      </c>
      <c r="G21" s="42">
        <f>L35+M35*C21+N35*(C21)^2+O35*(C21)^3</f>
        <v>12.16895051</v>
      </c>
      <c r="H21" s="43">
        <f>L36+M36*C21+N36*(C21)^2+O36*(C21)^3</f>
        <v>8.9940667999999988</v>
      </c>
      <c r="K21" s="44">
        <v>400</v>
      </c>
      <c r="L21" s="45">
        <v>38.32356411</v>
      </c>
      <c r="M21" s="38">
        <v>-0.31898651680000001</v>
      </c>
      <c r="N21" s="46">
        <v>8.679531236E-4</v>
      </c>
      <c r="P21" s="2"/>
      <c r="Q21" s="37">
        <v>100</v>
      </c>
      <c r="R21" s="38">
        <v>36.478889160000001</v>
      </c>
      <c r="S21" s="39">
        <v>-8.7667032820000004E-2</v>
      </c>
      <c r="T21" s="40">
        <v>2.7418913529999998E-4</v>
      </c>
      <c r="U21" s="29">
        <v>0</v>
      </c>
      <c r="Y21" s="2"/>
      <c r="Z21" s="2"/>
      <c r="AA21" s="2"/>
      <c r="AB21" s="2"/>
      <c r="AC21" s="2"/>
      <c r="AD21" s="132"/>
      <c r="AE21" s="170"/>
      <c r="AF21" s="170"/>
      <c r="AG21" s="170"/>
      <c r="AH21" s="170"/>
      <c r="AI21" s="170"/>
      <c r="AJ21" s="3">
        <v>52</v>
      </c>
      <c r="AK21" s="3" t="s">
        <v>93</v>
      </c>
      <c r="AL21" s="170">
        <v>0</v>
      </c>
      <c r="AM21" s="170">
        <v>12</v>
      </c>
      <c r="AN21" s="170">
        <v>50</v>
      </c>
      <c r="AO21" s="170">
        <v>100</v>
      </c>
      <c r="AP21" s="170">
        <v>400</v>
      </c>
      <c r="AQ21" s="170"/>
      <c r="AR21" s="66">
        <f t="shared" si="33"/>
        <v>8.3385323293240479</v>
      </c>
      <c r="AS21" s="66">
        <f t="shared" si="34"/>
        <v>32.774988638608917</v>
      </c>
      <c r="AT21" s="66">
        <f t="shared" si="35"/>
        <v>64.104283325539242</v>
      </c>
      <c r="AU21" s="66">
        <f t="shared" si="36"/>
        <v>244.35746832089856</v>
      </c>
      <c r="AV21" s="171"/>
      <c r="AW21" s="166">
        <f t="shared" si="4"/>
        <v>-1.0832317568819829</v>
      </c>
      <c r="AX21" s="166">
        <f t="shared" si="5"/>
        <v>-0.48877882396789857</v>
      </c>
      <c r="AY21" s="166">
        <f t="shared" si="1"/>
        <v>-0.19743432456809695</v>
      </c>
      <c r="AZ21" s="166">
        <f t="shared" si="2"/>
        <v>0.38370424316857432</v>
      </c>
      <c r="BA21" s="166"/>
      <c r="BB21" s="166">
        <f t="shared" si="6"/>
        <v>-0.92514012773501775</v>
      </c>
      <c r="BC21" s="166">
        <f t="shared" si="7"/>
        <v>-0.30535136944662378</v>
      </c>
      <c r="BD21" s="166">
        <f t="shared" si="8"/>
        <v>-4.3213737826425782E-3</v>
      </c>
      <c r="BE21" s="166">
        <f t="shared" si="9"/>
        <v>0.59773861754531976</v>
      </c>
      <c r="BF21" s="166"/>
      <c r="BG21" s="136">
        <f t="shared" si="10"/>
        <v>-0.15926856335474107</v>
      </c>
      <c r="BH21" s="136">
        <f t="shared" si="11"/>
        <v>-0.34643516556235099</v>
      </c>
      <c r="BI21" s="136">
        <f t="shared" si="12"/>
        <v>0.96342277235067331</v>
      </c>
      <c r="BJ21" s="136">
        <f t="shared" si="13"/>
        <v>0.64122108596810012</v>
      </c>
    </row>
    <row r="22" spans="1:62" ht="13.5" hidden="1" customHeight="1" x14ac:dyDescent="0.3">
      <c r="A22" s="2"/>
      <c r="B22" s="445"/>
      <c r="C22" s="51">
        <f>C21</f>
        <v>69</v>
      </c>
      <c r="D22" s="51" t="s">
        <v>14</v>
      </c>
      <c r="E22" s="52">
        <f>L40+M40*$C22</f>
        <v>10.545500000000001</v>
      </c>
      <c r="F22" s="52">
        <f>L41+M41*$C22</f>
        <v>9.3760999999999992</v>
      </c>
      <c r="G22" s="52">
        <f>L42+M42*$C22</f>
        <v>7.5307999999999993</v>
      </c>
      <c r="H22" s="53">
        <f>L43+M43*$C22</f>
        <v>5.5907</v>
      </c>
      <c r="K22" s="54">
        <v>700</v>
      </c>
      <c r="L22" s="55">
        <v>39.095295100000001</v>
      </c>
      <c r="M22" s="48">
        <v>-0.43707049380000002</v>
      </c>
      <c r="N22" s="56">
        <v>3.4175760939999999E-3</v>
      </c>
      <c r="O22" s="157">
        <v>-1.6198670650000001E-5</v>
      </c>
      <c r="P22" s="2"/>
      <c r="Q22" s="47">
        <v>400</v>
      </c>
      <c r="R22" s="48">
        <v>35.933427129999998</v>
      </c>
      <c r="S22" s="49">
        <v>-9.4975937659999995E-2</v>
      </c>
      <c r="T22" s="50">
        <v>1.5747615449999999E-4</v>
      </c>
      <c r="U22" s="29">
        <v>0</v>
      </c>
      <c r="Y22" s="2"/>
      <c r="Z22" s="2"/>
      <c r="AA22" s="2"/>
      <c r="AB22" s="2"/>
      <c r="AC22" s="2"/>
      <c r="AD22" s="132"/>
      <c r="AE22" s="170"/>
      <c r="AF22" s="170"/>
      <c r="AG22" s="170"/>
      <c r="AH22" s="170"/>
      <c r="AI22" s="170"/>
      <c r="AJ22" s="3">
        <v>54</v>
      </c>
      <c r="AK22" s="3" t="s">
        <v>93</v>
      </c>
      <c r="AL22" s="170">
        <v>0</v>
      </c>
      <c r="AM22" s="170">
        <v>12</v>
      </c>
      <c r="AN22" s="170">
        <v>50</v>
      </c>
      <c r="AO22" s="170">
        <v>100</v>
      </c>
      <c r="AP22" s="170">
        <v>400</v>
      </c>
      <c r="AQ22" s="170"/>
      <c r="AR22" s="66">
        <f t="shared" si="33"/>
        <v>8.3092359761011849</v>
      </c>
      <c r="AS22" s="66">
        <f t="shared" si="34"/>
        <v>32.650548567968507</v>
      </c>
      <c r="AT22" s="66">
        <f t="shared" si="35"/>
        <v>63.816035621169121</v>
      </c>
      <c r="AU22" s="66">
        <f t="shared" si="36"/>
        <v>242.85900861000761</v>
      </c>
      <c r="AV22" s="171"/>
      <c r="AW22" s="166">
        <f t="shared" si="4"/>
        <v>-1.0847602809994523</v>
      </c>
      <c r="AX22" s="166">
        <f t="shared" si="5"/>
        <v>-0.49043089144749769</v>
      </c>
      <c r="AY22" s="166">
        <f t="shared" si="1"/>
        <v>-0.1993915523226325</v>
      </c>
      <c r="AZ22" s="166">
        <f t="shared" si="2"/>
        <v>0.38103284404103854</v>
      </c>
      <c r="BA22" s="166"/>
      <c r="BB22" s="166">
        <f t="shared" si="6"/>
        <v>-0.92514012773501775</v>
      </c>
      <c r="BC22" s="166">
        <f t="shared" si="7"/>
        <v>-0.30535136944662378</v>
      </c>
      <c r="BD22" s="166">
        <f t="shared" si="8"/>
        <v>-4.3213737826425782E-3</v>
      </c>
      <c r="BE22" s="166">
        <f t="shared" si="9"/>
        <v>0.59773861754531976</v>
      </c>
      <c r="BF22" s="166"/>
      <c r="BG22" s="136">
        <f t="shared" si="10"/>
        <v>-0.15926856335474107</v>
      </c>
      <c r="BH22" s="136">
        <f t="shared" si="11"/>
        <v>-0.34838747018213601</v>
      </c>
      <c r="BI22" s="136">
        <f t="shared" si="12"/>
        <v>0.96266462483511583</v>
      </c>
      <c r="BJ22" s="136">
        <f t="shared" si="13"/>
        <v>0.63816758600891965</v>
      </c>
    </row>
    <row r="23" spans="1:62" hidden="1" x14ac:dyDescent="0.3">
      <c r="A23" s="2"/>
      <c r="B23" s="439"/>
      <c r="C23" s="57">
        <f>B5</f>
        <v>69</v>
      </c>
      <c r="D23" s="57" t="s">
        <v>14</v>
      </c>
      <c r="E23" s="58">
        <f>IF(C23&lt;45,"NA",IF(C23&lt;120,E21,IF(C23&lt;=300,E22,"NA")))</f>
        <v>15.352229599999998</v>
      </c>
      <c r="F23" s="58">
        <f>IF(C23&lt;45,"NA",IF(C23&lt;120,F21,IF(C23&lt;=300,F22,"NA")))</f>
        <v>14.014064251099999</v>
      </c>
      <c r="G23" s="58">
        <f>IF(C23&lt;45,"NA",IF(C23&lt;120,G21,IF(C23&lt;=300,G22,"NA")))</f>
        <v>12.16895051</v>
      </c>
      <c r="H23" s="59">
        <f>IF(C23&lt;45,"NA",IF(C23&lt;120,H21,IF(C23&lt;=300,H22,"NA")))</f>
        <v>8.9940667999999988</v>
      </c>
      <c r="P23" s="2"/>
      <c r="Y23" s="2"/>
      <c r="Z23" s="2"/>
      <c r="AA23" s="2"/>
      <c r="AB23" s="2"/>
      <c r="AC23" s="2"/>
      <c r="AD23" s="132"/>
      <c r="AE23" s="170"/>
      <c r="AF23" s="170"/>
      <c r="AG23" s="170"/>
      <c r="AH23" s="170"/>
      <c r="AI23" s="170"/>
      <c r="AJ23" s="3">
        <v>56</v>
      </c>
      <c r="AK23" s="3" t="s">
        <v>93</v>
      </c>
      <c r="AL23" s="170">
        <v>0</v>
      </c>
      <c r="AM23" s="170">
        <v>12</v>
      </c>
      <c r="AN23" s="170">
        <v>50</v>
      </c>
      <c r="AO23" s="170">
        <v>100</v>
      </c>
      <c r="AP23" s="170">
        <v>400</v>
      </c>
      <c r="AQ23" s="170"/>
      <c r="AR23" s="66">
        <f t="shared" si="33"/>
        <v>8.2805842928014961</v>
      </c>
      <c r="AS23" s="66">
        <f t="shared" si="34"/>
        <v>32.528492323378629</v>
      </c>
      <c r="AT23" s="66">
        <f t="shared" si="35"/>
        <v>63.533913145634067</v>
      </c>
      <c r="AU23" s="66">
        <f t="shared" si="36"/>
        <v>241.37751051899724</v>
      </c>
      <c r="AV23" s="171"/>
      <c r="AW23" s="166">
        <f t="shared" si="4"/>
        <v>-1.086260391323054</v>
      </c>
      <c r="AX23" s="166">
        <f t="shared" si="5"/>
        <v>-0.49205743932990537</v>
      </c>
      <c r="AY23" s="166">
        <f t="shared" si="1"/>
        <v>-0.20131576879810231</v>
      </c>
      <c r="AZ23" s="166">
        <f t="shared" si="2"/>
        <v>0.37837543003796098</v>
      </c>
      <c r="BA23" s="166"/>
      <c r="BB23" s="166">
        <f t="shared" si="6"/>
        <v>-0.92514012773501775</v>
      </c>
      <c r="BC23" s="166">
        <f t="shared" si="7"/>
        <v>-0.30535136944662378</v>
      </c>
      <c r="BD23" s="166">
        <f t="shared" si="8"/>
        <v>-4.3213737826425782E-3</v>
      </c>
      <c r="BE23" s="166">
        <f t="shared" si="9"/>
        <v>0.59773861754531976</v>
      </c>
      <c r="BF23" s="166"/>
      <c r="BG23" s="136">
        <f t="shared" si="10"/>
        <v>-0.15926856335474107</v>
      </c>
      <c r="BH23" s="136">
        <f t="shared" si="11"/>
        <v>-0.35031454235327519</v>
      </c>
      <c r="BI23" s="136">
        <f t="shared" si="12"/>
        <v>0.96189835474116947</v>
      </c>
      <c r="BJ23" s="136">
        <f t="shared" si="13"/>
        <v>0.6351636367764909</v>
      </c>
    </row>
    <row r="24" spans="1:62" ht="18" hidden="1" x14ac:dyDescent="0.35">
      <c r="A24" s="2"/>
      <c r="I24" s="60" t="s">
        <v>25</v>
      </c>
      <c r="J24" s="61" t="s">
        <v>19</v>
      </c>
      <c r="K24" s="61" t="s">
        <v>20</v>
      </c>
      <c r="L24" s="61" t="s">
        <v>21</v>
      </c>
      <c r="M24" s="61" t="s">
        <v>27</v>
      </c>
      <c r="N24" s="61" t="s">
        <v>27</v>
      </c>
      <c r="O24" s="61" t="s">
        <v>27</v>
      </c>
      <c r="P24" s="61" t="s">
        <v>27</v>
      </c>
      <c r="Q24" s="60" t="s">
        <v>25</v>
      </c>
      <c r="R24" s="62" t="s">
        <v>19</v>
      </c>
      <c r="S24" s="63" t="s">
        <v>20</v>
      </c>
      <c r="T24" s="63" t="s">
        <v>21</v>
      </c>
      <c r="U24" s="63" t="s">
        <v>27</v>
      </c>
      <c r="Y24" s="2"/>
      <c r="Z24" s="2"/>
      <c r="AA24" s="2"/>
      <c r="AB24" s="2"/>
      <c r="AC24" s="2"/>
      <c r="AD24" s="132"/>
      <c r="AE24" s="170"/>
      <c r="AF24" s="170"/>
      <c r="AG24" s="170"/>
      <c r="AH24" s="170"/>
      <c r="AI24" s="170"/>
      <c r="AJ24" s="3">
        <v>58</v>
      </c>
      <c r="AK24" s="3" t="s">
        <v>93</v>
      </c>
      <c r="AL24" s="170">
        <v>0</v>
      </c>
      <c r="AM24" s="170">
        <v>12</v>
      </c>
      <c r="AN24" s="170">
        <v>50</v>
      </c>
      <c r="AO24" s="170">
        <v>100</v>
      </c>
      <c r="AP24" s="170">
        <v>400</v>
      </c>
      <c r="AQ24" s="170"/>
      <c r="AR24" s="66">
        <f t="shared" si="33"/>
        <v>8.2525730385027352</v>
      </c>
      <c r="AS24" s="66">
        <f t="shared" si="34"/>
        <v>32.408804181725223</v>
      </c>
      <c r="AT24" s="66">
        <f t="shared" si="35"/>
        <v>63.257869591982853</v>
      </c>
      <c r="AU24" s="66">
        <f t="shared" si="36"/>
        <v>239.91281003493867</v>
      </c>
      <c r="AV24" s="171"/>
      <c r="AW24" s="166">
        <f t="shared" si="4"/>
        <v>-1.0877319970870689</v>
      </c>
      <c r="AX24" s="166">
        <f t="shared" si="5"/>
        <v>-0.49365836702871757</v>
      </c>
      <c r="AY24" s="166">
        <f t="shared" si="1"/>
        <v>-0.20320681219133241</v>
      </c>
      <c r="AZ24" s="166">
        <f t="shared" si="2"/>
        <v>0.37573206375983803</v>
      </c>
      <c r="BA24" s="166"/>
      <c r="BB24" s="166">
        <f t="shared" si="6"/>
        <v>-0.92514012773501775</v>
      </c>
      <c r="BC24" s="166">
        <f t="shared" si="7"/>
        <v>-0.30535136944662378</v>
      </c>
      <c r="BD24" s="166">
        <f t="shared" si="8"/>
        <v>-4.3213737826425782E-3</v>
      </c>
      <c r="BE24" s="166">
        <f t="shared" si="9"/>
        <v>0.59773861754531976</v>
      </c>
      <c r="BF24" s="166"/>
      <c r="BG24" s="136">
        <f t="shared" si="10"/>
        <v>-0.15926856335474107</v>
      </c>
      <c r="BH24" s="136">
        <f t="shared" si="11"/>
        <v>-0.35221627813682022</v>
      </c>
      <c r="BI24" s="136">
        <f t="shared" si="12"/>
        <v>0.96112395231848824</v>
      </c>
      <c r="BJ24" s="136">
        <f t="shared" si="13"/>
        <v>0.63220882368153397</v>
      </c>
    </row>
    <row r="25" spans="1:62" ht="18.600000000000001" hidden="1" x14ac:dyDescent="0.4">
      <c r="A25" s="2"/>
      <c r="B25" s="397" t="s">
        <v>17</v>
      </c>
      <c r="C25" s="398"/>
      <c r="D25" s="398"/>
      <c r="E25" s="398"/>
      <c r="F25" s="398"/>
      <c r="G25" s="398"/>
      <c r="H25" s="399"/>
      <c r="I25" s="64" t="s">
        <v>22</v>
      </c>
      <c r="J25" s="61"/>
      <c r="K25" s="61" t="s">
        <v>23</v>
      </c>
      <c r="L25" s="61" t="s">
        <v>24</v>
      </c>
      <c r="M25" s="61" t="s">
        <v>28</v>
      </c>
      <c r="N25" s="61" t="s">
        <v>62</v>
      </c>
      <c r="O25" s="61" t="s">
        <v>63</v>
      </c>
      <c r="P25" s="61" t="s">
        <v>82</v>
      </c>
      <c r="Q25" s="64" t="s">
        <v>22</v>
      </c>
      <c r="R25" s="62"/>
      <c r="S25" s="63" t="s">
        <v>23</v>
      </c>
      <c r="T25" s="63" t="s">
        <v>24</v>
      </c>
      <c r="U25" s="63" t="s">
        <v>28</v>
      </c>
      <c r="Y25" s="2"/>
      <c r="Z25" s="2"/>
      <c r="AA25" s="2"/>
      <c r="AB25" s="2"/>
      <c r="AC25" s="2"/>
      <c r="AD25" s="132"/>
      <c r="AE25" s="170"/>
      <c r="AF25" s="170"/>
      <c r="AG25" s="170"/>
      <c r="AH25" s="170"/>
      <c r="AI25" s="170"/>
      <c r="AJ25" s="3">
        <v>60</v>
      </c>
      <c r="AK25" s="3" t="s">
        <v>93</v>
      </c>
      <c r="AL25" s="170">
        <v>0</v>
      </c>
      <c r="AM25" s="170">
        <v>12</v>
      </c>
      <c r="AN25" s="170">
        <v>50</v>
      </c>
      <c r="AO25" s="170">
        <v>100</v>
      </c>
      <c r="AP25" s="170">
        <v>400</v>
      </c>
      <c r="AQ25" s="170"/>
      <c r="AR25" s="66">
        <f t="shared" si="33"/>
        <v>8.2251980956229858</v>
      </c>
      <c r="AS25" s="66">
        <f t="shared" si="34"/>
        <v>32.29146883722315</v>
      </c>
      <c r="AT25" s="66">
        <f t="shared" si="35"/>
        <v>62.987860037102564</v>
      </c>
      <c r="AU25" s="66">
        <f t="shared" si="36"/>
        <v>238.4647467286901</v>
      </c>
      <c r="AV25" s="171"/>
      <c r="AW25" s="166">
        <f t="shared" si="4"/>
        <v>-1.0891750074889044</v>
      </c>
      <c r="AX25" s="166">
        <f t="shared" si="5"/>
        <v>-0.49523357362790282</v>
      </c>
      <c r="AY25" s="166">
        <f t="shared" si="1"/>
        <v>-0.20506451999484376</v>
      </c>
      <c r="AZ25" s="166">
        <f t="shared" si="2"/>
        <v>0.37310281071367013</v>
      </c>
      <c r="BA25" s="166"/>
      <c r="BB25" s="166">
        <f t="shared" si="6"/>
        <v>-0.92514012773501775</v>
      </c>
      <c r="BC25" s="166">
        <f t="shared" si="7"/>
        <v>-0.30535136944662378</v>
      </c>
      <c r="BD25" s="166">
        <f t="shared" si="8"/>
        <v>-4.3213737826425782E-3</v>
      </c>
      <c r="BE25" s="166">
        <f t="shared" si="9"/>
        <v>0.59773861754531976</v>
      </c>
      <c r="BF25" s="166"/>
      <c r="BG25" s="136">
        <f t="shared" si="10"/>
        <v>-0.15926856335474107</v>
      </c>
      <c r="BH25" s="136">
        <f t="shared" si="11"/>
        <v>-0.35409257259949523</v>
      </c>
      <c r="BI25" s="136">
        <f t="shared" si="12"/>
        <v>0.96034140966987125</v>
      </c>
      <c r="BJ25" s="136">
        <f t="shared" si="13"/>
        <v>0.62930274198221059</v>
      </c>
    </row>
    <row r="26" spans="1:62" hidden="1" x14ac:dyDescent="0.3">
      <c r="A26" s="2"/>
      <c r="B26" s="434" t="s">
        <v>18</v>
      </c>
      <c r="C26" s="65">
        <f>B5</f>
        <v>69</v>
      </c>
      <c r="D26" s="66">
        <f>R19+S19*(C26)+T19*(C26)^2</f>
        <v>34.051420173090804</v>
      </c>
      <c r="E26" s="66">
        <f>R20+S20*(C26)+T20*(C26)^2</f>
        <v>32.449984122174101</v>
      </c>
      <c r="F26" s="66">
        <f>R21+S21*(C26)+T21*(C26)^2</f>
        <v>31.735278368583302</v>
      </c>
      <c r="G26" s="66">
        <f>R22+S22*(C26)+T22*(C26)^2+U22*(C26)^3</f>
        <v>30.129831403034498</v>
      </c>
      <c r="H26" s="67" t="s">
        <v>14</v>
      </c>
      <c r="I26" s="22">
        <v>50</v>
      </c>
      <c r="J26" s="68">
        <v>32.008962449999999</v>
      </c>
      <c r="K26" s="69">
        <v>-5.1561604470000001E-2</v>
      </c>
      <c r="L26" s="69">
        <v>-3.096033389E-3</v>
      </c>
      <c r="M26" s="69">
        <v>1.7205977180000002E-5</v>
      </c>
      <c r="P26" s="2"/>
      <c r="Q26" s="26">
        <v>12</v>
      </c>
      <c r="R26" s="27">
        <v>38.121955309999997</v>
      </c>
      <c r="S26" s="28">
        <v>-7.6736341390000004E-2</v>
      </c>
      <c r="T26" s="29">
        <v>-7.0530895469999994E-5</v>
      </c>
      <c r="U26" s="156">
        <v>1.2535158759999999E-6</v>
      </c>
      <c r="Y26" s="2"/>
      <c r="Z26" s="2"/>
      <c r="AA26" s="2"/>
      <c r="AB26" s="2"/>
      <c r="AC26" s="2"/>
      <c r="AD26" s="132"/>
      <c r="AE26" s="170"/>
      <c r="AF26" s="170"/>
      <c r="AG26" s="170"/>
      <c r="AH26" s="170"/>
      <c r="AI26" s="170"/>
      <c r="AJ26" s="3">
        <v>62</v>
      </c>
      <c r="AK26" s="3" t="s">
        <v>93</v>
      </c>
      <c r="AL26" s="170">
        <v>0</v>
      </c>
      <c r="AM26" s="170">
        <v>12</v>
      </c>
      <c r="AN26" s="170">
        <v>50</v>
      </c>
      <c r="AO26" s="170">
        <v>100</v>
      </c>
      <c r="AP26" s="170">
        <v>400</v>
      </c>
      <c r="AQ26" s="170"/>
      <c r="AR26" s="66">
        <f t="shared" si="33"/>
        <v>8.19845546730288</v>
      </c>
      <c r="AS26" s="66">
        <f t="shared" si="34"/>
        <v>32.176471392541679</v>
      </c>
      <c r="AT26" s="66">
        <f t="shared" si="35"/>
        <v>62.723840907929727</v>
      </c>
      <c r="AU26" s="66">
        <f t="shared" si="36"/>
        <v>237.03316367024257</v>
      </c>
      <c r="AV26" s="171"/>
      <c r="AW26" s="166">
        <f t="shared" si="4"/>
        <v>-1.090589331790252</v>
      </c>
      <c r="AX26" s="166">
        <f t="shared" si="5"/>
        <v>-0.4967829579715462</v>
      </c>
      <c r="AY26" s="166">
        <f t="shared" si="1"/>
        <v>-0.20688872917568718</v>
      </c>
      <c r="AZ26" s="166">
        <f t="shared" si="2"/>
        <v>0.37048773927969869</v>
      </c>
      <c r="BA26" s="166"/>
      <c r="BB26" s="166">
        <f t="shared" si="6"/>
        <v>-0.92514012773501775</v>
      </c>
      <c r="BC26" s="166">
        <f t="shared" si="7"/>
        <v>-0.30535136944662378</v>
      </c>
      <c r="BD26" s="166">
        <f t="shared" si="8"/>
        <v>-4.3213737826425782E-3</v>
      </c>
      <c r="BE26" s="166">
        <f t="shared" si="9"/>
        <v>0.59773861754531976</v>
      </c>
      <c r="BF26" s="166"/>
      <c r="BG26" s="136">
        <f t="shared" si="10"/>
        <v>-0.15926856335474107</v>
      </c>
      <c r="BH26" s="136">
        <f t="shared" si="11"/>
        <v>-0.35594331991444661</v>
      </c>
      <c r="BI26" s="136">
        <f t="shared" si="12"/>
        <v>0.95955072078254477</v>
      </c>
      <c r="BJ26" s="136">
        <f t="shared" si="13"/>
        <v>0.62644499654548103</v>
      </c>
    </row>
    <row r="27" spans="1:62" hidden="1" x14ac:dyDescent="0.3">
      <c r="A27" s="2"/>
      <c r="B27" s="435"/>
      <c r="C27" s="12">
        <f>C26</f>
        <v>69</v>
      </c>
      <c r="D27" s="13">
        <f>IF(C27&lt;25,"NA",IF(C27&lt;81,D26,"NA"))</f>
        <v>34.051420173090804</v>
      </c>
      <c r="E27" s="13">
        <f>IF(C27&lt;25,"NA",IF(C27&lt;81,E26,"NA"))</f>
        <v>32.449984122174101</v>
      </c>
      <c r="F27" s="13">
        <f>IF(C27&lt;25,"NA",IF(C27&lt;81,F26,"NA"))</f>
        <v>31.735278368583302</v>
      </c>
      <c r="G27" s="13">
        <f>IF(C27&lt;25,"NA",IF(C27&lt;81,G26,"NA"))</f>
        <v>30.129831403034498</v>
      </c>
      <c r="H27" s="14" t="s">
        <v>14</v>
      </c>
      <c r="I27" s="33">
        <v>100</v>
      </c>
      <c r="J27" s="70">
        <v>42.846793499999997</v>
      </c>
      <c r="K27" s="71">
        <v>-0.95247491269999995</v>
      </c>
      <c r="L27" s="71">
        <v>2.099823411E-2</v>
      </c>
      <c r="M27" s="71">
        <v>-2.9366059069999999E-4</v>
      </c>
      <c r="N27" s="86">
        <v>1.9564796509999998E-6</v>
      </c>
      <c r="O27" s="86">
        <v>-4.7885319059999996E-9</v>
      </c>
      <c r="P27" s="2"/>
      <c r="Q27" s="26">
        <v>50</v>
      </c>
      <c r="R27" s="27">
        <v>36.289955640000002</v>
      </c>
      <c r="S27" s="28">
        <v>-9.4482599269999995E-2</v>
      </c>
      <c r="T27" s="29">
        <v>2.0438564179999999E-4</v>
      </c>
      <c r="Y27" s="2"/>
      <c r="Z27" s="2"/>
      <c r="AA27" s="2"/>
      <c r="AB27" s="2"/>
      <c r="AC27" s="2"/>
      <c r="AD27" s="132"/>
      <c r="AE27" s="170"/>
      <c r="AF27" s="170"/>
      <c r="AG27" s="170"/>
      <c r="AH27" s="170"/>
      <c r="AI27" s="170"/>
      <c r="AJ27" s="3">
        <v>64</v>
      </c>
      <c r="AK27" s="3" t="s">
        <v>93</v>
      </c>
      <c r="AL27" s="170">
        <v>0</v>
      </c>
      <c r="AM27" s="170">
        <v>12</v>
      </c>
      <c r="AN27" s="170">
        <v>50</v>
      </c>
      <c r="AO27" s="170">
        <v>100</v>
      </c>
      <c r="AP27" s="170">
        <v>400</v>
      </c>
      <c r="AQ27" s="170"/>
      <c r="AR27" s="66">
        <f t="shared" si="33"/>
        <v>8.1723412748768034</v>
      </c>
      <c r="AS27" s="66">
        <f t="shared" si="34"/>
        <v>32.063797350207423</v>
      </c>
      <c r="AT27" s="66">
        <f t="shared" si="35"/>
        <v>62.465769948849804</v>
      </c>
      <c r="AU27" s="66">
        <f t="shared" si="36"/>
        <v>235.61790734645464</v>
      </c>
      <c r="AV27" s="171"/>
      <c r="AW27" s="166">
        <f t="shared" si="4"/>
        <v>-1.0919748794173036</v>
      </c>
      <c r="AX27" s="166">
        <f t="shared" si="5"/>
        <v>-0.49830641875326598</v>
      </c>
      <c r="AY27" s="166">
        <f t="shared" si="1"/>
        <v>-0.20867927635387981</v>
      </c>
      <c r="AZ27" s="166">
        <f t="shared" si="2"/>
        <v>0.36788692067795875</v>
      </c>
      <c r="BA27" s="166"/>
      <c r="BB27" s="166">
        <f t="shared" si="6"/>
        <v>-0.92514012773501775</v>
      </c>
      <c r="BC27" s="166">
        <f t="shared" si="7"/>
        <v>-0.30535136944662378</v>
      </c>
      <c r="BD27" s="166">
        <f t="shared" si="8"/>
        <v>-4.3213737826425782E-3</v>
      </c>
      <c r="BE27" s="166">
        <f t="shared" si="9"/>
        <v>0.59773861754531976</v>
      </c>
      <c r="BF27" s="166"/>
      <c r="BG27" s="136">
        <f t="shared" si="10"/>
        <v>-0.15926856335474107</v>
      </c>
      <c r="BH27" s="136">
        <f t="shared" si="11"/>
        <v>-0.35776841346162269</v>
      </c>
      <c r="BI27" s="136">
        <f t="shared" si="12"/>
        <v>0.9587518815587428</v>
      </c>
      <c r="BJ27" s="136">
        <f t="shared" si="13"/>
        <v>0.62363520161620423</v>
      </c>
    </row>
    <row r="28" spans="1:62" hidden="1" x14ac:dyDescent="0.3">
      <c r="A28" s="2"/>
      <c r="B28" s="436" t="s">
        <v>25</v>
      </c>
      <c r="C28" s="19">
        <f>B5</f>
        <v>69</v>
      </c>
      <c r="D28" s="20">
        <f>R26+S26*(C28)+T26*(C28)^2+U26*(C28)^3</f>
        <v>32.903141407666212</v>
      </c>
      <c r="E28" s="20">
        <f>R27+S27*(C28)+T27*(C28)^2</f>
        <v>30.743736330979804</v>
      </c>
      <c r="F28" s="20">
        <f>R28+S28*(C28)+T28*(C28)^2</f>
        <v>28.879600997068</v>
      </c>
      <c r="G28" s="20">
        <f>R29+S29*(C28)+T29*(C28)^2</f>
        <v>26.201908889324098</v>
      </c>
      <c r="H28" s="21" t="s">
        <v>14</v>
      </c>
      <c r="I28" s="44">
        <v>400</v>
      </c>
      <c r="J28" s="158">
        <v>47.345950649999999</v>
      </c>
      <c r="K28" s="159">
        <v>-1.5287339520000001</v>
      </c>
      <c r="L28" s="159">
        <v>4.0686569999999998E-2</v>
      </c>
      <c r="M28" s="159">
        <v>-6.4303825950000001E-4</v>
      </c>
      <c r="N28" s="159">
        <v>5.3513928050000002E-6</v>
      </c>
      <c r="O28" s="159">
        <v>-2.158603094E-8</v>
      </c>
      <c r="P28" s="159">
        <v>3.2850220479999997E-11</v>
      </c>
      <c r="Q28" s="37">
        <v>100</v>
      </c>
      <c r="R28" s="38">
        <v>35.107030330000001</v>
      </c>
      <c r="S28" s="39">
        <v>-0.10782350340000001</v>
      </c>
      <c r="T28" s="72">
        <v>2.5465078799999998E-4</v>
      </c>
      <c r="Y28" s="2"/>
      <c r="Z28" s="2"/>
      <c r="AA28" s="2"/>
      <c r="AB28" s="2"/>
      <c r="AC28" s="2"/>
      <c r="AD28" s="132"/>
      <c r="AE28" s="170"/>
      <c r="AF28" s="170"/>
      <c r="AG28" s="170"/>
      <c r="AH28" s="170"/>
      <c r="AI28" s="170"/>
      <c r="AJ28" s="3">
        <v>66</v>
      </c>
      <c r="AK28" s="3" t="s">
        <v>93</v>
      </c>
      <c r="AL28" s="170">
        <v>0</v>
      </c>
      <c r="AM28" s="170">
        <v>12</v>
      </c>
      <c r="AN28" s="170">
        <v>50</v>
      </c>
      <c r="AO28" s="170">
        <v>100</v>
      </c>
      <c r="AP28" s="170">
        <v>400</v>
      </c>
      <c r="AQ28" s="170"/>
      <c r="AR28" s="66">
        <f t="shared" si="33"/>
        <v>8.1468517554304185</v>
      </c>
      <c r="AS28" s="66">
        <f t="shared" si="34"/>
        <v>31.953432604276355</v>
      </c>
      <c r="AT28" s="66">
        <f t="shared" si="35"/>
        <v>62.213606190244896</v>
      </c>
      <c r="AU28" s="66">
        <f t="shared" si="36"/>
        <v>234.21882758109879</v>
      </c>
      <c r="AV28" s="171"/>
      <c r="AW28" s="166">
        <f t="shared" si="4"/>
        <v>-1.0933315600599831</v>
      </c>
      <c r="AX28" s="166">
        <f t="shared" si="5"/>
        <v>-0.49980385460527377</v>
      </c>
      <c r="AY28" s="166">
        <f t="shared" si="1"/>
        <v>-0.21043599798035961</v>
      </c>
      <c r="AZ28" s="166">
        <f t="shared" si="2"/>
        <v>0.36530042893461173</v>
      </c>
      <c r="BA28" s="166"/>
      <c r="BB28" s="166">
        <f t="shared" si="6"/>
        <v>-0.92514012773501775</v>
      </c>
      <c r="BC28" s="166">
        <f t="shared" si="7"/>
        <v>-0.30535136944662378</v>
      </c>
      <c r="BD28" s="166">
        <f t="shared" si="8"/>
        <v>-4.3213737826425782E-3</v>
      </c>
      <c r="BE28" s="166">
        <f t="shared" si="9"/>
        <v>0.59773861754531976</v>
      </c>
      <c r="BF28" s="166"/>
      <c r="BG28" s="136">
        <f t="shared" si="10"/>
        <v>-0.15926856335474107</v>
      </c>
      <c r="BH28" s="136">
        <f t="shared" si="11"/>
        <v>-0.3595677459277512</v>
      </c>
      <c r="BI28" s="136">
        <f t="shared" si="12"/>
        <v>0.95794488984553849</v>
      </c>
      <c r="BJ28" s="136">
        <f t="shared" si="13"/>
        <v>0.62087298059374518</v>
      </c>
    </row>
    <row r="29" spans="1:62" hidden="1" x14ac:dyDescent="0.3">
      <c r="A29" s="2"/>
      <c r="B29" s="437"/>
      <c r="C29" s="30">
        <f>C28</f>
        <v>69</v>
      </c>
      <c r="D29" s="31">
        <f>IF(C29&lt;35,"NA",IF(C29&lt;=131,D28,"NA"))</f>
        <v>32.903141407666212</v>
      </c>
      <c r="E29" s="31">
        <f>IF(C29&lt;35,"NA",IF(C29&lt;=131,E28,"NA"))</f>
        <v>30.743736330979804</v>
      </c>
      <c r="F29" s="31">
        <f>IF(C29&lt;35,"NA",IF(C29&lt;=131,F28,"NA"))</f>
        <v>28.879600997068</v>
      </c>
      <c r="G29" s="31">
        <f>IF(C29&lt;35,"NA",IF(C29&lt;=131,G28,"NA"))</f>
        <v>26.201908889324098</v>
      </c>
      <c r="H29" s="32" t="s">
        <v>14</v>
      </c>
      <c r="I29" s="54">
        <v>700</v>
      </c>
      <c r="J29" s="74">
        <v>38.358431019999998</v>
      </c>
      <c r="K29" s="75">
        <v>-0.95417449909999996</v>
      </c>
      <c r="L29" s="75">
        <v>1.9693885059999999E-2</v>
      </c>
      <c r="M29" s="75">
        <v>-2.6045865530000001E-4</v>
      </c>
      <c r="N29" s="86">
        <v>1.7128802039999999E-6</v>
      </c>
      <c r="O29" s="86">
        <v>-4.2209583000000002E-9</v>
      </c>
      <c r="P29" s="2"/>
      <c r="Q29" s="47">
        <v>400</v>
      </c>
      <c r="R29" s="48">
        <v>34.30820121</v>
      </c>
      <c r="S29" s="49">
        <v>-0.14648675559999999</v>
      </c>
      <c r="T29" s="73">
        <v>4.203515681E-4</v>
      </c>
      <c r="Y29" s="2"/>
      <c r="Z29" s="2"/>
      <c r="AA29" s="2"/>
      <c r="AB29" s="2"/>
      <c r="AC29" s="2"/>
      <c r="AD29" s="132"/>
      <c r="AE29" s="170"/>
      <c r="AF29" s="170"/>
      <c r="AG29" s="170"/>
      <c r="AH29" s="170"/>
      <c r="AI29" s="170"/>
      <c r="AJ29" s="3">
        <v>68</v>
      </c>
      <c r="AK29" s="3" t="s">
        <v>93</v>
      </c>
      <c r="AL29" s="170">
        <v>0</v>
      </c>
      <c r="AM29" s="170">
        <v>12</v>
      </c>
      <c r="AN29" s="170">
        <v>50</v>
      </c>
      <c r="AO29" s="170">
        <v>100</v>
      </c>
      <c r="AP29" s="170">
        <v>400</v>
      </c>
      <c r="AQ29" s="170"/>
      <c r="AR29" s="66">
        <f t="shared" si="33"/>
        <v>8.1219832594419632</v>
      </c>
      <c r="AS29" s="66">
        <f t="shared" si="34"/>
        <v>31.845363432267082</v>
      </c>
      <c r="AT29" s="66">
        <f t="shared" si="35"/>
        <v>61.967309918151436</v>
      </c>
      <c r="AU29" s="66">
        <f t="shared" si="36"/>
        <v>232.83577745714155</v>
      </c>
      <c r="AV29" s="171"/>
      <c r="AW29" s="166">
        <f t="shared" si="4"/>
        <v>-1.0946592837701501</v>
      </c>
      <c r="AX29" s="166">
        <f t="shared" si="5"/>
        <v>-0.50127516418704232</v>
      </c>
      <c r="AY29" s="166">
        <f t="shared" si="1"/>
        <v>-0.21215873051437059</v>
      </c>
      <c r="AZ29" s="166">
        <f t="shared" si="2"/>
        <v>0.36272834084801775</v>
      </c>
      <c r="BA29" s="166"/>
      <c r="BB29" s="166">
        <f t="shared" si="6"/>
        <v>-0.92514012773501775</v>
      </c>
      <c r="BC29" s="166">
        <f t="shared" si="7"/>
        <v>-0.30535136944662378</v>
      </c>
      <c r="BD29" s="166">
        <f t="shared" si="8"/>
        <v>-4.3213737826425782E-3</v>
      </c>
      <c r="BE29" s="166">
        <f t="shared" si="9"/>
        <v>0.59773861754531976</v>
      </c>
      <c r="BF29" s="166"/>
      <c r="BG29" s="136">
        <f t="shared" si="10"/>
        <v>-0.15926856335474107</v>
      </c>
      <c r="BH29" s="136">
        <f t="shared" si="11"/>
        <v>-0.36134120940588632</v>
      </c>
      <c r="BI29" s="136">
        <f t="shared" si="12"/>
        <v>0.9571297454638894</v>
      </c>
      <c r="BJ29" s="136">
        <f t="shared" si="13"/>
        <v>0.61815796581585936</v>
      </c>
    </row>
    <row r="30" spans="1:62" hidden="1" x14ac:dyDescent="0.3">
      <c r="A30" s="2"/>
      <c r="B30" s="438" t="s">
        <v>26</v>
      </c>
      <c r="C30" s="51">
        <f>B5</f>
        <v>69</v>
      </c>
      <c r="D30" s="52">
        <f>R33+S33*(C30)+T33*(C30)^2+U33*(C30)^3+V33*(C30)^4+W33*(C30)^5</f>
        <v>31.246317131085448</v>
      </c>
      <c r="E30" s="52">
        <f>R34+S34*(C30)+T34*(C30)^2+U34*(C30)^3+V34*(C30)^4+W34*(C30)^5</f>
        <v>27.449602545614116</v>
      </c>
      <c r="F30" s="52">
        <f>R35+S35*(C30)+T35*(C30)^2+U35*(C30)^3+V35*(C30)^4+W35*(C30)^5</f>
        <v>24.521448234644669</v>
      </c>
      <c r="G30" s="52">
        <f>R36+S36*(C30)+T36*(C30)^2+U36*(C30)^3+V36*(C30)^4+W36*(C30)^5</f>
        <v>21.768293254271928</v>
      </c>
      <c r="H30" s="53" t="s">
        <v>14</v>
      </c>
      <c r="K30" s="76" t="s">
        <v>29</v>
      </c>
      <c r="L30" s="77"/>
      <c r="M30" s="77"/>
      <c r="N30" s="77"/>
      <c r="O30" s="77"/>
      <c r="P30" s="2"/>
      <c r="Y30" s="2"/>
      <c r="Z30" s="2"/>
      <c r="AA30" s="2"/>
      <c r="AB30" s="2"/>
      <c r="AC30" s="2"/>
      <c r="AD30" s="132"/>
      <c r="AE30" s="170"/>
      <c r="AF30" s="170"/>
      <c r="AG30" s="170"/>
      <c r="AH30" s="170"/>
      <c r="AI30" s="170"/>
      <c r="AJ30" s="3">
        <v>70</v>
      </c>
      <c r="AK30" s="3" t="s">
        <v>93</v>
      </c>
      <c r="AL30" s="170">
        <v>0</v>
      </c>
      <c r="AM30" s="170">
        <v>12</v>
      </c>
      <c r="AN30" s="170">
        <v>50</v>
      </c>
      <c r="AO30" s="170">
        <v>100</v>
      </c>
      <c r="AP30" s="170">
        <v>400</v>
      </c>
      <c r="AQ30" s="170"/>
      <c r="AR30" s="66">
        <f t="shared" si="33"/>
        <v>8.09773224850486</v>
      </c>
      <c r="AS30" s="66">
        <f t="shared" si="34"/>
        <v>31.739576487347804</v>
      </c>
      <c r="AT30" s="66">
        <f t="shared" si="35"/>
        <v>61.726842644991486</v>
      </c>
      <c r="AU30" s="66">
        <f t="shared" si="36"/>
        <v>231.46861324118854</v>
      </c>
      <c r="AV30" s="171"/>
      <c r="AW30" s="166">
        <f t="shared" si="4"/>
        <v>-1.09595796105873</v>
      </c>
      <c r="AX30" s="166">
        <f t="shared" si="5"/>
        <v>-0.50272024627354772</v>
      </c>
      <c r="AY30" s="166">
        <f t="shared" si="1"/>
        <v>-0.21384731060018086</v>
      </c>
      <c r="AZ30" s="166">
        <f t="shared" si="2"/>
        <v>0.36017073595451787</v>
      </c>
      <c r="BA30" s="166"/>
      <c r="BB30" s="166">
        <f t="shared" si="6"/>
        <v>-0.92514012773501775</v>
      </c>
      <c r="BC30" s="166">
        <f t="shared" si="7"/>
        <v>-0.30535136944662378</v>
      </c>
      <c r="BD30" s="166">
        <f t="shared" si="8"/>
        <v>-4.3213737826425782E-3</v>
      </c>
      <c r="BE30" s="166">
        <f t="shared" si="9"/>
        <v>0.59773861754531976</v>
      </c>
      <c r="BF30" s="166"/>
      <c r="BG30" s="136">
        <f t="shared" si="10"/>
        <v>-0.15926856335474107</v>
      </c>
      <c r="BH30" s="136">
        <f t="shared" si="11"/>
        <v>-0.36308869549448514</v>
      </c>
      <c r="BI30" s="136">
        <f t="shared" si="12"/>
        <v>0.95630645023684779</v>
      </c>
      <c r="BJ30" s="136">
        <f t="shared" si="13"/>
        <v>0.61548979834964257</v>
      </c>
    </row>
    <row r="31" spans="1:62" ht="18" hidden="1" x14ac:dyDescent="0.35">
      <c r="A31" s="2"/>
      <c r="B31" s="439"/>
      <c r="C31" s="57">
        <f>C30</f>
        <v>69</v>
      </c>
      <c r="D31" s="58">
        <f>IF(C31&lt;45,"NA",IF(C31&lt;=300,D30,"NA"))</f>
        <v>31.246317131085448</v>
      </c>
      <c r="E31" s="58">
        <f>IF(C31&lt;45,"NA",IF(C31&lt;=300,E30,"NA"))</f>
        <v>27.449602545614116</v>
      </c>
      <c r="F31" s="58">
        <f>IF(C31&lt;45,"NA",IF(C31&lt;=300,F30,"NA"))</f>
        <v>24.521448234644669</v>
      </c>
      <c r="G31" s="58">
        <f>IF(C31&lt;45,"NA",IF(C31&lt;=300,G30,"NA"))</f>
        <v>21.768293254271928</v>
      </c>
      <c r="H31" s="59" t="s">
        <v>14</v>
      </c>
      <c r="K31" s="78" t="s">
        <v>26</v>
      </c>
      <c r="L31" s="79" t="s">
        <v>19</v>
      </c>
      <c r="M31" s="79" t="s">
        <v>20</v>
      </c>
      <c r="N31" s="79" t="s">
        <v>21</v>
      </c>
      <c r="O31" s="79" t="s">
        <v>27</v>
      </c>
      <c r="P31" s="2"/>
      <c r="Q31" s="78" t="s">
        <v>26</v>
      </c>
      <c r="R31" s="80" t="s">
        <v>19</v>
      </c>
      <c r="S31" s="81" t="s">
        <v>20</v>
      </c>
      <c r="T31" s="81" t="s">
        <v>21</v>
      </c>
      <c r="U31" s="81" t="s">
        <v>27</v>
      </c>
      <c r="V31" s="81" t="s">
        <v>64</v>
      </c>
      <c r="W31" s="81" t="s">
        <v>65</v>
      </c>
      <c r="Y31" s="2"/>
      <c r="Z31" s="2"/>
      <c r="AA31" s="2"/>
      <c r="AB31" s="2"/>
      <c r="AC31" s="2"/>
      <c r="AD31" s="132"/>
      <c r="AE31" s="170"/>
      <c r="AF31" s="170"/>
      <c r="AG31" s="170"/>
      <c r="AH31" s="170"/>
      <c r="AI31" s="170"/>
      <c r="AJ31" s="3">
        <v>72</v>
      </c>
      <c r="AK31" s="3" t="s">
        <v>93</v>
      </c>
      <c r="AL31" s="170">
        <v>0</v>
      </c>
      <c r="AM31" s="170">
        <v>12</v>
      </c>
      <c r="AN31" s="170">
        <v>50</v>
      </c>
      <c r="AO31" s="170">
        <v>100</v>
      </c>
      <c r="AP31" s="170">
        <v>400</v>
      </c>
      <c r="AQ31" s="170"/>
      <c r="AR31" s="66">
        <f t="shared" si="33"/>
        <v>8.0740952931293162</v>
      </c>
      <c r="AS31" s="66">
        <f t="shared" si="34"/>
        <v>31.636058790769727</v>
      </c>
      <c r="AT31" s="66">
        <f t="shared" si="35"/>
        <v>61.492167081342586</v>
      </c>
      <c r="AU31" s="66">
        <f t="shared" si="36"/>
        <v>230.1171943100199</v>
      </c>
      <c r="AV31" s="171"/>
      <c r="AW31" s="166">
        <f t="shared" si="4"/>
        <v>-1.0972275029917253</v>
      </c>
      <c r="AX31" s="166">
        <f t="shared" si="5"/>
        <v>-0.50413899984304678</v>
      </c>
      <c r="AY31" s="166">
        <f t="shared" si="1"/>
        <v>-0.21550157524303742</v>
      </c>
      <c r="AZ31" s="166">
        <f t="shared" si="2"/>
        <v>0.35762769649388326</v>
      </c>
      <c r="BA31" s="166"/>
      <c r="BB31" s="166">
        <f t="shared" si="6"/>
        <v>-0.92514012773501775</v>
      </c>
      <c r="BC31" s="166">
        <f t="shared" si="7"/>
        <v>-0.30535136944662378</v>
      </c>
      <c r="BD31" s="166">
        <f t="shared" si="8"/>
        <v>-4.3213737826425782E-3</v>
      </c>
      <c r="BE31" s="166">
        <f t="shared" si="9"/>
        <v>0.59773861754531976</v>
      </c>
      <c r="BF31" s="166"/>
      <c r="BG31" s="136">
        <f t="shared" si="10"/>
        <v>-0.15926856335474107</v>
      </c>
      <c r="BH31" s="136">
        <f t="shared" si="11"/>
        <v>-0.36481009539598153</v>
      </c>
      <c r="BI31" s="136">
        <f t="shared" si="12"/>
        <v>0.95547500801689522</v>
      </c>
      <c r="BJ31" s="136">
        <f t="shared" si="13"/>
        <v>0.61286812778933331</v>
      </c>
    </row>
    <row r="32" spans="1:62" ht="18" hidden="1" x14ac:dyDescent="0.4">
      <c r="A32" s="2"/>
      <c r="K32" s="82" t="s">
        <v>22</v>
      </c>
      <c r="L32" s="79"/>
      <c r="M32" s="79" t="s">
        <v>23</v>
      </c>
      <c r="N32" s="79" t="s">
        <v>24</v>
      </c>
      <c r="O32" s="79" t="s">
        <v>28</v>
      </c>
      <c r="P32" s="2"/>
      <c r="Q32" s="82" t="s">
        <v>22</v>
      </c>
      <c r="R32" s="80"/>
      <c r="S32" s="81" t="s">
        <v>23</v>
      </c>
      <c r="T32" s="81" t="s">
        <v>24</v>
      </c>
      <c r="U32" s="81" t="s">
        <v>28</v>
      </c>
      <c r="V32" s="81" t="s">
        <v>62</v>
      </c>
      <c r="W32" s="81" t="s">
        <v>63</v>
      </c>
      <c r="Y32" s="2"/>
      <c r="Z32" s="2"/>
      <c r="AA32" s="2"/>
      <c r="AB32" s="2"/>
      <c r="AC32" s="2"/>
      <c r="AD32" s="132"/>
      <c r="AE32" s="170"/>
      <c r="AF32" s="170"/>
      <c r="AG32" s="170"/>
      <c r="AH32" s="170"/>
      <c r="AI32" s="170"/>
      <c r="AJ32" s="3">
        <v>74</v>
      </c>
      <c r="AK32" s="3" t="s">
        <v>93</v>
      </c>
      <c r="AL32" s="170">
        <v>0</v>
      </c>
      <c r="AM32" s="170">
        <v>12</v>
      </c>
      <c r="AN32" s="170">
        <v>50</v>
      </c>
      <c r="AO32" s="170">
        <v>100</v>
      </c>
      <c r="AP32" s="170">
        <v>400</v>
      </c>
      <c r="AQ32" s="170"/>
      <c r="AR32" s="66">
        <f t="shared" si="33"/>
        <v>8.0510690706206631</v>
      </c>
      <c r="AS32" s="66">
        <f t="shared" si="34"/>
        <v>31.53479772453985</v>
      </c>
      <c r="AT32" s="66">
        <f t="shared" si="35"/>
        <v>61.263247108712996</v>
      </c>
      <c r="AU32" s="66">
        <f t="shared" si="36"/>
        <v>228.78138307915336</v>
      </c>
      <c r="AV32" s="171"/>
      <c r="AW32" s="166">
        <f t="shared" si="4"/>
        <v>-1.0984678212850585</v>
      </c>
      <c r="AX32" s="166">
        <f t="shared" si="5"/>
        <v>-0.5055313241643522</v>
      </c>
      <c r="AY32" s="166">
        <f t="shared" si="1"/>
        <v>-0.21712136198425008</v>
      </c>
      <c r="AZ32" s="166">
        <f t="shared" si="2"/>
        <v>0.35509930737440371</v>
      </c>
      <c r="BA32" s="166"/>
      <c r="BB32" s="166">
        <f t="shared" si="6"/>
        <v>-0.92514012773501775</v>
      </c>
      <c r="BC32" s="166">
        <f t="shared" si="7"/>
        <v>-0.30535136944662378</v>
      </c>
      <c r="BD32" s="166">
        <f t="shared" si="8"/>
        <v>-4.3213737826425782E-3</v>
      </c>
      <c r="BE32" s="166">
        <f t="shared" si="9"/>
        <v>0.59773861754531976</v>
      </c>
      <c r="BF32" s="166"/>
      <c r="BG32" s="136">
        <f t="shared" si="10"/>
        <v>-0.15926856335474107</v>
      </c>
      <c r="BH32" s="136">
        <f t="shared" si="11"/>
        <v>-0.36650530001481424</v>
      </c>
      <c r="BI32" s="136">
        <f t="shared" si="12"/>
        <v>0.95463542471235785</v>
      </c>
      <c r="BJ32" s="136">
        <f t="shared" si="13"/>
        <v>0.61029261206077068</v>
      </c>
    </row>
    <row r="33" spans="1:62" ht="17.25" hidden="1" customHeight="1" x14ac:dyDescent="0.3">
      <c r="A33" s="2"/>
      <c r="K33" s="83">
        <v>50</v>
      </c>
      <c r="L33" s="84">
        <v>33.44</v>
      </c>
      <c r="M33" s="85">
        <v>-0.31</v>
      </c>
      <c r="N33" s="86">
        <v>3.8999999999999999E-4</v>
      </c>
      <c r="O33" s="87">
        <v>4.4000000000000002E-6</v>
      </c>
      <c r="P33" s="2"/>
      <c r="Q33" s="88">
        <v>12</v>
      </c>
      <c r="R33" s="89">
        <v>38.142353880000002</v>
      </c>
      <c r="S33" s="28">
        <v>-0.11425207749999999</v>
      </c>
      <c r="T33" s="29">
        <v>2.238184592E-4</v>
      </c>
      <c r="U33" s="90">
        <v>-2.381763838E-7</v>
      </c>
      <c r="V33" s="90">
        <v>0</v>
      </c>
      <c r="W33" s="90">
        <v>0</v>
      </c>
      <c r="Y33" s="2"/>
      <c r="Z33" s="2"/>
      <c r="AA33" s="2"/>
      <c r="AB33" s="2"/>
      <c r="AC33" s="2"/>
      <c r="AD33" s="132"/>
      <c r="AE33" s="170"/>
      <c r="AF33" s="170"/>
      <c r="AG33" s="170"/>
      <c r="AH33" s="170"/>
      <c r="AI33" s="170"/>
      <c r="AJ33" s="3">
        <v>76</v>
      </c>
      <c r="AK33" s="3" t="s">
        <v>93</v>
      </c>
      <c r="AL33" s="170">
        <v>0</v>
      </c>
      <c r="AM33" s="170">
        <v>12</v>
      </c>
      <c r="AN33" s="170">
        <v>50</v>
      </c>
      <c r="AO33" s="170">
        <v>100</v>
      </c>
      <c r="AP33" s="170">
        <v>400</v>
      </c>
      <c r="AQ33" s="170"/>
      <c r="AR33" s="66">
        <f t="shared" si="33"/>
        <v>8.0286503630322255</v>
      </c>
      <c r="AS33" s="66">
        <f t="shared" si="34"/>
        <v>31.43578102432663</v>
      </c>
      <c r="AT33" s="66">
        <f t="shared" si="35"/>
        <v>61.040047753290303</v>
      </c>
      <c r="AU33" s="66">
        <f t="shared" si="36"/>
        <v>227.46104493336671</v>
      </c>
      <c r="AV33" s="171"/>
      <c r="AW33" s="166">
        <f t="shared" si="4"/>
        <v>-1.0996788283982002</v>
      </c>
      <c r="AX33" s="166">
        <f t="shared" si="5"/>
        <v>-0.50689711888356548</v>
      </c>
      <c r="AY33" s="166">
        <f t="shared" si="1"/>
        <v>-0.21870650907529496</v>
      </c>
      <c r="AZ33" s="166">
        <f t="shared" si="2"/>
        <v>0.35258565613757697</v>
      </c>
      <c r="BA33" s="166"/>
      <c r="BB33" s="166">
        <f t="shared" si="6"/>
        <v>-0.92514012773501775</v>
      </c>
      <c r="BC33" s="166">
        <f t="shared" si="7"/>
        <v>-0.30535136944662378</v>
      </c>
      <c r="BD33" s="166">
        <f t="shared" si="8"/>
        <v>-4.3213737826425782E-3</v>
      </c>
      <c r="BE33" s="166">
        <f t="shared" si="9"/>
        <v>0.59773861754531976</v>
      </c>
      <c r="BF33" s="166"/>
      <c r="BG33" s="136">
        <f t="shared" si="10"/>
        <v>-0.15926856335474107</v>
      </c>
      <c r="BH33" s="136">
        <f t="shared" si="11"/>
        <v>-0.36817420005487089</v>
      </c>
      <c r="BI33" s="136">
        <f t="shared" si="12"/>
        <v>0.95378770831285908</v>
      </c>
      <c r="BJ33" s="136">
        <f t="shared" si="13"/>
        <v>0.60776291723231302</v>
      </c>
    </row>
    <row r="34" spans="1:62" hidden="1" x14ac:dyDescent="0.3">
      <c r="A34" s="2"/>
      <c r="C34" s="413" t="s">
        <v>78</v>
      </c>
      <c r="D34" s="414"/>
      <c r="E34" s="414"/>
      <c r="G34" s="413" t="s">
        <v>77</v>
      </c>
      <c r="H34" s="414"/>
      <c r="I34" s="414"/>
      <c r="K34" s="83">
        <v>100</v>
      </c>
      <c r="L34" s="84">
        <v>30.65</v>
      </c>
      <c r="M34" s="85">
        <v>-0.25040000000000001</v>
      </c>
      <c r="N34" s="86">
        <v>-4.2053000000000001E-4</v>
      </c>
      <c r="O34" s="87">
        <v>8.0478999999999996E-6</v>
      </c>
      <c r="P34" s="2"/>
      <c r="Q34" s="88">
        <v>50</v>
      </c>
      <c r="R34" s="89">
        <v>37.259863250000002</v>
      </c>
      <c r="S34" s="28">
        <v>-0.24065530630000001</v>
      </c>
      <c r="T34" s="29">
        <v>2.0315981500000002E-3</v>
      </c>
      <c r="U34" s="90">
        <v>-1.0439104369999999E-5</v>
      </c>
      <c r="V34" s="90">
        <v>2.6104614510000001E-8</v>
      </c>
      <c r="W34" s="90">
        <v>-2.5485473889999999E-11</v>
      </c>
      <c r="Y34" s="2"/>
      <c r="Z34" s="2"/>
      <c r="AA34" s="2"/>
      <c r="AB34" s="2"/>
      <c r="AC34" s="2"/>
      <c r="AD34" s="132"/>
      <c r="AE34" s="170"/>
      <c r="AF34" s="170"/>
      <c r="AG34" s="170"/>
      <c r="AH34" s="170"/>
      <c r="AI34" s="170"/>
      <c r="AJ34" s="3">
        <v>78</v>
      </c>
      <c r="AK34" s="3" t="s">
        <v>93</v>
      </c>
      <c r="AL34" s="170">
        <v>0</v>
      </c>
      <c r="AM34" s="170">
        <v>12</v>
      </c>
      <c r="AN34" s="170">
        <v>50</v>
      </c>
      <c r="AO34" s="170">
        <v>100</v>
      </c>
      <c r="AP34" s="170">
        <v>400</v>
      </c>
      <c r="AQ34" s="170"/>
      <c r="AR34" s="66">
        <f t="shared" si="33"/>
        <v>8.0068360551908082</v>
      </c>
      <c r="AS34" s="66">
        <f t="shared" si="34"/>
        <v>31.338996772591887</v>
      </c>
      <c r="AT34" s="66">
        <f t="shared" si="35"/>
        <v>60.822535160633386</v>
      </c>
      <c r="AU34" s="66">
        <f t="shared" si="36"/>
        <v>226.15604815911948</v>
      </c>
      <c r="AV34" s="171"/>
      <c r="AW34" s="166">
        <f t="shared" si="4"/>
        <v>-1.1008604376265276</v>
      </c>
      <c r="AX34" s="166">
        <f t="shared" si="5"/>
        <v>-0.50823628411022248</v>
      </c>
      <c r="AY34" s="166">
        <f t="shared" si="1"/>
        <v>-0.22025685565082276</v>
      </c>
      <c r="AZ34" s="166">
        <f t="shared" si="2"/>
        <v>0.35008683292236753</v>
      </c>
      <c r="BA34" s="166"/>
      <c r="BB34" s="166">
        <f t="shared" si="6"/>
        <v>-0.92514012773501775</v>
      </c>
      <c r="BC34" s="166">
        <f t="shared" si="7"/>
        <v>-0.30535136944662378</v>
      </c>
      <c r="BD34" s="166">
        <f t="shared" si="8"/>
        <v>-4.3213737826425782E-3</v>
      </c>
      <c r="BE34" s="166">
        <f t="shared" si="9"/>
        <v>0.59773861754531976</v>
      </c>
      <c r="BF34" s="166"/>
      <c r="BG34" s="136">
        <f t="shared" si="10"/>
        <v>-0.15926856335474107</v>
      </c>
      <c r="BH34" s="136">
        <f t="shared" si="11"/>
        <v>-0.36981668611630125</v>
      </c>
      <c r="BI34" s="136">
        <f t="shared" si="12"/>
        <v>0.95293186891376536</v>
      </c>
      <c r="BJ34" s="136">
        <f t="shared" si="13"/>
        <v>0.60527871733203797</v>
      </c>
    </row>
    <row r="35" spans="1:62" hidden="1" x14ac:dyDescent="0.3">
      <c r="A35" s="2"/>
      <c r="D35" s="3" t="s">
        <v>32</v>
      </c>
      <c r="E35" s="3" t="s">
        <v>33</v>
      </c>
      <c r="H35" s="3" t="s">
        <v>32</v>
      </c>
      <c r="I35" s="3" t="s">
        <v>33</v>
      </c>
      <c r="K35" s="83">
        <v>400</v>
      </c>
      <c r="L35" s="84">
        <v>29.42</v>
      </c>
      <c r="M35" s="85">
        <v>-0.26650000000000001</v>
      </c>
      <c r="N35" s="86">
        <v>-3.4000000000000002E-4</v>
      </c>
      <c r="O35" s="87">
        <v>8.3899999999999993E-6</v>
      </c>
      <c r="P35" s="2"/>
      <c r="Q35" s="88">
        <v>100</v>
      </c>
      <c r="R35" s="45">
        <v>35.46766865</v>
      </c>
      <c r="S35" s="39">
        <v>-0.25454966759999997</v>
      </c>
      <c r="T35" s="72">
        <v>1.7867971039999999E-3</v>
      </c>
      <c r="U35" s="91">
        <v>-6.3067128199999996E-6</v>
      </c>
      <c r="V35" s="91">
        <v>8.0547308450000003E-9</v>
      </c>
      <c r="W35" s="91">
        <v>0</v>
      </c>
      <c r="Y35" s="2"/>
      <c r="Z35" s="2"/>
      <c r="AA35" s="2"/>
      <c r="AB35" s="2"/>
      <c r="AC35" s="2"/>
      <c r="AD35" s="132"/>
      <c r="AE35" s="170"/>
      <c r="AF35" s="170"/>
      <c r="AG35" s="170"/>
      <c r="AH35" s="170"/>
      <c r="AI35" s="170"/>
      <c r="AJ35" s="3">
        <v>80</v>
      </c>
      <c r="AK35" s="3" t="s">
        <v>93</v>
      </c>
      <c r="AL35" s="170">
        <v>0</v>
      </c>
      <c r="AM35" s="170">
        <v>12</v>
      </c>
      <c r="AN35" s="170">
        <v>50</v>
      </c>
      <c r="AO35" s="170">
        <v>100</v>
      </c>
      <c r="AP35" s="170">
        <v>400</v>
      </c>
      <c r="AQ35" s="170"/>
      <c r="AR35" s="66">
        <f t="shared" si="33"/>
        <v>7.9856231327926501</v>
      </c>
      <c r="AS35" s="66">
        <f t="shared" si="34"/>
        <v>31.244433391942845</v>
      </c>
      <c r="AT35" s="66">
        <f t="shared" si="35"/>
        <v>60.610676571278212</v>
      </c>
      <c r="AU35" s="66">
        <f t="shared" si="36"/>
        <v>224.86626387881296</v>
      </c>
      <c r="AV35" s="171"/>
      <c r="AW35" s="166">
        <f t="shared" si="4"/>
        <v>-1.1020125631923665</v>
      </c>
      <c r="AX35" s="166">
        <f t="shared" si="5"/>
        <v>-0.50954872050281463</v>
      </c>
      <c r="AY35" s="166">
        <f t="shared" si="1"/>
        <v>-0.22177224190045336</v>
      </c>
      <c r="AZ35" s="166">
        <f t="shared" si="2"/>
        <v>0.34760293042900281</v>
      </c>
      <c r="BA35" s="166"/>
      <c r="BB35" s="166">
        <f t="shared" si="6"/>
        <v>-0.92514012773501775</v>
      </c>
      <c r="BC35" s="166">
        <f t="shared" si="7"/>
        <v>-0.30535136944662378</v>
      </c>
      <c r="BD35" s="166">
        <f t="shared" si="8"/>
        <v>-4.3213737826425782E-3</v>
      </c>
      <c r="BE35" s="166">
        <f t="shared" si="9"/>
        <v>0.59773861754531976</v>
      </c>
      <c r="BF35" s="166"/>
      <c r="BG35" s="136">
        <f t="shared" si="10"/>
        <v>-0.15926856335474107</v>
      </c>
      <c r="BH35" s="136">
        <f t="shared" si="11"/>
        <v>-0.37143264879165794</v>
      </c>
      <c r="BI35" s="136">
        <f t="shared" si="12"/>
        <v>0.95206791873958374</v>
      </c>
      <c r="BJ35" s="136">
        <f t="shared" si="13"/>
        <v>0.60283969417104222</v>
      </c>
    </row>
    <row r="36" spans="1:62" hidden="1" x14ac:dyDescent="0.3">
      <c r="A36" s="2"/>
      <c r="C36" s="3" t="s">
        <v>74</v>
      </c>
      <c r="D36" s="3">
        <f>IF(B5&lt;25,"NA",IF(B5&lt;76,(2.2*B5^(-0.393)),"NA"))</f>
        <v>0.41663426851440316</v>
      </c>
      <c r="E36" s="3">
        <f>IF(B5&lt;25,"NA",IF(B5&lt;76,(1.31*B5^(-0.0842)),"NA"))</f>
        <v>0.91714964483166617</v>
      </c>
      <c r="G36" s="3" t="s">
        <v>74</v>
      </c>
      <c r="H36" s="3">
        <f>IF(B5&lt;25,"NA",IF(B5&lt;76,(0.937*B5^(-0.099)),"NA"))</f>
        <v>0.61616004203240016</v>
      </c>
      <c r="I36" s="3">
        <f>IF(B5&lt;25,"NA",IF(B5&lt;76,(1.09*B5^(-0.032)),"NA"))</f>
        <v>0.95188246599102277</v>
      </c>
      <c r="K36" s="83">
        <v>700</v>
      </c>
      <c r="L36" s="84">
        <v>40.49</v>
      </c>
      <c r="M36" s="85">
        <v>-0.8</v>
      </c>
      <c r="N36" s="86">
        <v>6.0000000000000001E-3</v>
      </c>
      <c r="O36" s="87">
        <v>-1.4800000000000001E-5</v>
      </c>
      <c r="P36" s="2"/>
      <c r="Q36" s="88">
        <v>400</v>
      </c>
      <c r="R36" s="55">
        <v>34.51931476</v>
      </c>
      <c r="S36" s="49">
        <v>-0.29080876979999998</v>
      </c>
      <c r="T36" s="73">
        <v>1.9356442050000001E-3</v>
      </c>
      <c r="U36" s="92">
        <v>-6.30856158E-6</v>
      </c>
      <c r="V36" s="92">
        <v>7.5704720750000005E-9</v>
      </c>
      <c r="W36" s="92">
        <v>0</v>
      </c>
      <c r="Y36" s="2"/>
      <c r="Z36" s="2"/>
      <c r="AA36" s="2"/>
      <c r="AB36" s="2"/>
      <c r="AC36" s="2"/>
      <c r="AD36" s="132"/>
      <c r="AE36" s="170"/>
      <c r="AF36" s="170"/>
      <c r="AG36" s="170"/>
      <c r="AH36" s="170"/>
      <c r="AI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1"/>
      <c r="AW36" s="173"/>
      <c r="AX36" s="166"/>
      <c r="AY36" s="166"/>
      <c r="AZ36" s="166"/>
      <c r="BA36" s="166"/>
      <c r="BB36" s="166"/>
      <c r="BC36" s="166"/>
      <c r="BD36" s="166"/>
      <c r="BE36" s="166"/>
      <c r="BF36" s="166"/>
      <c r="BG36" s="136"/>
      <c r="BH36" s="136"/>
      <c r="BI36" s="136"/>
      <c r="BJ36" s="136"/>
    </row>
    <row r="37" spans="1:62" hidden="1" x14ac:dyDescent="0.3">
      <c r="A37" s="2"/>
      <c r="C37" s="3" t="s">
        <v>75</v>
      </c>
      <c r="D37" s="3">
        <f>IF(B5&lt;35,"NA",IF(B5&lt;126,(8.83*B5^(-0.795)),"NA"))</f>
        <v>0.30484261360122739</v>
      </c>
      <c r="E37" s="3">
        <f>IF(B5&lt;35,"NA",IF(B5&lt;126,(1.07*B5^(-0.0452)),"NA"))</f>
        <v>0.8836246014472523</v>
      </c>
      <c r="G37" s="3" t="s">
        <v>75</v>
      </c>
      <c r="H37" s="3">
        <f>IF(B5&lt;35,"NA",IF(B5&lt;126,(0.91*B5^(-0.129)),"NA"))</f>
        <v>0.52702335287630964</v>
      </c>
      <c r="I37" s="3">
        <f>IF(B5&lt;35,"NA",IF(B5&lt;126,(1.1*B5^(-0.044)),"NA"))</f>
        <v>0.91302637876721815</v>
      </c>
      <c r="K37" s="76" t="s">
        <v>30</v>
      </c>
      <c r="L37" s="77"/>
      <c r="M37" s="77"/>
      <c r="P37" s="2"/>
      <c r="Y37" s="2"/>
      <c r="Z37" s="2"/>
      <c r="AA37" s="2"/>
      <c r="AB37" s="2"/>
      <c r="AC37" s="2"/>
      <c r="AD37" s="132"/>
      <c r="AE37" s="170"/>
      <c r="AF37" s="170"/>
      <c r="AG37" s="170"/>
      <c r="AH37" s="170"/>
      <c r="AI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1"/>
      <c r="AW37" s="173"/>
      <c r="AX37" s="166"/>
      <c r="AY37" s="166"/>
      <c r="AZ37" s="166"/>
      <c r="BA37" s="166"/>
      <c r="BB37" s="166"/>
      <c r="BC37" s="166"/>
      <c r="BD37" s="166"/>
      <c r="BE37" s="166"/>
      <c r="BF37" s="166"/>
      <c r="BG37" s="136"/>
      <c r="BH37" s="136"/>
      <c r="BI37" s="136"/>
      <c r="BJ37" s="136"/>
    </row>
    <row r="38" spans="1:62" ht="18" hidden="1" x14ac:dyDescent="0.35">
      <c r="A38" s="2"/>
      <c r="C38" s="3" t="s">
        <v>76</v>
      </c>
      <c r="D38" s="3">
        <f>IF(B5&lt;45,"NA",IF(B5&lt;301,(5.23*B5^(-0.729)),"NA"))</f>
        <v>0.23877051806501198</v>
      </c>
      <c r="E38" s="3">
        <f>IF(B5&lt;45,"NA",IF(B5&lt;301,(1.257-0.00938*B5+0.0000574*B5^2-0.0000000991*B5^3),"NA"))</f>
        <v>0.85050615809999996</v>
      </c>
      <c r="G38" s="3" t="s">
        <v>76</v>
      </c>
      <c r="H38" s="3">
        <f>IF(B5&lt;45,"NA",IF(B5&lt;301,(-0.02+2.41*B5^(-0.376)),"NA"))</f>
        <v>0.47046699131945052</v>
      </c>
      <c r="I38" s="3">
        <f>IF(B5&lt;45,"NA",IF(B5&lt;301,(0.988-0.00163*B5+0.00000459*B5^2),"NA"))</f>
        <v>0.89738298999999999</v>
      </c>
      <c r="K38" s="78" t="s">
        <v>26</v>
      </c>
      <c r="L38" s="79" t="s">
        <v>19</v>
      </c>
      <c r="M38" s="79" t="s">
        <v>20</v>
      </c>
      <c r="P38" s="2"/>
      <c r="Y38" s="2"/>
      <c r="Z38" s="2"/>
      <c r="AA38" s="2"/>
      <c r="AB38" s="2"/>
      <c r="AC38" s="2"/>
      <c r="AD38" s="132"/>
      <c r="AE38" s="170"/>
      <c r="AF38" s="170"/>
      <c r="AG38" s="170"/>
      <c r="AH38" s="170"/>
      <c r="AI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1"/>
      <c r="AW38" s="173"/>
      <c r="AX38" s="166"/>
      <c r="AY38" s="166"/>
      <c r="AZ38" s="166"/>
      <c r="BA38" s="166"/>
      <c r="BB38" s="166"/>
      <c r="BC38" s="166"/>
      <c r="BD38" s="166"/>
      <c r="BE38" s="166"/>
      <c r="BF38" s="166"/>
      <c r="BG38" s="136"/>
      <c r="BH38" s="136"/>
      <c r="BI38" s="136"/>
      <c r="BJ38" s="136"/>
    </row>
    <row r="39" spans="1:62" hidden="1" x14ac:dyDescent="0.3">
      <c r="A39" s="2"/>
      <c r="K39" s="83"/>
      <c r="L39" s="79"/>
      <c r="M39" s="79" t="s">
        <v>23</v>
      </c>
      <c r="P39" s="2"/>
      <c r="Y39" s="2"/>
      <c r="Z39" s="2"/>
      <c r="AA39" s="2"/>
      <c r="AB39" s="2"/>
      <c r="AC39" s="2"/>
      <c r="AD39" s="132"/>
      <c r="AE39" s="170"/>
      <c r="AF39" s="170"/>
      <c r="AG39" s="170"/>
      <c r="AH39" s="170"/>
      <c r="AI39" s="170"/>
      <c r="AJ39" s="3" t="s">
        <v>4</v>
      </c>
      <c r="AK39" s="3" t="s">
        <v>94</v>
      </c>
      <c r="AN39"/>
      <c r="AO39"/>
      <c r="AP39"/>
      <c r="AQ39"/>
      <c r="AR39"/>
      <c r="AS39"/>
      <c r="AT39"/>
      <c r="AU39"/>
      <c r="AV39"/>
      <c r="AW39" s="173"/>
      <c r="AX39"/>
      <c r="AY39"/>
      <c r="AZ39"/>
      <c r="BA39"/>
      <c r="BB39"/>
      <c r="BC39"/>
      <c r="BD39"/>
      <c r="BE39"/>
      <c r="BF39"/>
      <c r="BG39"/>
      <c r="BH39"/>
      <c r="BI39" t="s">
        <v>33</v>
      </c>
      <c r="BJ39" t="s">
        <v>32</v>
      </c>
    </row>
    <row r="40" spans="1:62" hidden="1" x14ac:dyDescent="0.3">
      <c r="A40" s="2"/>
      <c r="K40" s="83">
        <v>50</v>
      </c>
      <c r="L40" s="93">
        <v>12.029</v>
      </c>
      <c r="M40" s="87">
        <v>-2.1499999999999998E-2</v>
      </c>
      <c r="P40" s="2"/>
      <c r="Y40" s="2"/>
      <c r="Z40" s="2"/>
      <c r="AA40" s="2"/>
      <c r="AB40" s="2"/>
      <c r="AC40" s="2"/>
      <c r="AD40" s="132"/>
      <c r="AE40" s="170"/>
      <c r="AF40" s="170"/>
      <c r="AG40" s="170"/>
      <c r="AH40" s="170"/>
      <c r="AI40" s="170"/>
      <c r="AJ40" s="3">
        <v>35</v>
      </c>
      <c r="AK40" s="3" t="s">
        <v>94</v>
      </c>
      <c r="AL40" s="170">
        <v>0</v>
      </c>
      <c r="AM40" s="170">
        <v>12</v>
      </c>
      <c r="AN40" s="170">
        <v>50</v>
      </c>
      <c r="AO40" s="170">
        <v>100</v>
      </c>
      <c r="AP40" s="170">
        <v>400</v>
      </c>
      <c r="AQ40" s="170"/>
      <c r="AR40" s="66">
        <f>AM40*TAN(RADIANS(($R$19+$S$19*(AJ40)+$T$19*(AJ40)^2)))</f>
        <v>8.6142321610895767</v>
      </c>
      <c r="AS40" s="66">
        <f>AN40*TAN(RADIANS(($R$20+$S$20*(AJ40)+$T$20*(AJ40)^2)))</f>
        <v>33.931377327467139</v>
      </c>
      <c r="AT40" s="66">
        <f>AO40*TAN(RADIANS(($R$21+$S$21*(AJ40)+$T$21*(AJ40)^2)))</f>
        <v>66.808838136738004</v>
      </c>
      <c r="AU40" s="66">
        <f>AP40*TAN(RADIANS(($R$22+$S$22*(AJ40)+$T$22*(AJ40)^2+$U$22*(AJ40)^3)))</f>
        <v>257.80392618295383</v>
      </c>
      <c r="AV40" s="171"/>
      <c r="AW40" s="166">
        <f>LOG(AR40/101)</f>
        <v>-1.0691048015822715</v>
      </c>
      <c r="AX40" s="166">
        <f t="shared" ref="AX40" si="47">LOG(AS40/101)</f>
        <v>-0.47371988509012286</v>
      </c>
      <c r="AY40" s="166">
        <f t="shared" ref="AY40:AY50" si="48">LOG(AT40/101)</f>
        <v>-0.17948745471852465</v>
      </c>
      <c r="AZ40" s="166">
        <f t="shared" ref="AZ40:AZ50" si="49">LOG(AU40/101)</f>
        <v>0.40696815330226604</v>
      </c>
      <c r="BA40" s="166"/>
      <c r="BB40" s="166">
        <f>LOG(AM40/101)</f>
        <v>-0.92514012773501775</v>
      </c>
      <c r="BC40" s="166">
        <f>LOG(AN40/101)</f>
        <v>-0.30535136944662378</v>
      </c>
      <c r="BD40" s="166">
        <f>LOG(AO40/101)</f>
        <v>-4.3213737826425782E-3</v>
      </c>
      <c r="BE40" s="166">
        <f>LOG(AP40/101)</f>
        <v>0.59773861754531976</v>
      </c>
      <c r="BF40" s="166"/>
      <c r="BG40" s="136">
        <f>AVERAGE(BB40:BE40)</f>
        <v>-0.15926856335474107</v>
      </c>
      <c r="BH40" s="136">
        <f>AVERAGE(AW40:AZ40)</f>
        <v>-0.32883599702216326</v>
      </c>
      <c r="BI40" s="136">
        <f>((BB40-BG40)*(AW40-BH40)+(BC40-BG40)*(AX40-BH40)+(BD40-BG40)*(AY40-BH40)+(BE40-BG40)*(AZ40-BH40))/((BB40-BG40)^2+(BC40-BG40)^2+(BD40-BG40)^2+(BE40-BG40)^2)</f>
        <v>0.96954117468013368</v>
      </c>
      <c r="BJ40" s="136">
        <f>10^(BH40-(BI40*BG40))</f>
        <v>0.66923929491359357</v>
      </c>
    </row>
    <row r="41" spans="1:62" hidden="1" x14ac:dyDescent="0.3">
      <c r="A41" s="2"/>
      <c r="K41" s="83">
        <v>100</v>
      </c>
      <c r="L41" s="93">
        <v>10.6388</v>
      </c>
      <c r="M41" s="87">
        <v>-1.83E-2</v>
      </c>
      <c r="P41" s="2"/>
      <c r="Y41" s="2"/>
      <c r="Z41" s="2"/>
      <c r="AA41" s="2"/>
      <c r="AB41" s="2"/>
      <c r="AC41" s="2"/>
      <c r="AD41" s="132"/>
      <c r="AE41" s="170"/>
      <c r="AF41" s="170"/>
      <c r="AG41" s="170"/>
      <c r="AH41" s="170"/>
      <c r="AI41" s="170"/>
      <c r="AJ41" s="3">
        <v>37.5</v>
      </c>
      <c r="AK41" s="3" t="s">
        <v>94</v>
      </c>
      <c r="AL41" s="170">
        <v>0</v>
      </c>
      <c r="AM41" s="170">
        <v>12</v>
      </c>
      <c r="AN41" s="170">
        <v>50</v>
      </c>
      <c r="AO41" s="170">
        <v>100</v>
      </c>
      <c r="AP41" s="170">
        <v>400</v>
      </c>
      <c r="AQ41" s="170"/>
      <c r="AR41" s="66">
        <f t="shared" ref="AR41:AR78" si="50">AM41*TAN(RADIANS(($R$19+$S$19*(AJ41)+$T$19*(AJ41)^2)))</f>
        <v>8.5706322479422532</v>
      </c>
      <c r="AS41" s="66">
        <f t="shared" ref="AS41:AS78" si="51">AN41*TAN(RADIANS(($R$20+$S$20*(AJ41)+$T$20*(AJ41)^2)))</f>
        <v>33.750023939800137</v>
      </c>
      <c r="AT41" s="66">
        <f t="shared" ref="AT41:AT78" si="52">AO41*TAN(RADIANS(($R$21+$S$21*(AJ41)+$T$21*(AJ41)^2)))</f>
        <v>66.381878145607445</v>
      </c>
      <c r="AU41" s="66">
        <f t="shared" ref="AU41:AU78" si="53">AP41*TAN(RADIANS(($R$22+$S$22*(AJ41)+$T$22*(AJ41)^2+$U$22*(AJ41)^3)))</f>
        <v>255.74457804302097</v>
      </c>
      <c r="AV41" s="171"/>
      <c r="AW41" s="166">
        <f t="shared" ref="AW41:AW78" si="54">LOG(AR41/101)</f>
        <v>-1.0713085131588098</v>
      </c>
      <c r="AX41" s="166">
        <f t="shared" ref="AX41:AX50" si="55">LOG(AS41/101)</f>
        <v>-0.47604728855872741</v>
      </c>
      <c r="AY41" s="166">
        <f t="shared" si="48"/>
        <v>-0.18227183802198055</v>
      </c>
      <c r="AZ41" s="166">
        <f t="shared" si="49"/>
        <v>0.40348506136418344</v>
      </c>
      <c r="BA41" s="166"/>
      <c r="BB41" s="166">
        <f t="shared" ref="BB41:BB78" si="56">LOG(AM41/101)</f>
        <v>-0.92514012773501775</v>
      </c>
      <c r="BC41" s="166">
        <f t="shared" ref="BC41:BC50" si="57">LOG(AN41/101)</f>
        <v>-0.30535136944662378</v>
      </c>
      <c r="BD41" s="166">
        <f t="shared" ref="BD41:BD50" si="58">LOG(AO41/101)</f>
        <v>-4.3213737826425782E-3</v>
      </c>
      <c r="BE41" s="166">
        <f t="shared" ref="BE41:BE50" si="59">LOG(AP41/101)</f>
        <v>0.59773861754531976</v>
      </c>
      <c r="BF41" s="166"/>
      <c r="BG41" s="136">
        <f t="shared" ref="BG41:BG78" si="60">AVERAGE(BB41:BE41)</f>
        <v>-0.15926856335474107</v>
      </c>
      <c r="BH41" s="136">
        <f t="shared" ref="BH41:BH78" si="61">AVERAGE(AW41:AZ41)</f>
        <v>-0.33153564459383361</v>
      </c>
      <c r="BI41" s="136">
        <f t="shared" ref="BI41:BI78" si="62">((BB41-BG41)*(AW41-BH41)+(BC41-BG41)*(AX41-BH41)+(BD41-BG41)*(AY41-BH41)+(BE41-BG41)*(AZ41-BH41))/((BB41-BG41)^2+(BC41-BG41)^2+(BD41-BG41)^2+(BE41-BG41)^2)</f>
        <v>0.96867774564002629</v>
      </c>
      <c r="BJ41" s="136">
        <f t="shared" ref="BJ41:BJ78" si="63">10^(BH41-(BI41*BG41))</f>
        <v>0.66488152942225021</v>
      </c>
    </row>
    <row r="42" spans="1:62" hidden="1" x14ac:dyDescent="0.3">
      <c r="A42" s="2"/>
      <c r="K42" s="83">
        <v>400</v>
      </c>
      <c r="L42" s="93">
        <v>8.3173999999999992</v>
      </c>
      <c r="M42" s="87">
        <v>-1.14E-2</v>
      </c>
      <c r="P42" s="2"/>
      <c r="Y42" s="2"/>
      <c r="Z42" s="2"/>
      <c r="AA42" s="2"/>
      <c r="AB42" s="2"/>
      <c r="AC42" s="2"/>
      <c r="AD42" s="132"/>
      <c r="AE42" s="170"/>
      <c r="AF42" s="170"/>
      <c r="AG42" s="170"/>
      <c r="AH42" s="170"/>
      <c r="AI42" s="170"/>
      <c r="AJ42" s="3">
        <v>40</v>
      </c>
      <c r="AK42" s="3" t="s">
        <v>94</v>
      </c>
      <c r="AL42" s="170">
        <v>0</v>
      </c>
      <c r="AM42" s="170">
        <v>12</v>
      </c>
      <c r="AN42" s="170">
        <v>50</v>
      </c>
      <c r="AO42" s="170">
        <v>100</v>
      </c>
      <c r="AP42" s="170">
        <v>400</v>
      </c>
      <c r="AQ42" s="170"/>
      <c r="AR42" s="66">
        <f t="shared" si="50"/>
        <v>8.5281022526468959</v>
      </c>
      <c r="AS42" s="66">
        <f t="shared" si="51"/>
        <v>33.572624858758907</v>
      </c>
      <c r="AT42" s="66">
        <f t="shared" si="52"/>
        <v>65.965176008198512</v>
      </c>
      <c r="AU42" s="66">
        <f t="shared" si="53"/>
        <v>253.71407938769676</v>
      </c>
      <c r="AV42" s="171"/>
      <c r="AW42" s="166">
        <f t="shared" si="54"/>
        <v>-1.0734689748423971</v>
      </c>
      <c r="AX42" s="166">
        <f t="shared" si="55"/>
        <v>-0.47833607611193296</v>
      </c>
      <c r="AY42" s="166">
        <f t="shared" si="48"/>
        <v>-0.18500664822307031</v>
      </c>
      <c r="AZ42" s="166">
        <f t="shared" si="49"/>
        <v>0.40002319446677037</v>
      </c>
      <c r="BA42" s="166"/>
      <c r="BB42" s="166">
        <f t="shared" si="56"/>
        <v>-0.92514012773501775</v>
      </c>
      <c r="BC42" s="166">
        <f t="shared" si="57"/>
        <v>-0.30535136944662378</v>
      </c>
      <c r="BD42" s="166">
        <f t="shared" si="58"/>
        <v>-4.3213737826425782E-3</v>
      </c>
      <c r="BE42" s="166">
        <f t="shared" si="59"/>
        <v>0.59773861754531976</v>
      </c>
      <c r="BF42" s="166"/>
      <c r="BG42" s="136">
        <f t="shared" si="60"/>
        <v>-0.15926856335474107</v>
      </c>
      <c r="BH42" s="136">
        <f t="shared" si="61"/>
        <v>-0.33419712617765751</v>
      </c>
      <c r="BI42" s="136">
        <f t="shared" si="62"/>
        <v>0.96780185463904034</v>
      </c>
      <c r="BJ42" s="136">
        <f t="shared" si="63"/>
        <v>0.66060717267840063</v>
      </c>
    </row>
    <row r="43" spans="1:62" hidden="1" x14ac:dyDescent="0.3">
      <c r="A43" s="2"/>
      <c r="K43" s="83">
        <v>700</v>
      </c>
      <c r="L43" s="93">
        <v>5.9702000000000002</v>
      </c>
      <c r="M43" s="87">
        <v>-5.4999999999999997E-3</v>
      </c>
      <c r="P43" s="2"/>
      <c r="Y43" s="2"/>
      <c r="Z43" s="2"/>
      <c r="AA43" s="2"/>
      <c r="AB43" s="2"/>
      <c r="AC43" s="2"/>
      <c r="AD43" s="132"/>
      <c r="AE43" s="170"/>
      <c r="AF43" s="170"/>
      <c r="AG43" s="170"/>
      <c r="AH43" s="170"/>
      <c r="AI43" s="170"/>
      <c r="AJ43" s="3">
        <v>42.5</v>
      </c>
      <c r="AK43" s="3" t="s">
        <v>94</v>
      </c>
      <c r="AL43" s="170">
        <v>0</v>
      </c>
      <c r="AM43" s="170">
        <v>12</v>
      </c>
      <c r="AN43" s="170">
        <v>50</v>
      </c>
      <c r="AO43" s="170">
        <v>100</v>
      </c>
      <c r="AP43" s="170">
        <v>400</v>
      </c>
      <c r="AQ43" s="170"/>
      <c r="AR43" s="66">
        <f t="shared" si="50"/>
        <v>8.4866317210531239</v>
      </c>
      <c r="AS43" s="66">
        <f t="shared" si="51"/>
        <v>33.39914203439178</v>
      </c>
      <c r="AT43" s="66">
        <f t="shared" si="52"/>
        <v>65.558616547182353</v>
      </c>
      <c r="AU43" s="66">
        <f t="shared" si="53"/>
        <v>251.71204622070661</v>
      </c>
      <c r="AV43" s="171"/>
      <c r="AW43" s="166">
        <f t="shared" si="54"/>
        <v>-1.0755860174861265</v>
      </c>
      <c r="AX43" s="166">
        <f t="shared" si="55"/>
        <v>-0.4805860630942852</v>
      </c>
      <c r="AY43" s="166">
        <f t="shared" si="48"/>
        <v>-0.18769159350077824</v>
      </c>
      <c r="AZ43" s="166">
        <f t="shared" si="49"/>
        <v>0.39658262635846458</v>
      </c>
      <c r="BA43" s="166"/>
      <c r="BB43" s="166">
        <f t="shared" si="56"/>
        <v>-0.92514012773501775</v>
      </c>
      <c r="BC43" s="166">
        <f t="shared" si="57"/>
        <v>-0.30535136944662378</v>
      </c>
      <c r="BD43" s="166">
        <f t="shared" si="58"/>
        <v>-4.3213737826425782E-3</v>
      </c>
      <c r="BE43" s="166">
        <f t="shared" si="59"/>
        <v>0.59773861754531976</v>
      </c>
      <c r="BF43" s="166"/>
      <c r="BG43" s="136">
        <f t="shared" si="60"/>
        <v>-0.15926856335474107</v>
      </c>
      <c r="BH43" s="136">
        <f t="shared" si="61"/>
        <v>-0.33682026193068137</v>
      </c>
      <c r="BI43" s="136">
        <f t="shared" si="62"/>
        <v>0.96691345563873188</v>
      </c>
      <c r="BJ43" s="136">
        <f t="shared" si="63"/>
        <v>0.65641523927344048</v>
      </c>
    </row>
    <row r="44" spans="1:62" hidden="1" x14ac:dyDescent="0.3">
      <c r="A44" s="2"/>
      <c r="K44" s="134"/>
      <c r="L44" s="93"/>
      <c r="M44" s="87"/>
      <c r="P44" s="2"/>
      <c r="Y44" s="2"/>
      <c r="Z44" s="2"/>
      <c r="AA44" s="2"/>
      <c r="AB44" s="2"/>
      <c r="AC44" s="2"/>
      <c r="AD44" s="132"/>
      <c r="AE44" s="170"/>
      <c r="AF44" s="170"/>
      <c r="AG44" s="170"/>
      <c r="AH44" s="170"/>
      <c r="AI44" s="170"/>
      <c r="AJ44" s="3">
        <v>45</v>
      </c>
      <c r="AK44" s="3" t="s">
        <v>94</v>
      </c>
      <c r="AL44" s="170">
        <v>0</v>
      </c>
      <c r="AM44" s="170">
        <v>12</v>
      </c>
      <c r="AN44" s="170">
        <v>50</v>
      </c>
      <c r="AO44" s="170">
        <v>100</v>
      </c>
      <c r="AP44" s="170">
        <v>400</v>
      </c>
      <c r="AQ44" s="170"/>
      <c r="AR44" s="66">
        <f t="shared" si="50"/>
        <v>8.4462105599959685</v>
      </c>
      <c r="AS44" s="66">
        <f t="shared" si="51"/>
        <v>33.229538636098226</v>
      </c>
      <c r="AT44" s="66">
        <f t="shared" si="52"/>
        <v>65.162088741862988</v>
      </c>
      <c r="AU44" s="66">
        <f t="shared" si="53"/>
        <v>249.73810518502174</v>
      </c>
      <c r="AV44" s="171"/>
      <c r="AW44" s="166">
        <f t="shared" si="54"/>
        <v>-1.0776594698047519</v>
      </c>
      <c r="AX44" s="166">
        <f t="shared" si="55"/>
        <v>-0.4827970622718416</v>
      </c>
      <c r="AY44" s="166">
        <f t="shared" si="48"/>
        <v>-0.19032637680598893</v>
      </c>
      <c r="AZ44" s="166">
        <f t="shared" si="49"/>
        <v>0.39316343852867475</v>
      </c>
      <c r="BA44" s="166"/>
      <c r="BB44" s="166">
        <f t="shared" si="56"/>
        <v>-0.92514012773501775</v>
      </c>
      <c r="BC44" s="166">
        <f t="shared" si="57"/>
        <v>-0.30535136944662378</v>
      </c>
      <c r="BD44" s="166">
        <f t="shared" si="58"/>
        <v>-4.3213737826425782E-3</v>
      </c>
      <c r="BE44" s="166">
        <f t="shared" si="59"/>
        <v>0.59773861754531976</v>
      </c>
      <c r="BF44" s="166"/>
      <c r="BG44" s="136">
        <f t="shared" si="60"/>
        <v>-0.15926856335474107</v>
      </c>
      <c r="BH44" s="136">
        <f t="shared" si="61"/>
        <v>-0.33940486758847688</v>
      </c>
      <c r="BI44" s="136">
        <f t="shared" si="62"/>
        <v>0.96601250646439707</v>
      </c>
      <c r="BJ44" s="136">
        <f t="shared" si="63"/>
        <v>0.65230477326245839</v>
      </c>
    </row>
    <row r="45" spans="1:62" hidden="1" x14ac:dyDescent="0.3">
      <c r="A45" s="2"/>
      <c r="B45" s="411" t="s">
        <v>68</v>
      </c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Y45" s="2"/>
      <c r="Z45" s="2"/>
      <c r="AA45" s="2"/>
      <c r="AB45" s="2"/>
      <c r="AC45" s="2"/>
      <c r="AD45" s="132"/>
      <c r="AE45" s="170"/>
      <c r="AF45" s="170"/>
      <c r="AG45" s="170"/>
      <c r="AH45" s="170"/>
      <c r="AI45" s="170"/>
      <c r="AJ45" s="3">
        <v>47.5</v>
      </c>
      <c r="AK45" s="3" t="s">
        <v>94</v>
      </c>
      <c r="AL45" s="170">
        <v>0</v>
      </c>
      <c r="AM45" s="170">
        <v>12</v>
      </c>
      <c r="AN45" s="170">
        <v>50</v>
      </c>
      <c r="AO45" s="170">
        <v>100</v>
      </c>
      <c r="AP45" s="170">
        <v>400</v>
      </c>
      <c r="AQ45" s="170"/>
      <c r="AR45" s="66">
        <f t="shared" si="50"/>
        <v>8.4068290268372294</v>
      </c>
      <c r="AS45" s="66">
        <f t="shared" si="51"/>
        <v>33.06377901787355</v>
      </c>
      <c r="AT45" s="66">
        <f t="shared" si="52"/>
        <v>64.775485591488234</v>
      </c>
      <c r="AU45" s="66">
        <f t="shared" si="53"/>
        <v>247.79189323751706</v>
      </c>
      <c r="AV45" s="171"/>
      <c r="AW45" s="166">
        <f t="shared" si="54"/>
        <v>-1.0796891587023649</v>
      </c>
      <c r="AX45" s="166">
        <f t="shared" si="55"/>
        <v>-0.48496888411118133</v>
      </c>
      <c r="AY45" s="166">
        <f t="shared" si="48"/>
        <v>-0.19291069641017844</v>
      </c>
      <c r="AZ45" s="166">
        <f t="shared" si="49"/>
        <v>0.3897657201064586</v>
      </c>
      <c r="BA45" s="166"/>
      <c r="BB45" s="166">
        <f t="shared" si="56"/>
        <v>-0.92514012773501775</v>
      </c>
      <c r="BC45" s="166">
        <f t="shared" si="57"/>
        <v>-0.30535136944662378</v>
      </c>
      <c r="BD45" s="166">
        <f t="shared" si="58"/>
        <v>-4.3213737826425782E-3</v>
      </c>
      <c r="BE45" s="166">
        <f t="shared" si="59"/>
        <v>0.59773861754531976</v>
      </c>
      <c r="BF45" s="166"/>
      <c r="BG45" s="136">
        <f t="shared" si="60"/>
        <v>-0.15926856335474107</v>
      </c>
      <c r="BH45" s="136">
        <f t="shared" si="61"/>
        <v>-0.34195075477931647</v>
      </c>
      <c r="BI45" s="136">
        <f t="shared" si="62"/>
        <v>0.96509896891295743</v>
      </c>
      <c r="BJ45" s="136">
        <f t="shared" si="63"/>
        <v>0.64827484722058715</v>
      </c>
    </row>
    <row r="46" spans="1:62" ht="21" hidden="1" x14ac:dyDescent="0.4">
      <c r="A46" s="2"/>
      <c r="P46" s="2"/>
      <c r="Q46" s="4"/>
      <c r="Y46" s="2"/>
      <c r="Z46" s="2"/>
      <c r="AA46" s="2"/>
      <c r="AB46" s="2"/>
      <c r="AC46" s="2"/>
      <c r="AD46" s="132"/>
      <c r="AE46" s="170"/>
      <c r="AF46" s="170"/>
      <c r="AG46" s="170"/>
      <c r="AH46" s="170"/>
      <c r="AI46" s="170"/>
      <c r="AJ46" s="3">
        <v>50</v>
      </c>
      <c r="AK46" s="3" t="s">
        <v>94</v>
      </c>
      <c r="AL46" s="170">
        <v>0</v>
      </c>
      <c r="AM46" s="170">
        <v>12</v>
      </c>
      <c r="AN46" s="170">
        <v>50</v>
      </c>
      <c r="AO46" s="170">
        <v>100</v>
      </c>
      <c r="AP46" s="170">
        <v>400</v>
      </c>
      <c r="AQ46" s="170"/>
      <c r="AR46" s="66">
        <f t="shared" si="50"/>
        <v>8.3684777194422484</v>
      </c>
      <c r="AS46" s="66">
        <f t="shared" si="51"/>
        <v>32.901828684903009</v>
      </c>
      <c r="AT46" s="66">
        <f t="shared" si="52"/>
        <v>64.398703984553094</v>
      </c>
      <c r="AU46" s="66">
        <f t="shared" si="53"/>
        <v>245.87305733551008</v>
      </c>
      <c r="AV46" s="171"/>
      <c r="AW46" s="166">
        <f t="shared" si="54"/>
        <v>-1.081674909597427</v>
      </c>
      <c r="AX46" s="166">
        <f t="shared" si="55"/>
        <v>-0.48710133705784719</v>
      </c>
      <c r="AY46" s="166">
        <f t="shared" si="48"/>
        <v>-0.19544424645420749</v>
      </c>
      <c r="AZ46" s="166">
        <f t="shared" si="49"/>
        <v>0.38638956775969235</v>
      </c>
      <c r="BA46" s="166"/>
      <c r="BB46" s="166">
        <f t="shared" si="56"/>
        <v>-0.92514012773501775</v>
      </c>
      <c r="BC46" s="166">
        <f t="shared" si="57"/>
        <v>-0.30535136944662378</v>
      </c>
      <c r="BD46" s="166">
        <f t="shared" si="58"/>
        <v>-4.3213737826425782E-3</v>
      </c>
      <c r="BE46" s="166">
        <f t="shared" si="59"/>
        <v>0.59773861754531976</v>
      </c>
      <c r="BF46" s="166"/>
      <c r="BG46" s="136">
        <f t="shared" si="60"/>
        <v>-0.15926856335474107</v>
      </c>
      <c r="BH46" s="136">
        <f t="shared" si="61"/>
        <v>-0.34445773133744728</v>
      </c>
      <c r="BI46" s="136">
        <f t="shared" si="62"/>
        <v>0.96417280885939061</v>
      </c>
      <c r="BJ46" s="136">
        <f t="shared" si="63"/>
        <v>0.64432456133738558</v>
      </c>
    </row>
    <row r="47" spans="1:62" ht="18" hidden="1" x14ac:dyDescent="0.35">
      <c r="A47" s="2"/>
      <c r="B47" s="408" t="s">
        <v>16</v>
      </c>
      <c r="C47" s="416"/>
      <c r="D47" s="416"/>
      <c r="E47" s="416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17"/>
      <c r="Q47" s="417"/>
      <c r="R47" s="417"/>
      <c r="S47" s="417"/>
      <c r="T47" s="417"/>
      <c r="U47" s="417"/>
      <c r="V47" s="417"/>
      <c r="Y47" s="2"/>
      <c r="Z47" s="2"/>
      <c r="AA47" s="2"/>
      <c r="AB47" s="2"/>
      <c r="AC47" s="2"/>
      <c r="AD47" s="132"/>
      <c r="AE47" s="170"/>
      <c r="AF47" s="170"/>
      <c r="AG47" s="170"/>
      <c r="AH47" s="170"/>
      <c r="AI47" s="170"/>
      <c r="AJ47" s="3">
        <v>52.5</v>
      </c>
      <c r="AK47" s="3" t="s">
        <v>94</v>
      </c>
      <c r="AL47" s="170">
        <v>0</v>
      </c>
      <c r="AM47" s="170">
        <v>12</v>
      </c>
      <c r="AN47" s="170">
        <v>50</v>
      </c>
      <c r="AO47" s="170">
        <v>100</v>
      </c>
      <c r="AP47" s="170">
        <v>400</v>
      </c>
      <c r="AQ47" s="170"/>
      <c r="AR47" s="66">
        <f t="shared" si="50"/>
        <v>8.3311475665744332</v>
      </c>
      <c r="AS47" s="66">
        <f t="shared" si="51"/>
        <v>32.743654261451596</v>
      </c>
      <c r="AT47" s="66">
        <f t="shared" si="52"/>
        <v>64.031644573822888</v>
      </c>
      <c r="AU47" s="66">
        <f t="shared" si="53"/>
        <v>243.98125413467108</v>
      </c>
      <c r="AV47" s="171"/>
      <c r="AW47" s="166">
        <f t="shared" si="54"/>
        <v>-1.0836165467450345</v>
      </c>
      <c r="AX47" s="166">
        <f t="shared" si="55"/>
        <v>-0.48919422781414662</v>
      </c>
      <c r="AY47" s="166">
        <f t="shared" si="48"/>
        <v>-0.19792671749706264</v>
      </c>
      <c r="AZ47" s="166">
        <f t="shared" si="49"/>
        <v>0.38303508559452476</v>
      </c>
      <c r="BA47" s="166"/>
      <c r="BB47" s="166">
        <f t="shared" si="56"/>
        <v>-0.92514012773501775</v>
      </c>
      <c r="BC47" s="166">
        <f t="shared" si="57"/>
        <v>-0.30535136944662378</v>
      </c>
      <c r="BD47" s="166">
        <f t="shared" si="58"/>
        <v>-4.3213737826425782E-3</v>
      </c>
      <c r="BE47" s="166">
        <f t="shared" si="59"/>
        <v>0.59773861754531976</v>
      </c>
      <c r="BF47" s="166"/>
      <c r="BG47" s="136">
        <f t="shared" si="60"/>
        <v>-0.15926856335474107</v>
      </c>
      <c r="BH47" s="136">
        <f t="shared" si="61"/>
        <v>-0.34692560161542974</v>
      </c>
      <c r="BI47" s="136">
        <f t="shared" si="62"/>
        <v>0.96323399636150908</v>
      </c>
      <c r="BJ47" s="136">
        <f t="shared" si="63"/>
        <v>0.64045304254767332</v>
      </c>
    </row>
    <row r="48" spans="1:62" hidden="1" x14ac:dyDescent="0.3">
      <c r="A48" s="2"/>
      <c r="B48" s="415"/>
      <c r="C48" s="421" t="s">
        <v>71</v>
      </c>
      <c r="D48" s="422"/>
      <c r="E48" s="422"/>
      <c r="F48" s="423"/>
      <c r="G48" s="424" t="s">
        <v>72</v>
      </c>
      <c r="H48" s="425"/>
      <c r="I48" s="425"/>
      <c r="J48" s="426"/>
      <c r="K48" s="427"/>
      <c r="L48" s="428"/>
      <c r="M48" s="428"/>
      <c r="N48" s="429"/>
      <c r="O48" s="430"/>
      <c r="P48" s="431"/>
      <c r="Q48" s="431"/>
      <c r="R48" s="432"/>
      <c r="S48" s="139" t="s">
        <v>69</v>
      </c>
      <c r="T48" s="139" t="s">
        <v>70</v>
      </c>
      <c r="U48" s="139" t="s">
        <v>33</v>
      </c>
      <c r="V48" s="139" t="s">
        <v>32</v>
      </c>
      <c r="Y48" s="2"/>
      <c r="Z48" s="2"/>
      <c r="AA48" s="2"/>
      <c r="AB48" s="2"/>
      <c r="AC48" s="2"/>
      <c r="AD48" s="132"/>
      <c r="AE48" s="170"/>
      <c r="AF48" s="170"/>
      <c r="AG48" s="170"/>
      <c r="AH48" s="170"/>
      <c r="AI48" s="170"/>
      <c r="AJ48" s="3">
        <v>55</v>
      </c>
      <c r="AK48" s="3" t="s">
        <v>94</v>
      </c>
      <c r="AL48" s="170">
        <v>0</v>
      </c>
      <c r="AM48" s="170">
        <v>12</v>
      </c>
      <c r="AN48" s="170">
        <v>50</v>
      </c>
      <c r="AO48" s="170">
        <v>100</v>
      </c>
      <c r="AP48" s="170">
        <v>400</v>
      </c>
      <c r="AQ48" s="170"/>
      <c r="AR48" s="66">
        <f t="shared" si="50"/>
        <v>8.2948298186906708</v>
      </c>
      <c r="AS48" s="66">
        <f t="shared" si="51"/>
        <v>32.589223459998948</v>
      </c>
      <c r="AT48" s="66">
        <f t="shared" si="52"/>
        <v>63.674211656819637</v>
      </c>
      <c r="AU48" s="66">
        <f t="shared" si="53"/>
        <v>242.11614969782914</v>
      </c>
      <c r="AV48" s="171"/>
      <c r="AW48" s="166">
        <f t="shared" si="54"/>
        <v>-1.085513893556288</v>
      </c>
      <c r="AX48" s="166">
        <f t="shared" si="55"/>
        <v>-0.49124736161622146</v>
      </c>
      <c r="AY48" s="166">
        <f t="shared" si="48"/>
        <v>-0.20035779706434373</v>
      </c>
      <c r="AZ48" s="166">
        <f t="shared" si="49"/>
        <v>0.37970238505492143</v>
      </c>
      <c r="BA48" s="166"/>
      <c r="BB48" s="166">
        <f t="shared" si="56"/>
        <v>-0.92514012773501775</v>
      </c>
      <c r="BC48" s="166">
        <f t="shared" si="57"/>
        <v>-0.30535136944662378</v>
      </c>
      <c r="BD48" s="166">
        <f t="shared" si="58"/>
        <v>-4.3213737826425782E-3</v>
      </c>
      <c r="BE48" s="166">
        <f t="shared" si="59"/>
        <v>0.59773861754531976</v>
      </c>
      <c r="BF48" s="166"/>
      <c r="BG48" s="136">
        <f t="shared" si="60"/>
        <v>-0.15926856335474107</v>
      </c>
      <c r="BH48" s="136">
        <f t="shared" si="61"/>
        <v>-0.34935416679548292</v>
      </c>
      <c r="BI48" s="136">
        <f t="shared" si="62"/>
        <v>0.96228250576289986</v>
      </c>
      <c r="BJ48" s="136">
        <f t="shared" si="63"/>
        <v>0.6366594436973414</v>
      </c>
    </row>
    <row r="49" spans="1:62" hidden="1" x14ac:dyDescent="0.3">
      <c r="A49" s="2"/>
      <c r="B49" s="415"/>
      <c r="C49" s="137">
        <v>50</v>
      </c>
      <c r="D49" s="137">
        <v>100</v>
      </c>
      <c r="E49" s="137">
        <v>400</v>
      </c>
      <c r="F49" s="138">
        <v>700</v>
      </c>
      <c r="G49" s="146">
        <f t="shared" ref="G49:J53" si="64">L5</f>
        <v>14.481147563101507</v>
      </c>
      <c r="H49" s="146">
        <f t="shared" si="64"/>
        <v>26.447401681041093</v>
      </c>
      <c r="I49" s="146">
        <f t="shared" si="64"/>
        <v>92.118984985150519</v>
      </c>
      <c r="J49" s="146">
        <f t="shared" si="64"/>
        <v>120.83634583297794</v>
      </c>
      <c r="K49" s="135">
        <f t="shared" ref="K49:N50" si="65">LOG(G49/101)</f>
        <v>-0.84351839475473644</v>
      </c>
      <c r="L49" s="135">
        <f t="shared" si="65"/>
        <v>-0.58193836247819453</v>
      </c>
      <c r="M49" s="135">
        <f t="shared" si="65"/>
        <v>-3.9972229746384084E-2</v>
      </c>
      <c r="N49" s="135">
        <f t="shared" si="65"/>
        <v>7.7876209679167183E-2</v>
      </c>
      <c r="O49" s="147">
        <f t="shared" ref="O49:R50" si="66">LOG(C49/101)</f>
        <v>-0.30535136944662378</v>
      </c>
      <c r="P49" s="147">
        <f t="shared" si="66"/>
        <v>-4.3213737826425782E-3</v>
      </c>
      <c r="Q49" s="147">
        <f t="shared" si="66"/>
        <v>0.59773861754531976</v>
      </c>
      <c r="R49" s="147">
        <f t="shared" si="66"/>
        <v>0.84077666623161429</v>
      </c>
      <c r="S49" s="136">
        <f>AVERAGE(O49:R49)</f>
        <v>0.28221063513691691</v>
      </c>
      <c r="T49" s="136">
        <f>AVERAGE(K49:N49)</f>
        <v>-0.34688819432503698</v>
      </c>
      <c r="U49" s="136">
        <f>((O49-S49)*(K49-T49)+(P49-S49)*(L49-T49)+(Q49-S49)*(M49-T49)+(R49-S49)*(N49-T49))/((O49-S49)^2+(P49-S49)^2+(Q49-S49)^2+(R49-S49)^2)</f>
        <v>0.82639588937210706</v>
      </c>
      <c r="V49" s="136">
        <f>10^(T49-(U49*S49))</f>
        <v>0.26296266766379783</v>
      </c>
      <c r="Y49" s="2"/>
      <c r="Z49" s="2"/>
      <c r="AA49" s="2"/>
      <c r="AB49" s="2"/>
      <c r="AC49" s="2"/>
      <c r="AD49" s="132"/>
      <c r="AE49" s="170"/>
      <c r="AF49" s="170"/>
      <c r="AG49" s="170"/>
      <c r="AH49" s="170"/>
      <c r="AI49" s="170"/>
      <c r="AL49" s="170"/>
      <c r="AM49" s="170"/>
      <c r="AN49" s="170"/>
      <c r="AO49" s="170"/>
      <c r="AP49" s="170"/>
      <c r="AQ49" s="170"/>
      <c r="AR49" s="66"/>
      <c r="AS49" s="66"/>
      <c r="AT49" s="66"/>
      <c r="AU49" s="66"/>
      <c r="AV49" s="171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36"/>
      <c r="BH49" s="136"/>
      <c r="BI49" s="136"/>
      <c r="BJ49" s="136"/>
    </row>
    <row r="50" spans="1:62" hidden="1" x14ac:dyDescent="0.3">
      <c r="A50" s="2"/>
      <c r="B50" s="415"/>
      <c r="C50" s="137">
        <v>50</v>
      </c>
      <c r="D50" s="137">
        <v>100</v>
      </c>
      <c r="E50" s="137">
        <v>400</v>
      </c>
      <c r="F50" s="138">
        <v>700</v>
      </c>
      <c r="G50" s="146">
        <f t="shared" si="64"/>
        <v>13.727454439878848</v>
      </c>
      <c r="H50" s="146">
        <f t="shared" si="64"/>
        <v>24.95887456470534</v>
      </c>
      <c r="I50" s="146">
        <f t="shared" si="64"/>
        <v>86.256188500657984</v>
      </c>
      <c r="J50" s="146">
        <f t="shared" si="64"/>
        <v>110.79480333297641</v>
      </c>
      <c r="K50" s="135">
        <f t="shared" si="65"/>
        <v>-0.86673136278108942</v>
      </c>
      <c r="L50" s="135">
        <f t="shared" si="65"/>
        <v>-0.60709637535870487</v>
      </c>
      <c r="M50" s="135">
        <f t="shared" si="65"/>
        <v>-6.8531110208091911E-2</v>
      </c>
      <c r="N50" s="135">
        <f t="shared" si="65"/>
        <v>4.0198017144608536E-2</v>
      </c>
      <c r="O50" s="147">
        <f t="shared" si="66"/>
        <v>-0.30535136944662378</v>
      </c>
      <c r="P50" s="147">
        <f t="shared" si="66"/>
        <v>-4.3213737826425782E-3</v>
      </c>
      <c r="Q50" s="147">
        <f t="shared" si="66"/>
        <v>0.59773861754531976</v>
      </c>
      <c r="R50" s="147">
        <f t="shared" si="66"/>
        <v>0.84077666623161429</v>
      </c>
      <c r="S50" s="136">
        <f>AVERAGE(O50:R50)</f>
        <v>0.28221063513691691</v>
      </c>
      <c r="T50" s="136">
        <f>AVERAGE(K50:N50)</f>
        <v>-0.37554020780081937</v>
      </c>
      <c r="U50" s="136">
        <f>((O50-S50)*(K50-T50)+(P50-S50)*(L50-T50)+(Q50-S50)*(M50-T50)+(R50-S50)*(N50-T50))/((O50-S50)^2+(P50-S50)^2+(Q50-S50)^2+(R50-S50)^2)</f>
        <v>0.8154179060420117</v>
      </c>
      <c r="V50" s="136">
        <f>10^(T50-(U50*S50))</f>
        <v>0.247936340633157</v>
      </c>
      <c r="Y50" s="2"/>
      <c r="Z50" s="2"/>
      <c r="AA50" s="2"/>
      <c r="AB50" s="2"/>
      <c r="AC50" s="2"/>
      <c r="AD50" s="132"/>
      <c r="AE50" s="132"/>
      <c r="AF50" s="132"/>
      <c r="AG50" s="132"/>
      <c r="AH50" s="132"/>
      <c r="AI50" s="132"/>
      <c r="AJ50" s="3">
        <v>57.5</v>
      </c>
      <c r="AK50" s="3" t="s">
        <v>94</v>
      </c>
      <c r="AL50" s="170">
        <v>0</v>
      </c>
      <c r="AM50" s="170">
        <v>12</v>
      </c>
      <c r="AN50" s="170">
        <v>50</v>
      </c>
      <c r="AO50" s="170">
        <v>100</v>
      </c>
      <c r="AP50" s="170">
        <v>400</v>
      </c>
      <c r="AQ50" s="170"/>
      <c r="AR50" s="66">
        <f t="shared" si="50"/>
        <v>8.2595160391217952</v>
      </c>
      <c r="AS50" s="66">
        <f t="shared" si="51"/>
        <v>32.438505051571084</v>
      </c>
      <c r="AT50" s="66">
        <f t="shared" si="52"/>
        <v>63.326313061529518</v>
      </c>
      <c r="AU50" s="66">
        <f t="shared" si="53"/>
        <v>240.27741921421236</v>
      </c>
      <c r="AV50" s="171"/>
      <c r="AW50" s="166">
        <f t="shared" si="54"/>
        <v>-1.087366772914617</v>
      </c>
      <c r="AX50" s="166">
        <f t="shared" si="55"/>
        <v>-0.4932605425102834</v>
      </c>
      <c r="AY50" s="166">
        <f t="shared" si="48"/>
        <v>-0.20273717019625834</v>
      </c>
      <c r="AZ50" s="166">
        <f t="shared" si="49"/>
        <v>0.37639158482209983</v>
      </c>
      <c r="BA50" s="166"/>
      <c r="BB50" s="166">
        <f t="shared" si="56"/>
        <v>-0.92514012773501775</v>
      </c>
      <c r="BC50" s="166">
        <f t="shared" si="57"/>
        <v>-0.30535136944662378</v>
      </c>
      <c r="BD50" s="166">
        <f t="shared" si="58"/>
        <v>-4.3213737826425782E-3</v>
      </c>
      <c r="BE50" s="166">
        <f t="shared" si="59"/>
        <v>0.59773861754531976</v>
      </c>
      <c r="BF50" s="166"/>
      <c r="BG50" s="136">
        <f t="shared" si="60"/>
        <v>-0.15926856335474107</v>
      </c>
      <c r="BH50" s="136">
        <f t="shared" si="61"/>
        <v>-0.35174322519976475</v>
      </c>
      <c r="BI50" s="136">
        <f t="shared" si="62"/>
        <v>0.96131831579382188</v>
      </c>
      <c r="BJ50" s="136">
        <f t="shared" si="63"/>
        <v>0.632942942742725</v>
      </c>
    </row>
    <row r="51" spans="1:62" ht="18" hidden="1" x14ac:dyDescent="0.3">
      <c r="A51" s="2"/>
      <c r="B51" s="174"/>
      <c r="C51" s="137">
        <v>50</v>
      </c>
      <c r="D51" s="137">
        <v>100</v>
      </c>
      <c r="E51" s="137">
        <v>400</v>
      </c>
      <c r="F51" s="138">
        <v>700</v>
      </c>
      <c r="G51" s="146">
        <f t="shared" si="64"/>
        <v>12.979518079941133</v>
      </c>
      <c r="H51" s="146">
        <f t="shared" si="64"/>
        <v>23.480686873107558</v>
      </c>
      <c r="I51" s="146">
        <f t="shared" si="64"/>
        <v>80.428593009901149</v>
      </c>
      <c r="J51" s="146">
        <f t="shared" si="64"/>
        <v>100.79754908804027</v>
      </c>
      <c r="K51" s="135">
        <f t="shared" ref="K51:K53" si="67">LOG(G51/101)</f>
        <v>-0.89106280605694588</v>
      </c>
      <c r="L51" s="135">
        <f t="shared" ref="L51:L53" si="68">LOG(H51/101)</f>
        <v>-0.6336105767421073</v>
      </c>
      <c r="M51" s="135">
        <f t="shared" ref="M51:M53" si="69">LOG(I51/101)</f>
        <v>-9.8910902411702264E-2</v>
      </c>
      <c r="N51" s="135">
        <f t="shared" ref="N51:N53" si="70">LOG(J51/101)</f>
        <v>-8.7140149933049248E-4</v>
      </c>
      <c r="O51" s="147">
        <f t="shared" ref="O51:O53" si="71">LOG(C51/101)</f>
        <v>-0.30535136944662378</v>
      </c>
      <c r="P51" s="147">
        <f t="shared" ref="P51:P53" si="72">LOG(D51/101)</f>
        <v>-4.3213737826425782E-3</v>
      </c>
      <c r="Q51" s="147">
        <f t="shared" ref="Q51:Q53" si="73">LOG(E51/101)</f>
        <v>0.59773861754531976</v>
      </c>
      <c r="R51" s="147">
        <f t="shared" ref="R51:R53" si="74">LOG(F51/101)</f>
        <v>0.84077666623161429</v>
      </c>
      <c r="S51" s="136">
        <f t="shared" ref="S51:S53" si="75">AVERAGE(O51:R51)</f>
        <v>0.28221063513691691</v>
      </c>
      <c r="T51" s="136">
        <f t="shared" ref="T51:T53" si="76">AVERAGE(K51:N51)</f>
        <v>-0.40611392167752153</v>
      </c>
      <c r="U51" s="136">
        <f t="shared" ref="U51:U53" si="77">((O51-S51)*(K51-T51)+(P51-S51)*(L51-T51)+(Q51-S51)*(M51-T51)+(R51-S51)*(N51-T51))/((O51-S51)^2+(P51-S51)^2+(Q51-S51)^2+(R51-S51)^2)</f>
        <v>0.80274361191685617</v>
      </c>
      <c r="V51" s="136">
        <f t="shared" ref="V51:V53" si="78">10^(T51-(U51*S51))</f>
        <v>0.23299322553622989</v>
      </c>
      <c r="Y51" s="2"/>
      <c r="Z51" s="2"/>
      <c r="AA51" s="2"/>
      <c r="AB51" s="2"/>
      <c r="AC51" s="2"/>
      <c r="AD51" s="132"/>
      <c r="AE51" s="132"/>
      <c r="AF51" s="132"/>
      <c r="AG51" s="132"/>
      <c r="AH51" s="132"/>
      <c r="AI51" s="132"/>
      <c r="AL51" s="170"/>
      <c r="AM51" s="170"/>
      <c r="AN51" s="170"/>
      <c r="AO51" s="170"/>
      <c r="AP51" s="170"/>
      <c r="AQ51" s="170"/>
      <c r="AR51" s="66"/>
      <c r="AS51" s="66"/>
      <c r="AT51" s="66"/>
      <c r="AU51" s="66"/>
      <c r="AV51" s="171"/>
      <c r="AW51" s="166"/>
      <c r="AX51" s="166"/>
      <c r="AY51" s="166"/>
      <c r="AZ51" s="166"/>
      <c r="BA51" s="166"/>
      <c r="BB51" s="166"/>
      <c r="BC51" s="166"/>
      <c r="BD51" s="166"/>
      <c r="BE51" s="166"/>
      <c r="BF51" s="166"/>
      <c r="BG51" s="136"/>
      <c r="BH51" s="136"/>
      <c r="BI51" s="136"/>
      <c r="BJ51" s="136"/>
    </row>
    <row r="52" spans="1:62" ht="18" hidden="1" x14ac:dyDescent="0.3">
      <c r="A52" s="2"/>
      <c r="B52" s="174"/>
      <c r="C52" s="137">
        <v>50</v>
      </c>
      <c r="D52" s="137">
        <v>100</v>
      </c>
      <c r="E52" s="137">
        <v>400</v>
      </c>
      <c r="F52" s="138">
        <v>700</v>
      </c>
      <c r="G52" s="146">
        <f t="shared" si="64"/>
        <v>12.236984377040811</v>
      </c>
      <c r="H52" s="146">
        <f t="shared" si="64"/>
        <v>22.012160676777683</v>
      </c>
      <c r="I52" s="146">
        <f t="shared" si="64"/>
        <v>74.633629828225324</v>
      </c>
      <c r="J52" s="146">
        <f t="shared" si="64"/>
        <v>90.840417148917155</v>
      </c>
      <c r="K52" s="135">
        <f t="shared" si="67"/>
        <v>-0.91664696820934055</v>
      </c>
      <c r="L52" s="135">
        <f>LOG(H52/101)</f>
        <v>-0.66165869951889911</v>
      </c>
      <c r="M52" s="135">
        <f t="shared" si="69"/>
        <v>-0.13138680961054944</v>
      </c>
      <c r="N52" s="135">
        <f t="shared" si="70"/>
        <v>-4.6042253903627463E-2</v>
      </c>
      <c r="O52" s="147">
        <f t="shared" si="71"/>
        <v>-0.30535136944662378</v>
      </c>
      <c r="P52" s="147">
        <f t="shared" si="72"/>
        <v>-4.3213737826425782E-3</v>
      </c>
      <c r="Q52" s="147">
        <f t="shared" si="73"/>
        <v>0.59773861754531976</v>
      </c>
      <c r="R52" s="147">
        <f t="shared" si="74"/>
        <v>0.84077666623161429</v>
      </c>
      <c r="S52" s="136">
        <f t="shared" si="75"/>
        <v>0.28221063513691691</v>
      </c>
      <c r="T52" s="136">
        <f t="shared" si="76"/>
        <v>-0.43893368281060413</v>
      </c>
      <c r="U52" s="136">
        <f t="shared" si="77"/>
        <v>0.7879513399490603</v>
      </c>
      <c r="V52" s="136">
        <f t="shared" si="78"/>
        <v>0.21812129581814882</v>
      </c>
      <c r="Y52" s="2"/>
      <c r="Z52" s="2"/>
      <c r="AA52" s="2"/>
      <c r="AB52" s="2"/>
      <c r="AC52" s="2"/>
      <c r="AD52" s="132"/>
      <c r="AE52" s="132"/>
      <c r="AF52" s="132"/>
      <c r="AG52" s="132"/>
      <c r="AH52" s="132"/>
      <c r="AI52" s="132"/>
      <c r="AL52" s="170"/>
      <c r="AM52" s="170"/>
      <c r="AN52" s="170"/>
      <c r="AO52" s="170"/>
      <c r="AP52" s="170"/>
      <c r="AQ52" s="170"/>
      <c r="AR52" s="66"/>
      <c r="AS52" s="66"/>
      <c r="AT52" s="66"/>
      <c r="AU52" s="66"/>
      <c r="AV52" s="171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36"/>
      <c r="BH52" s="136"/>
      <c r="BI52" s="136"/>
      <c r="BJ52" s="136"/>
    </row>
    <row r="53" spans="1:62" ht="18" hidden="1" x14ac:dyDescent="0.3">
      <c r="A53" s="2"/>
      <c r="B53" s="174"/>
      <c r="C53" s="137">
        <v>50</v>
      </c>
      <c r="D53" s="137">
        <v>100</v>
      </c>
      <c r="E53" s="137">
        <v>400</v>
      </c>
      <c r="F53" s="138">
        <v>700</v>
      </c>
      <c r="G53" s="146">
        <f t="shared" si="64"/>
        <v>11.499508507355584</v>
      </c>
      <c r="H53" s="146">
        <f t="shared" si="64"/>
        <v>20.552634368612598</v>
      </c>
      <c r="I53" s="146">
        <f t="shared" si="64"/>
        <v>68.868784276973443</v>
      </c>
      <c r="J53" s="146">
        <f t="shared" si="64"/>
        <v>80.919306117536621</v>
      </c>
      <c r="K53" s="135">
        <f t="shared" si="67"/>
        <v>-0.94364209491640616</v>
      </c>
      <c r="L53" s="135">
        <f t="shared" si="68"/>
        <v>-0.69145387757417154</v>
      </c>
      <c r="M53" s="135">
        <f t="shared" si="69"/>
        <v>-0.1662989572190168</v>
      </c>
      <c r="N53" s="135">
        <f t="shared" si="70"/>
        <v>-9.6269223739942789E-2</v>
      </c>
      <c r="O53" s="147">
        <f t="shared" si="71"/>
        <v>-0.30535136944662378</v>
      </c>
      <c r="P53" s="147">
        <f t="shared" si="72"/>
        <v>-4.3213737826425782E-3</v>
      </c>
      <c r="Q53" s="147">
        <f t="shared" si="73"/>
        <v>0.59773861754531976</v>
      </c>
      <c r="R53" s="147">
        <f t="shared" si="74"/>
        <v>0.84077666623161429</v>
      </c>
      <c r="S53" s="136">
        <f t="shared" si="75"/>
        <v>0.28221063513691691</v>
      </c>
      <c r="T53" s="136">
        <f t="shared" si="76"/>
        <v>-0.47441603836238427</v>
      </c>
      <c r="U53" s="136">
        <f t="shared" si="77"/>
        <v>0.77046112396049082</v>
      </c>
      <c r="V53" s="136">
        <f t="shared" si="78"/>
        <v>0.20330667537103267</v>
      </c>
      <c r="Y53" s="2"/>
      <c r="Z53" s="2"/>
      <c r="AA53" s="2"/>
      <c r="AB53" s="2"/>
      <c r="AC53" s="2"/>
      <c r="AD53" s="132"/>
      <c r="AE53" s="132"/>
      <c r="AF53" s="132"/>
      <c r="AG53" s="132"/>
      <c r="AH53" s="132"/>
      <c r="AI53" s="132"/>
      <c r="AL53" s="170"/>
      <c r="AM53" s="170"/>
      <c r="AN53" s="170"/>
      <c r="AO53" s="170"/>
      <c r="AP53" s="170"/>
      <c r="AQ53" s="170"/>
      <c r="AR53" s="66"/>
      <c r="AS53" s="66"/>
      <c r="AT53" s="66"/>
      <c r="AU53" s="66"/>
      <c r="AV53" s="171"/>
      <c r="AW53" s="166"/>
      <c r="AX53" s="166"/>
      <c r="AY53" s="166"/>
      <c r="AZ53" s="166"/>
      <c r="BA53" s="166"/>
      <c r="BB53" s="166"/>
      <c r="BC53" s="166"/>
      <c r="BD53" s="166"/>
      <c r="BE53" s="166"/>
      <c r="BF53" s="166"/>
      <c r="BG53" s="136"/>
      <c r="BH53" s="136"/>
      <c r="BI53" s="136"/>
      <c r="BJ53" s="136"/>
    </row>
    <row r="54" spans="1:62" s="140" customFormat="1" ht="18" hidden="1" x14ac:dyDescent="0.35">
      <c r="B54" s="141"/>
      <c r="C54" s="141"/>
      <c r="D54" s="141"/>
      <c r="E54" s="141"/>
      <c r="F54" s="141"/>
      <c r="J54" s="142"/>
      <c r="K54" s="143"/>
      <c r="O54" s="144"/>
      <c r="P54" s="145"/>
      <c r="Y54" s="2"/>
      <c r="Z54" s="2"/>
      <c r="AA54" s="2"/>
      <c r="AB54" s="2"/>
      <c r="AC54" s="2"/>
      <c r="AD54" s="132"/>
      <c r="AE54" s="132"/>
      <c r="AF54" s="132"/>
      <c r="AG54" s="132"/>
      <c r="AH54" s="132"/>
      <c r="AI54" s="132"/>
      <c r="AJ54" s="3">
        <v>60</v>
      </c>
      <c r="AK54" s="3" t="s">
        <v>94</v>
      </c>
      <c r="AL54" s="170">
        <v>0</v>
      </c>
      <c r="AM54" s="170">
        <v>12</v>
      </c>
      <c r="AN54" s="170">
        <v>50</v>
      </c>
      <c r="AO54" s="170">
        <v>100</v>
      </c>
      <c r="AP54" s="170">
        <v>400</v>
      </c>
      <c r="AQ54" s="170"/>
      <c r="AR54" s="66">
        <f t="shared" si="50"/>
        <v>8.2251980956229858</v>
      </c>
      <c r="AS54" s="66">
        <f t="shared" si="51"/>
        <v>32.29146883722315</v>
      </c>
      <c r="AT54" s="66">
        <f t="shared" si="52"/>
        <v>62.987860037102564</v>
      </c>
      <c r="AU54" s="66">
        <f t="shared" si="53"/>
        <v>238.4647467286901</v>
      </c>
      <c r="AV54" s="171"/>
      <c r="AW54" s="166">
        <f t="shared" si="54"/>
        <v>-1.0891750074889044</v>
      </c>
      <c r="AX54" s="166">
        <f t="shared" ref="AX54:AZ58" si="79">LOG(AS54/101)</f>
        <v>-0.49523357362790282</v>
      </c>
      <c r="AY54" s="166">
        <f t="shared" si="79"/>
        <v>-0.20506451999484376</v>
      </c>
      <c r="AZ54" s="166">
        <f t="shared" si="79"/>
        <v>0.37310281071367013</v>
      </c>
      <c r="BA54" s="166"/>
      <c r="BB54" s="166">
        <f t="shared" si="56"/>
        <v>-0.92514012773501775</v>
      </c>
      <c r="BC54" s="166">
        <f t="shared" ref="BC54:BE58" si="80">LOG(AN54/101)</f>
        <v>-0.30535136944662378</v>
      </c>
      <c r="BD54" s="166">
        <f t="shared" si="80"/>
        <v>-4.3213737826425782E-3</v>
      </c>
      <c r="BE54" s="166">
        <f t="shared" si="80"/>
        <v>0.59773861754531976</v>
      </c>
      <c r="BF54" s="166"/>
      <c r="BG54" s="136">
        <f t="shared" si="60"/>
        <v>-0.15926856335474107</v>
      </c>
      <c r="BH54" s="136">
        <f t="shared" si="61"/>
        <v>-0.35409257259949523</v>
      </c>
      <c r="BI54" s="136">
        <f t="shared" si="62"/>
        <v>0.96034140966987125</v>
      </c>
      <c r="BJ54" s="136">
        <f t="shared" si="63"/>
        <v>0.62930274198221059</v>
      </c>
    </row>
    <row r="55" spans="1:62" ht="18" hidden="1" x14ac:dyDescent="0.35">
      <c r="A55" s="2"/>
      <c r="B55" s="418" t="s">
        <v>17</v>
      </c>
      <c r="C55" s="419"/>
      <c r="D55" s="419"/>
      <c r="E55" s="419"/>
      <c r="F55" s="420"/>
      <c r="G55" s="417"/>
      <c r="H55" s="417"/>
      <c r="I55" s="417"/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Y55" s="2"/>
      <c r="Z55" s="2"/>
      <c r="AA55" s="2"/>
      <c r="AB55" s="2"/>
      <c r="AC55" s="2"/>
      <c r="AD55" s="132"/>
      <c r="AE55" s="132"/>
      <c r="AF55" s="132"/>
      <c r="AG55" s="132"/>
      <c r="AH55" s="132"/>
      <c r="AI55" s="132"/>
      <c r="AJ55" s="3">
        <v>62.5</v>
      </c>
      <c r="AK55" s="3" t="s">
        <v>94</v>
      </c>
      <c r="AL55" s="170">
        <v>0</v>
      </c>
      <c r="AM55" s="170">
        <v>12</v>
      </c>
      <c r="AN55" s="170">
        <v>50</v>
      </c>
      <c r="AO55" s="170">
        <v>100</v>
      </c>
      <c r="AP55" s="170">
        <v>400</v>
      </c>
      <c r="AQ55" s="170"/>
      <c r="AR55" s="66">
        <f t="shared" si="50"/>
        <v>8.1918681522798771</v>
      </c>
      <c r="AS55" s="66">
        <f t="shared" si="51"/>
        <v>32.148085620629729</v>
      </c>
      <c r="AT55" s="66">
        <f t="shared" si="52"/>
        <v>62.658767149329499</v>
      </c>
      <c r="AU55" s="66">
        <f t="shared" si="53"/>
        <v>236.67782488060203</v>
      </c>
      <c r="AV55" s="171"/>
      <c r="AW55" s="166">
        <f t="shared" si="54"/>
        <v>-1.0909384200432335</v>
      </c>
      <c r="AX55" s="166">
        <f t="shared" si="79"/>
        <v>-0.49716625746021964</v>
      </c>
      <c r="AY55" s="166">
        <f t="shared" si="79"/>
        <v>-0.20733952817009602</v>
      </c>
      <c r="AZ55" s="166">
        <f t="shared" si="79"/>
        <v>0.36983619558229142</v>
      </c>
      <c r="BA55" s="166"/>
      <c r="BB55" s="166">
        <f t="shared" si="56"/>
        <v>-0.92514012773501775</v>
      </c>
      <c r="BC55" s="166">
        <f t="shared" si="80"/>
        <v>-0.30535136944662378</v>
      </c>
      <c r="BD55" s="166">
        <f t="shared" si="80"/>
        <v>-4.3213737826425782E-3</v>
      </c>
      <c r="BE55" s="166">
        <f t="shared" si="80"/>
        <v>0.59773861754531976</v>
      </c>
      <c r="BF55" s="166"/>
      <c r="BG55" s="136">
        <f t="shared" si="60"/>
        <v>-0.15926856335474107</v>
      </c>
      <c r="BH55" s="136">
        <f t="shared" si="61"/>
        <v>-0.3564020025228144</v>
      </c>
      <c r="BI55" s="136">
        <f t="shared" si="62"/>
        <v>0.95935177518820081</v>
      </c>
      <c r="BJ55" s="136">
        <f t="shared" si="63"/>
        <v>0.6257380673188121</v>
      </c>
    </row>
    <row r="56" spans="1:62" hidden="1" x14ac:dyDescent="0.3">
      <c r="A56" s="2"/>
      <c r="B56" s="415"/>
      <c r="C56" s="421" t="s">
        <v>71</v>
      </c>
      <c r="D56" s="422"/>
      <c r="E56" s="422"/>
      <c r="F56" s="423"/>
      <c r="G56" s="424" t="s">
        <v>73</v>
      </c>
      <c r="H56" s="425"/>
      <c r="I56" s="425"/>
      <c r="J56" s="426"/>
      <c r="K56" s="427"/>
      <c r="L56" s="428"/>
      <c r="M56" s="428"/>
      <c r="N56" s="429"/>
      <c r="O56" s="430"/>
      <c r="P56" s="431"/>
      <c r="Q56" s="431"/>
      <c r="R56" s="432"/>
      <c r="S56" s="139" t="s">
        <v>69</v>
      </c>
      <c r="T56" s="139" t="s">
        <v>70</v>
      </c>
      <c r="U56" s="139" t="s">
        <v>33</v>
      </c>
      <c r="V56" s="139" t="s">
        <v>32</v>
      </c>
      <c r="Y56" s="2"/>
      <c r="Z56" s="2"/>
      <c r="AA56" s="2"/>
      <c r="AB56" s="2"/>
      <c r="AC56" s="2"/>
      <c r="AD56" s="132"/>
      <c r="AE56" s="132"/>
      <c r="AF56" s="132"/>
      <c r="AG56" s="132"/>
      <c r="AH56" s="132"/>
      <c r="AI56" s="132"/>
      <c r="AJ56" s="3">
        <v>65</v>
      </c>
      <c r="AK56" s="3" t="s">
        <v>94</v>
      </c>
      <c r="AL56" s="170">
        <v>0</v>
      </c>
      <c r="AM56" s="170">
        <v>12</v>
      </c>
      <c r="AN56" s="170">
        <v>50</v>
      </c>
      <c r="AO56" s="170">
        <v>100</v>
      </c>
      <c r="AP56" s="170">
        <v>400</v>
      </c>
      <c r="AQ56" s="170"/>
      <c r="AR56" s="66">
        <f t="shared" si="50"/>
        <v>8.1595186617568203</v>
      </c>
      <c r="AS56" s="66">
        <f t="shared" si="51"/>
        <v>32.008327181741194</v>
      </c>
      <c r="AT56" s="66">
        <f t="shared" si="52"/>
        <v>62.338952180691955</v>
      </c>
      <c r="AU56" s="66">
        <f t="shared" si="53"/>
        <v>234.91635465177882</v>
      </c>
      <c r="AV56" s="171"/>
      <c r="AW56" s="166">
        <f t="shared" si="54"/>
        <v>-1.0926568337430751</v>
      </c>
      <c r="AX56" s="166">
        <f t="shared" si="79"/>
        <v>-0.49905839613094216</v>
      </c>
      <c r="AY56" s="166">
        <f t="shared" si="79"/>
        <v>-0.20956187558465011</v>
      </c>
      <c r="AZ56" s="166">
        <f t="shared" si="79"/>
        <v>0.36659187921366249</v>
      </c>
      <c r="BA56" s="166"/>
      <c r="BB56" s="166">
        <f t="shared" si="56"/>
        <v>-0.92514012773501775</v>
      </c>
      <c r="BC56" s="166">
        <f t="shared" si="80"/>
        <v>-0.30535136944662378</v>
      </c>
      <c r="BD56" s="166">
        <f t="shared" si="80"/>
        <v>-4.3213737826425782E-3</v>
      </c>
      <c r="BE56" s="166">
        <f t="shared" si="80"/>
        <v>0.59773861754531976</v>
      </c>
      <c r="BF56" s="166"/>
      <c r="BG56" s="136">
        <f t="shared" si="60"/>
        <v>-0.15926856335474107</v>
      </c>
      <c r="BH56" s="136">
        <f t="shared" si="61"/>
        <v>-0.35867130656125124</v>
      </c>
      <c r="BI56" s="136">
        <f t="shared" si="62"/>
        <v>0.95834940482110376</v>
      </c>
      <c r="BJ56" s="136">
        <f t="shared" si="63"/>
        <v>0.62224816755252255</v>
      </c>
    </row>
    <row r="57" spans="1:62" hidden="1" x14ac:dyDescent="0.3">
      <c r="A57" s="2"/>
      <c r="B57" s="415"/>
      <c r="C57" s="137">
        <v>12</v>
      </c>
      <c r="D57" s="137">
        <v>50</v>
      </c>
      <c r="E57" s="137">
        <v>100</v>
      </c>
      <c r="F57" s="138">
        <v>400</v>
      </c>
      <c r="G57" s="146">
        <f t="shared" ref="G57:J61" si="81">K10</f>
        <v>7.7769158749678873</v>
      </c>
      <c r="H57" s="146">
        <f t="shared" si="81"/>
        <v>27.544128303896027</v>
      </c>
      <c r="I57" s="146">
        <f t="shared" si="81"/>
        <v>48.603660003689733</v>
      </c>
      <c r="J57" s="146">
        <f t="shared" si="81"/>
        <v>170.35289355614125</v>
      </c>
      <c r="K57" s="135">
        <f t="shared" ref="K57:N58" si="82">LOG(G57/101)</f>
        <v>-1.1135139726846406</v>
      </c>
      <c r="L57" s="135">
        <f t="shared" si="82"/>
        <v>-0.56429234108485382</v>
      </c>
      <c r="M57" s="135">
        <f t="shared" si="82"/>
        <v>-0.31765239959119551</v>
      </c>
      <c r="N57" s="135">
        <f t="shared" si="82"/>
        <v>0.22702814096183246</v>
      </c>
      <c r="O57" s="147">
        <f t="shared" ref="O57:R58" si="83">LOG(C57/101)</f>
        <v>-0.92514012773501775</v>
      </c>
      <c r="P57" s="147">
        <f t="shared" si="83"/>
        <v>-0.30535136944662378</v>
      </c>
      <c r="Q57" s="147">
        <f t="shared" si="83"/>
        <v>-4.3213737826425782E-3</v>
      </c>
      <c r="R57" s="147">
        <f t="shared" si="83"/>
        <v>0.59773861754531976</v>
      </c>
      <c r="S57" s="136">
        <f>AVERAGE(O57:R57)</f>
        <v>-0.15926856335474107</v>
      </c>
      <c r="T57" s="136">
        <f>AVERAGE(K57:N57)</f>
        <v>-0.44210764309971434</v>
      </c>
      <c r="U57" s="136">
        <f>((O57-S57)*(K57-T57)+(P57-S57)*(L57-T57)+(Q57-S57)*(M57-T57)+(R57-S57)*(N57-T57))/((O57-S57)^2+(P57-S57)^2+(Q57-S57)^2+(R57-S57)^2)</f>
        <v>0.87793595633241095</v>
      </c>
      <c r="V57" s="136">
        <f>10^(T57-(U57*S57))</f>
        <v>0.49856289718779812</v>
      </c>
      <c r="Y57" s="2"/>
      <c r="Z57" s="2"/>
      <c r="AA57" s="2"/>
      <c r="AB57" s="2"/>
      <c r="AC57" s="2"/>
      <c r="AD57" s="132"/>
      <c r="AE57" s="132"/>
      <c r="AF57" s="132"/>
      <c r="AG57" s="132"/>
      <c r="AH57" s="132"/>
      <c r="AI57" s="132"/>
      <c r="AL57" s="170"/>
      <c r="AM57" s="170"/>
      <c r="AN57" s="170"/>
      <c r="AO57" s="170"/>
      <c r="AP57" s="170"/>
      <c r="AQ57" s="170"/>
      <c r="AR57" s="66"/>
      <c r="AS57" s="66"/>
      <c r="AT57" s="66"/>
      <c r="AU57" s="66"/>
      <c r="AV57" s="171"/>
      <c r="AW57" s="166"/>
      <c r="AX57" s="166"/>
      <c r="AY57" s="166"/>
      <c r="AZ57" s="166"/>
      <c r="BA57" s="166"/>
      <c r="BB57" s="166"/>
      <c r="BC57" s="166"/>
      <c r="BD57" s="166"/>
      <c r="BE57" s="166"/>
      <c r="BF57" s="166"/>
      <c r="BG57" s="136"/>
      <c r="BH57" s="136"/>
      <c r="BI57" s="136"/>
      <c r="BJ57" s="136"/>
    </row>
    <row r="58" spans="1:62" hidden="1" x14ac:dyDescent="0.3">
      <c r="A58" s="2"/>
      <c r="B58" s="415"/>
      <c r="C58" s="137">
        <v>12</v>
      </c>
      <c r="D58" s="137">
        <v>50</v>
      </c>
      <c r="E58" s="137">
        <v>100</v>
      </c>
      <c r="F58" s="138">
        <v>400</v>
      </c>
      <c r="G58" s="146">
        <f t="shared" si="81"/>
        <v>7.2807234331691024</v>
      </c>
      <c r="H58" s="146">
        <f t="shared" si="81"/>
        <v>25.972479858029541</v>
      </c>
      <c r="I58" s="146">
        <f t="shared" si="81"/>
        <v>45.617842082021255</v>
      </c>
      <c r="J58" s="146">
        <f t="shared" si="81"/>
        <v>159.73187585853964</v>
      </c>
      <c r="K58" s="135">
        <f t="shared" si="82"/>
        <v>-1.1421468396036996</v>
      </c>
      <c r="L58" s="135">
        <f t="shared" si="82"/>
        <v>-0.58980795564194433</v>
      </c>
      <c r="M58" s="135">
        <f t="shared" si="82"/>
        <v>-0.34518663633250657</v>
      </c>
      <c r="N58" s="135">
        <f t="shared" si="82"/>
        <v>0.1990702181735147</v>
      </c>
      <c r="O58" s="147">
        <f t="shared" si="83"/>
        <v>-0.92514012773501775</v>
      </c>
      <c r="P58" s="147">
        <f t="shared" si="83"/>
        <v>-0.30535136944662378</v>
      </c>
      <c r="Q58" s="147">
        <f t="shared" si="83"/>
        <v>-4.3213737826425782E-3</v>
      </c>
      <c r="R58" s="147">
        <f t="shared" si="83"/>
        <v>0.59773861754531976</v>
      </c>
      <c r="S58" s="136">
        <f>AVERAGE(O58:R58)</f>
        <v>-0.15926856335474107</v>
      </c>
      <c r="T58" s="136">
        <f>AVERAGE(K58:N58)</f>
        <v>-0.469517803351159</v>
      </c>
      <c r="U58" s="136">
        <f>((O58-S58)*(K58-T58)+(P58-S58)*(L58-T58)+(Q58-S58)*(M58-T58)+(R58-S58)*(N58-T58))/((O58-S58)^2+(P58-S58)^2+(Q58-S58)^2+(R58-S58)^2)</f>
        <v>0.87812333910977447</v>
      </c>
      <c r="V58" s="136">
        <f>10^(T58-(U58*S58))</f>
        <v>0.46810107589008382</v>
      </c>
      <c r="Y58" s="2"/>
      <c r="Z58" s="2"/>
      <c r="AA58" s="2"/>
      <c r="AB58" s="2"/>
      <c r="AC58" s="2"/>
      <c r="AD58" s="132"/>
      <c r="AE58" s="132"/>
      <c r="AF58" s="132"/>
      <c r="AG58" s="132"/>
      <c r="AH58" s="132"/>
      <c r="AI58" s="132"/>
      <c r="AJ58" s="3">
        <v>67.5</v>
      </c>
      <c r="AK58" s="3" t="s">
        <v>94</v>
      </c>
      <c r="AL58" s="170">
        <v>0</v>
      </c>
      <c r="AM58" s="170">
        <v>12</v>
      </c>
      <c r="AN58" s="170">
        <v>50</v>
      </c>
      <c r="AO58" s="170">
        <v>100</v>
      </c>
      <c r="AP58" s="170">
        <v>400</v>
      </c>
      <c r="AQ58" s="170"/>
      <c r="AR58" s="66">
        <f t="shared" si="50"/>
        <v>8.1281423578745091</v>
      </c>
      <c r="AS58" s="66">
        <f t="shared" si="51"/>
        <v>31.872166251466911</v>
      </c>
      <c r="AT58" s="66">
        <f t="shared" si="52"/>
        <v>62.028336034793561</v>
      </c>
      <c r="AU58" s="66">
        <f t="shared" si="53"/>
        <v>233.18004512337987</v>
      </c>
      <c r="AV58" s="171"/>
      <c r="AW58" s="166">
        <f t="shared" si="54"/>
        <v>-1.094330072457717</v>
      </c>
      <c r="AX58" s="166">
        <f t="shared" si="79"/>
        <v>-0.50090979166797933</v>
      </c>
      <c r="AY58" s="166">
        <f t="shared" si="79"/>
        <v>-0.2117312427966222</v>
      </c>
      <c r="AZ58" s="166">
        <f t="shared" si="79"/>
        <v>0.3633700082236701</v>
      </c>
      <c r="BA58" s="166"/>
      <c r="BB58" s="166">
        <f t="shared" si="56"/>
        <v>-0.92514012773501775</v>
      </c>
      <c r="BC58" s="166">
        <f t="shared" si="80"/>
        <v>-0.30535136944662378</v>
      </c>
      <c r="BD58" s="166">
        <f t="shared" si="80"/>
        <v>-4.3213737826425782E-3</v>
      </c>
      <c r="BE58" s="166">
        <f t="shared" si="80"/>
        <v>0.59773861754531976</v>
      </c>
      <c r="BF58" s="166"/>
      <c r="BG58" s="136">
        <f t="shared" si="60"/>
        <v>-0.15926856335474107</v>
      </c>
      <c r="BH58" s="136">
        <f t="shared" si="61"/>
        <v>-0.36090027467466207</v>
      </c>
      <c r="BI58" s="136">
        <f t="shared" si="62"/>
        <v>0.95733429580674556</v>
      </c>
      <c r="BJ58" s="136">
        <f t="shared" si="63"/>
        <v>0.61883231370130398</v>
      </c>
    </row>
    <row r="59" spans="1:62" ht="18" hidden="1" x14ac:dyDescent="0.3">
      <c r="A59" s="2"/>
      <c r="B59" s="174"/>
      <c r="C59" s="137">
        <v>12</v>
      </c>
      <c r="D59" s="137">
        <v>50</v>
      </c>
      <c r="E59" s="137">
        <v>100</v>
      </c>
      <c r="F59" s="138">
        <v>400</v>
      </c>
      <c r="G59" s="146">
        <f t="shared" si="81"/>
        <v>6.8020850005725357</v>
      </c>
      <c r="H59" s="146">
        <f t="shared" si="81"/>
        <v>24.440235562404023</v>
      </c>
      <c r="I59" s="146">
        <f t="shared" si="81"/>
        <v>42.697866438175161</v>
      </c>
      <c r="J59" s="146">
        <f t="shared" si="81"/>
        <v>149.30162597637906</v>
      </c>
      <c r="K59" s="135">
        <f t="shared" ref="K59:K61" si="84">LOG(G59/101)</f>
        <v>-1.1716793190984711</v>
      </c>
      <c r="L59" s="135">
        <f t="shared" ref="L59:L61" si="85">LOG(H59/101)</f>
        <v>-0.61621598632999852</v>
      </c>
      <c r="M59" s="135">
        <f t="shared" ref="M59:M61" si="86">LOG(I59/101)</f>
        <v>-0.37391519939643247</v>
      </c>
      <c r="N59" s="135">
        <f t="shared" ref="N59:N61" si="87">LOG(J59/101)</f>
        <v>0.16974316367261671</v>
      </c>
      <c r="O59" s="147">
        <f t="shared" ref="O59:O61" si="88">LOG(C59/101)</f>
        <v>-0.92514012773501775</v>
      </c>
      <c r="P59" s="147">
        <f>LOG(D59/101)</f>
        <v>-0.30535136944662378</v>
      </c>
      <c r="Q59" s="147">
        <f t="shared" ref="Q59:Q61" si="89">LOG(E59/101)</f>
        <v>-4.3213737826425782E-3</v>
      </c>
      <c r="R59" s="147">
        <f t="shared" ref="R59:R61" si="90">LOG(F59/101)</f>
        <v>0.59773861754531976</v>
      </c>
      <c r="S59" s="136">
        <f>AVERAGE(O59:R59)</f>
        <v>-0.15926856335474107</v>
      </c>
      <c r="T59" s="136">
        <f>AVERAGE(K59:N59)</f>
        <v>-0.49801683528807128</v>
      </c>
      <c r="U59" s="136">
        <f>((O59-S59)*(K59-T59)+(P59-S59)*(L59-T59)+(Q59-S59)*(M59-T59)+(R59-S59)*(N59-T59))/((O59-S59)^2+(P59-S59)^2+(Q59-S59)^2+(R59-S59)^2)</f>
        <v>0.87797698213562181</v>
      </c>
      <c r="V59" s="136">
        <f t="shared" ref="V59:V61" si="91">10^(T59-(U59*S59))</f>
        <v>0.43834625176285286</v>
      </c>
      <c r="Y59" s="2"/>
      <c r="Z59" s="2"/>
      <c r="AA59" s="2"/>
      <c r="AB59" s="2"/>
      <c r="AC59" s="2"/>
      <c r="AD59" s="132"/>
      <c r="AE59" s="132"/>
      <c r="AF59" s="132"/>
      <c r="AG59" s="132"/>
      <c r="AH59" s="132"/>
      <c r="AI59" s="132"/>
      <c r="AL59" s="170"/>
      <c r="AM59" s="170"/>
      <c r="AN59" s="170"/>
      <c r="AO59" s="170"/>
      <c r="AP59" s="170"/>
      <c r="AQ59" s="170"/>
      <c r="AR59" s="66"/>
      <c r="AS59" s="66"/>
      <c r="AT59" s="66"/>
      <c r="AU59" s="66"/>
      <c r="AV59" s="171"/>
      <c r="AW59" s="166"/>
      <c r="AX59" s="166"/>
      <c r="AY59" s="166"/>
      <c r="AZ59" s="166"/>
      <c r="BA59" s="166"/>
      <c r="BB59" s="166"/>
      <c r="BC59" s="166"/>
      <c r="BD59" s="166"/>
      <c r="BE59" s="166"/>
      <c r="BF59" s="166"/>
      <c r="BG59" s="136"/>
      <c r="BH59" s="136"/>
      <c r="BI59" s="136"/>
      <c r="BJ59" s="136"/>
    </row>
    <row r="60" spans="1:62" ht="18" hidden="1" x14ac:dyDescent="0.3">
      <c r="A60" s="2"/>
      <c r="B60" s="174"/>
      <c r="C60" s="137">
        <v>12</v>
      </c>
      <c r="D60" s="137">
        <v>50</v>
      </c>
      <c r="E60" s="137">
        <v>100</v>
      </c>
      <c r="F60" s="138">
        <v>400</v>
      </c>
      <c r="G60" s="146">
        <f t="shared" si="81"/>
        <v>6.3392847957658507</v>
      </c>
      <c r="H60" s="146">
        <f t="shared" si="81"/>
        <v>22.944167874891484</v>
      </c>
      <c r="I60" s="146">
        <f t="shared" si="81"/>
        <v>39.838202110685842</v>
      </c>
      <c r="J60" s="146">
        <f t="shared" si="81"/>
        <v>139.0465871022443</v>
      </c>
      <c r="K60" s="135">
        <f t="shared" si="84"/>
        <v>-1.202281110660103</v>
      </c>
      <c r="L60" s="135">
        <f t="shared" si="85"/>
        <v>-0.64364906219415619</v>
      </c>
      <c r="M60" s="135">
        <f t="shared" si="86"/>
        <v>-0.40402164320334377</v>
      </c>
      <c r="N60" s="135">
        <f t="shared" si="87"/>
        <v>0.13883895979256072</v>
      </c>
      <c r="O60" s="147">
        <f t="shared" si="88"/>
        <v>-0.92514012773501775</v>
      </c>
      <c r="P60" s="147">
        <f t="shared" ref="P60:P61" si="92">LOG(D60/101)</f>
        <v>-0.30535136944662378</v>
      </c>
      <c r="Q60" s="147">
        <f t="shared" si="89"/>
        <v>-4.3213737826425782E-3</v>
      </c>
      <c r="R60" s="147">
        <f t="shared" si="90"/>
        <v>0.59773861754531976</v>
      </c>
      <c r="S60" s="136">
        <f t="shared" ref="S60:S61" si="93">AVERAGE(O60:R60)</f>
        <v>-0.15926856335474107</v>
      </c>
      <c r="T60" s="136">
        <f t="shared" ref="T60:T61" si="94">AVERAGE(K60:N60)</f>
        <v>-0.52777821406626058</v>
      </c>
      <c r="U60" s="136">
        <f t="shared" ref="U60:U61" si="95">((O60-S60)*(K60-T60)+(P60-S60)*(L60-T60)+(Q60-S60)*(M60-T60)+(R60-S60)*(N60-T60))/((O60-S60)^2+(P60-S60)^2+(Q60-S60)^2+(R60-S60)^2)</f>
        <v>0.87746653665976704</v>
      </c>
      <c r="V60" s="136">
        <f t="shared" si="91"/>
        <v>0.4092367439793072</v>
      </c>
      <c r="Y60" s="2"/>
      <c r="Z60" s="2"/>
      <c r="AA60" s="2"/>
      <c r="AB60" s="2"/>
      <c r="AC60" s="2"/>
      <c r="AD60" s="132"/>
      <c r="AE60" s="132"/>
      <c r="AF60" s="132"/>
      <c r="AG60" s="132"/>
      <c r="AH60" s="132"/>
      <c r="AI60" s="132"/>
      <c r="AL60" s="170"/>
      <c r="AM60" s="170"/>
      <c r="AN60" s="170"/>
      <c r="AO60" s="170"/>
      <c r="AP60" s="170"/>
      <c r="AQ60" s="170"/>
      <c r="AR60" s="66"/>
      <c r="AS60" s="66"/>
      <c r="AT60" s="66"/>
      <c r="AU60" s="66"/>
      <c r="AV60" s="171"/>
      <c r="AW60" s="166"/>
      <c r="AX60" s="166"/>
      <c r="AY60" s="166"/>
      <c r="AZ60" s="166"/>
      <c r="BA60" s="166"/>
      <c r="BB60" s="166"/>
      <c r="BC60" s="166"/>
      <c r="BD60" s="166"/>
      <c r="BE60" s="166"/>
      <c r="BF60" s="166"/>
      <c r="BG60" s="136"/>
      <c r="BH60" s="136"/>
      <c r="BI60" s="136"/>
      <c r="BJ60" s="136"/>
    </row>
    <row r="61" spans="1:62" ht="18" hidden="1" x14ac:dyDescent="0.3">
      <c r="A61" s="2"/>
      <c r="B61" s="174"/>
      <c r="C61" s="137">
        <v>12</v>
      </c>
      <c r="D61" s="137">
        <v>50</v>
      </c>
      <c r="E61" s="137">
        <v>100</v>
      </c>
      <c r="F61" s="138">
        <v>400</v>
      </c>
      <c r="G61" s="146">
        <f t="shared" si="81"/>
        <v>5.8907728701056126</v>
      </c>
      <c r="H61" s="146">
        <f t="shared" si="81"/>
        <v>21.481284432811183</v>
      </c>
      <c r="I61" s="146">
        <f t="shared" si="81"/>
        <v>37.033685645773836</v>
      </c>
      <c r="J61" s="146">
        <f t="shared" si="81"/>
        <v>128.95207608366908</v>
      </c>
      <c r="K61" s="135">
        <f t="shared" si="84"/>
        <v>-1.2341490957693506</v>
      </c>
      <c r="L61" s="135">
        <f t="shared" si="85"/>
        <v>-0.67226112816085171</v>
      </c>
      <c r="M61" s="135">
        <f t="shared" si="86"/>
        <v>-0.43572443796951088</v>
      </c>
      <c r="N61" s="135">
        <f t="shared" si="87"/>
        <v>0.10610696473802515</v>
      </c>
      <c r="O61" s="147">
        <f t="shared" si="88"/>
        <v>-0.92514012773501775</v>
      </c>
      <c r="P61" s="147">
        <f t="shared" si="92"/>
        <v>-0.30535136944662378</v>
      </c>
      <c r="Q61" s="147">
        <f t="shared" si="89"/>
        <v>-4.3213737826425782E-3</v>
      </c>
      <c r="R61" s="147">
        <f t="shared" si="90"/>
        <v>0.59773861754531976</v>
      </c>
      <c r="S61" s="136">
        <f t="shared" si="93"/>
        <v>-0.15926856335474107</v>
      </c>
      <c r="T61" s="136">
        <f t="shared" si="94"/>
        <v>-0.55900692429042209</v>
      </c>
      <c r="U61" s="136">
        <f t="shared" si="95"/>
        <v>0.87655024692372152</v>
      </c>
      <c r="V61" s="136">
        <f t="shared" si="91"/>
        <v>0.38071498780292351</v>
      </c>
      <c r="Y61" s="2"/>
      <c r="Z61" s="2"/>
      <c r="AA61" s="2"/>
      <c r="AB61" s="2"/>
      <c r="AC61" s="2"/>
      <c r="AD61" s="132"/>
      <c r="AE61" s="132"/>
      <c r="AF61" s="132"/>
      <c r="AG61" s="132"/>
      <c r="AH61" s="132"/>
      <c r="AI61" s="132"/>
      <c r="AL61" s="170"/>
      <c r="AM61" s="170"/>
      <c r="AN61" s="170"/>
      <c r="AO61" s="170"/>
      <c r="AP61" s="170"/>
      <c r="AQ61" s="170"/>
      <c r="AR61" s="66"/>
      <c r="AS61" s="66"/>
      <c r="AT61" s="66"/>
      <c r="AU61" s="66"/>
      <c r="AV61" s="171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36"/>
      <c r="BH61" s="136"/>
      <c r="BI61" s="136"/>
      <c r="BJ61" s="136"/>
    </row>
    <row r="62" spans="1:62" hidden="1" x14ac:dyDescent="0.3">
      <c r="A62" s="2"/>
      <c r="Y62" s="2"/>
      <c r="Z62" s="2"/>
      <c r="AA62" s="2"/>
      <c r="AB62" s="2"/>
      <c r="AC62" s="2"/>
      <c r="AD62" s="132"/>
      <c r="AE62" s="132"/>
      <c r="AF62" s="132"/>
      <c r="AG62" s="132"/>
      <c r="AH62" s="132"/>
      <c r="AI62" s="132"/>
      <c r="AJ62" s="3">
        <v>70</v>
      </c>
      <c r="AK62" s="3" t="s">
        <v>94</v>
      </c>
      <c r="AL62" s="170">
        <v>0</v>
      </c>
      <c r="AM62" s="170">
        <v>12</v>
      </c>
      <c r="AN62" s="170">
        <v>50</v>
      </c>
      <c r="AO62" s="170">
        <v>100</v>
      </c>
      <c r="AP62" s="170">
        <v>400</v>
      </c>
      <c r="AQ62" s="170"/>
      <c r="AR62" s="66">
        <f t="shared" si="50"/>
        <v>8.09773224850486</v>
      </c>
      <c r="AS62" s="66">
        <f t="shared" si="51"/>
        <v>31.739576487347804</v>
      </c>
      <c r="AT62" s="66">
        <f t="shared" si="52"/>
        <v>61.726842644991486</v>
      </c>
      <c r="AU62" s="66">
        <f t="shared" si="53"/>
        <v>231.46861324118854</v>
      </c>
      <c r="AV62" s="171"/>
      <c r="AW62" s="166">
        <f t="shared" si="54"/>
        <v>-1.09595796105873</v>
      </c>
      <c r="AX62" s="166">
        <f t="shared" ref="AX62:AX78" si="96">LOG(AS62/101)</f>
        <v>-0.50272024627354772</v>
      </c>
      <c r="AY62" s="166">
        <f t="shared" ref="AY62:AY78" si="97">LOG(AT62/101)</f>
        <v>-0.21384731060018086</v>
      </c>
      <c r="AZ62" s="166">
        <f t="shared" ref="AZ62:AZ78" si="98">LOG(AU62/101)</f>
        <v>0.36017073595451787</v>
      </c>
      <c r="BA62" s="166"/>
      <c r="BB62" s="166">
        <f t="shared" si="56"/>
        <v>-0.92514012773501775</v>
      </c>
      <c r="BC62" s="166">
        <f t="shared" ref="BC62:BC78" si="99">LOG(AN62/101)</f>
        <v>-0.30535136944662378</v>
      </c>
      <c r="BD62" s="166">
        <f t="shared" ref="BD62:BD78" si="100">LOG(AO62/101)</f>
        <v>-4.3213737826425782E-3</v>
      </c>
      <c r="BE62" s="166">
        <f t="shared" ref="BE62:BE78" si="101">LOG(AP62/101)</f>
        <v>0.59773861754531976</v>
      </c>
      <c r="BF62" s="166"/>
      <c r="BG62" s="136">
        <f t="shared" si="60"/>
        <v>-0.15926856335474107</v>
      </c>
      <c r="BH62" s="136">
        <f t="shared" si="61"/>
        <v>-0.36308869549448514</v>
      </c>
      <c r="BI62" s="136">
        <f t="shared" si="62"/>
        <v>0.95630645023684779</v>
      </c>
      <c r="BJ62" s="136">
        <f t="shared" si="63"/>
        <v>0.61548979834964257</v>
      </c>
    </row>
    <row r="63" spans="1:62" ht="18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409"/>
      <c r="L63" s="410"/>
      <c r="M63" s="410"/>
      <c r="N63" s="410"/>
      <c r="O63" s="41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32"/>
      <c r="AE63" s="132"/>
      <c r="AF63" s="132"/>
      <c r="AG63" s="132"/>
      <c r="AH63" s="132"/>
      <c r="AI63" s="132"/>
      <c r="AJ63" s="3">
        <v>72.5</v>
      </c>
      <c r="AK63" s="3" t="s">
        <v>94</v>
      </c>
      <c r="AL63" s="170">
        <v>0</v>
      </c>
      <c r="AM63" s="170">
        <v>12</v>
      </c>
      <c r="AN63" s="170">
        <v>50</v>
      </c>
      <c r="AO63" s="170">
        <v>100</v>
      </c>
      <c r="AP63" s="170">
        <v>400</v>
      </c>
      <c r="AQ63" s="170"/>
      <c r="AR63" s="66">
        <f t="shared" si="50"/>
        <v>8.0682816087716134</v>
      </c>
      <c r="AS63" s="66">
        <f t="shared" si="51"/>
        <v>31.610532450182976</v>
      </c>
      <c r="AT63" s="66">
        <f t="shared" si="52"/>
        <v>61.434398887056162</v>
      </c>
      <c r="AU63" s="66">
        <f t="shared" si="53"/>
        <v>229.78178358902497</v>
      </c>
      <c r="AV63" s="171"/>
      <c r="AW63" s="166">
        <f t="shared" si="54"/>
        <v>-1.0975403257142509</v>
      </c>
      <c r="AX63" s="166">
        <f t="shared" si="96"/>
        <v>-0.50448956259257793</v>
      </c>
      <c r="AY63" s="166">
        <f t="shared" si="97"/>
        <v>-0.21590976056339264</v>
      </c>
      <c r="AZ63" s="166">
        <f t="shared" si="98"/>
        <v>0.35699422236966816</v>
      </c>
      <c r="BA63" s="166"/>
      <c r="BB63" s="166">
        <f t="shared" si="56"/>
        <v>-0.92514012773501775</v>
      </c>
      <c r="BC63" s="166">
        <f t="shared" si="99"/>
        <v>-0.30535136944662378</v>
      </c>
      <c r="BD63" s="166">
        <f t="shared" si="100"/>
        <v>-4.3213737826425782E-3</v>
      </c>
      <c r="BE63" s="166">
        <f t="shared" si="101"/>
        <v>0.59773861754531976</v>
      </c>
      <c r="BF63" s="166"/>
      <c r="BG63" s="136">
        <f t="shared" si="60"/>
        <v>-0.15926856335474107</v>
      </c>
      <c r="BH63" s="136">
        <f t="shared" si="61"/>
        <v>-0.36523635662513831</v>
      </c>
      <c r="BI63" s="136">
        <f t="shared" si="62"/>
        <v>0.95526587514110672</v>
      </c>
      <c r="BJ63" s="136">
        <f t="shared" si="63"/>
        <v>0.6122199350236478</v>
      </c>
    </row>
    <row r="64" spans="1:62" ht="18.89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366" t="s">
        <v>110</v>
      </c>
      <c r="L64" s="367"/>
      <c r="M64" s="367"/>
      <c r="N64" s="368"/>
      <c r="O64" s="2"/>
      <c r="P64" s="386" t="s">
        <v>89</v>
      </c>
      <c r="Q64" s="387"/>
      <c r="R64" s="387"/>
      <c r="S64" s="388"/>
      <c r="T64" s="230"/>
      <c r="U64" s="380" t="s">
        <v>101</v>
      </c>
      <c r="V64" s="381"/>
      <c r="W64" s="381"/>
      <c r="X64" s="382"/>
      <c r="Y64" s="230"/>
      <c r="Z64" s="336" t="s">
        <v>102</v>
      </c>
      <c r="AA64" s="337"/>
      <c r="AB64" s="337"/>
      <c r="AC64" s="338"/>
      <c r="AD64" s="230"/>
      <c r="AE64" s="342" t="s">
        <v>103</v>
      </c>
      <c r="AF64" s="343"/>
      <c r="AG64" s="343"/>
      <c r="AH64" s="344"/>
      <c r="AI64" s="132"/>
      <c r="AJ64" s="3">
        <v>75</v>
      </c>
      <c r="AK64" s="3" t="s">
        <v>94</v>
      </c>
      <c r="AL64" s="170">
        <v>0</v>
      </c>
      <c r="AM64" s="170">
        <v>12</v>
      </c>
      <c r="AN64" s="170">
        <v>50</v>
      </c>
      <c r="AO64" s="170">
        <v>100</v>
      </c>
      <c r="AP64" s="170">
        <v>400</v>
      </c>
      <c r="AQ64" s="170"/>
      <c r="AR64" s="66">
        <f t="shared" si="50"/>
        <v>8.0397839745458413</v>
      </c>
      <c r="AS64" s="66">
        <f t="shared" si="51"/>
        <v>31.48500958157631</v>
      </c>
      <c r="AT64" s="66">
        <f t="shared" si="52"/>
        <v>61.150934495698358</v>
      </c>
      <c r="AU64" s="66">
        <f t="shared" si="53"/>
        <v>228.11928816995021</v>
      </c>
      <c r="AV64" s="171"/>
      <c r="AW64" s="166">
        <f t="shared" si="54"/>
        <v>-1.0990769941788572</v>
      </c>
      <c r="AX64" s="166">
        <f t="shared" si="96"/>
        <v>-0.50621754397924135</v>
      </c>
      <c r="AY64" s="166">
        <f t="shared" si="97"/>
        <v>-0.21791827556284665</v>
      </c>
      <c r="AZ64" s="166">
        <f t="shared" si="98"/>
        <v>0.35384063394742954</v>
      </c>
      <c r="BA64" s="166"/>
      <c r="BB64" s="166">
        <f t="shared" si="56"/>
        <v>-0.92514012773501775</v>
      </c>
      <c r="BC64" s="166">
        <f t="shared" si="99"/>
        <v>-0.30535136944662378</v>
      </c>
      <c r="BD64" s="166">
        <f t="shared" si="100"/>
        <v>-4.3213737826425782E-3</v>
      </c>
      <c r="BE64" s="166">
        <f t="shared" si="101"/>
        <v>0.59773861754531976</v>
      </c>
      <c r="BF64" s="166"/>
      <c r="BG64" s="136">
        <f t="shared" si="60"/>
        <v>-0.15926856335474107</v>
      </c>
      <c r="BH64" s="136">
        <f t="shared" si="61"/>
        <v>-0.36734304494337888</v>
      </c>
      <c r="BI64" s="136">
        <f t="shared" si="62"/>
        <v>0.95421258256815089</v>
      </c>
      <c r="BJ64" s="136">
        <f t="shared" si="63"/>
        <v>0.60902205759172967</v>
      </c>
    </row>
    <row r="65" spans="1:62" ht="18.89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369"/>
      <c r="L65" s="370"/>
      <c r="M65" s="370"/>
      <c r="N65" s="371"/>
      <c r="O65" s="2"/>
      <c r="P65" s="387"/>
      <c r="Q65" s="387"/>
      <c r="R65" s="387"/>
      <c r="S65" s="388"/>
      <c r="T65" s="230"/>
      <c r="U65" s="383"/>
      <c r="V65" s="384"/>
      <c r="W65" s="384"/>
      <c r="X65" s="385"/>
      <c r="Y65" s="230"/>
      <c r="Z65" s="339"/>
      <c r="AA65" s="340"/>
      <c r="AB65" s="340"/>
      <c r="AC65" s="341"/>
      <c r="AD65" s="230"/>
      <c r="AE65" s="345"/>
      <c r="AF65" s="346"/>
      <c r="AG65" s="346"/>
      <c r="AH65" s="347"/>
      <c r="AI65" s="132"/>
      <c r="AJ65" s="3">
        <v>77.5</v>
      </c>
      <c r="AK65" s="3" t="s">
        <v>94</v>
      </c>
      <c r="AL65" s="170">
        <v>0</v>
      </c>
      <c r="AM65" s="170">
        <v>12</v>
      </c>
      <c r="AN65" s="170">
        <v>50</v>
      </c>
      <c r="AO65" s="170">
        <v>100</v>
      </c>
      <c r="AP65" s="170">
        <v>400</v>
      </c>
      <c r="AQ65" s="170"/>
      <c r="AR65" s="66">
        <f t="shared" si="50"/>
        <v>8.0122331362259711</v>
      </c>
      <c r="AS65" s="66">
        <f t="shared" si="51"/>
        <v>31.362984182371196</v>
      </c>
      <c r="AT65" s="66">
        <f t="shared" si="52"/>
        <v>60.876381984810465</v>
      </c>
      <c r="AU65" s="66">
        <f t="shared" si="53"/>
        <v>226.48086619495155</v>
      </c>
      <c r="AV65" s="171"/>
      <c r="AW65" s="166">
        <f t="shared" si="54"/>
        <v>-1.1005677960788027</v>
      </c>
      <c r="AX65" s="166">
        <f t="shared" si="96"/>
        <v>-0.50790399476140557</v>
      </c>
      <c r="AY65" s="166">
        <f t="shared" si="97"/>
        <v>-0.21987254031453715</v>
      </c>
      <c r="AZ65" s="166">
        <f t="shared" si="98"/>
        <v>0.35071014357302788</v>
      </c>
      <c r="BA65" s="166"/>
      <c r="BB65" s="166">
        <f t="shared" si="56"/>
        <v>-0.92514012773501775</v>
      </c>
      <c r="BC65" s="166">
        <f t="shared" si="99"/>
        <v>-0.30535136944662378</v>
      </c>
      <c r="BD65" s="166">
        <f t="shared" si="100"/>
        <v>-4.3213737826425782E-3</v>
      </c>
      <c r="BE65" s="166">
        <f t="shared" si="101"/>
        <v>0.59773861754531976</v>
      </c>
      <c r="BF65" s="166"/>
      <c r="BG65" s="136">
        <f t="shared" si="60"/>
        <v>-0.15926856335474107</v>
      </c>
      <c r="BH65" s="136">
        <f t="shared" si="61"/>
        <v>-0.36940854689542935</v>
      </c>
      <c r="BI65" s="136">
        <f t="shared" si="62"/>
        <v>0.95314658966282317</v>
      </c>
      <c r="BJ65" s="136">
        <f t="shared" si="63"/>
        <v>0.60589551968993016</v>
      </c>
    </row>
    <row r="66" spans="1:62" ht="18.89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334" t="s">
        <v>31</v>
      </c>
      <c r="L66" s="335"/>
      <c r="M66" s="175"/>
      <c r="N66" s="165"/>
      <c r="O66" s="2"/>
      <c r="P66" s="334" t="s">
        <v>31</v>
      </c>
      <c r="Q66" s="335"/>
      <c r="R66" s="175"/>
      <c r="S66" s="165"/>
      <c r="T66" s="2"/>
      <c r="U66" s="334" t="s">
        <v>31</v>
      </c>
      <c r="V66" s="335"/>
      <c r="W66" s="175"/>
      <c r="X66" s="165"/>
      <c r="Y66" s="2"/>
      <c r="Z66" s="334" t="s">
        <v>31</v>
      </c>
      <c r="AA66" s="335"/>
      <c r="AB66" s="175"/>
      <c r="AC66" s="165"/>
      <c r="AD66" s="2"/>
      <c r="AE66" s="334" t="s">
        <v>31</v>
      </c>
      <c r="AF66" s="335"/>
      <c r="AG66" s="175"/>
      <c r="AH66" s="165"/>
      <c r="AI66" s="132"/>
      <c r="AJ66" s="3">
        <v>80</v>
      </c>
      <c r="AK66" s="3" t="s">
        <v>94</v>
      </c>
      <c r="AL66" s="170">
        <v>0</v>
      </c>
      <c r="AM66" s="170">
        <v>12</v>
      </c>
      <c r="AN66" s="170">
        <v>50</v>
      </c>
      <c r="AO66" s="170">
        <v>100</v>
      </c>
      <c r="AP66" s="170">
        <v>400</v>
      </c>
      <c r="AQ66" s="170"/>
      <c r="AR66" s="66">
        <f t="shared" si="50"/>
        <v>7.9856231327926501</v>
      </c>
      <c r="AS66" s="66">
        <f t="shared" si="51"/>
        <v>31.244433391942845</v>
      </c>
      <c r="AT66" s="66">
        <f t="shared" si="52"/>
        <v>60.610676571278212</v>
      </c>
      <c r="AU66" s="66">
        <f t="shared" si="53"/>
        <v>224.86626387881296</v>
      </c>
      <c r="AV66" s="171"/>
      <c r="AW66" s="166">
        <f t="shared" si="54"/>
        <v>-1.1020125631923665</v>
      </c>
      <c r="AX66" s="166">
        <f t="shared" si="96"/>
        <v>-0.50954872050281463</v>
      </c>
      <c r="AY66" s="166">
        <f t="shared" si="97"/>
        <v>-0.22177224190045336</v>
      </c>
      <c r="AZ66" s="166">
        <f t="shared" si="98"/>
        <v>0.34760293042900281</v>
      </c>
      <c r="BA66" s="166"/>
      <c r="BB66" s="166">
        <f t="shared" si="56"/>
        <v>-0.92514012773501775</v>
      </c>
      <c r="BC66" s="166">
        <f t="shared" si="99"/>
        <v>-0.30535136944662378</v>
      </c>
      <c r="BD66" s="166">
        <f t="shared" si="100"/>
        <v>-4.3213737826425782E-3</v>
      </c>
      <c r="BE66" s="166">
        <f t="shared" si="101"/>
        <v>0.59773861754531976</v>
      </c>
      <c r="BF66" s="166"/>
      <c r="BG66" s="136">
        <f t="shared" si="60"/>
        <v>-0.15926856335474107</v>
      </c>
      <c r="BH66" s="136">
        <f t="shared" si="61"/>
        <v>-0.37143264879165794</v>
      </c>
      <c r="BI66" s="136">
        <f t="shared" si="62"/>
        <v>0.95206791873958374</v>
      </c>
      <c r="BJ66" s="136">
        <f t="shared" si="63"/>
        <v>0.60283969417104222</v>
      </c>
    </row>
    <row r="67" spans="1:62" ht="18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94" t="s">
        <v>32</v>
      </c>
      <c r="L67" s="94" t="s">
        <v>33</v>
      </c>
      <c r="M67" s="164"/>
      <c r="N67" s="165"/>
      <c r="O67" s="2"/>
      <c r="P67" s="94" t="s">
        <v>32</v>
      </c>
      <c r="Q67" s="94" t="s">
        <v>33</v>
      </c>
      <c r="R67" s="164"/>
      <c r="S67" s="165"/>
      <c r="T67" s="2"/>
      <c r="U67" s="94" t="s">
        <v>32</v>
      </c>
      <c r="V67" s="94" t="s">
        <v>33</v>
      </c>
      <c r="W67" s="164"/>
      <c r="X67" s="165"/>
      <c r="Y67" s="2"/>
      <c r="Z67" s="94" t="s">
        <v>32</v>
      </c>
      <c r="AA67" s="94" t="s">
        <v>33</v>
      </c>
      <c r="AB67" s="164"/>
      <c r="AC67" s="165"/>
      <c r="AD67" s="2"/>
      <c r="AE67" s="94" t="s">
        <v>32</v>
      </c>
      <c r="AF67" s="94" t="s">
        <v>33</v>
      </c>
      <c r="AG67" s="164"/>
      <c r="AH67" s="165"/>
      <c r="AI67" s="132"/>
      <c r="AJ67" s="3">
        <v>82.5</v>
      </c>
      <c r="AK67" s="3" t="s">
        <v>94</v>
      </c>
      <c r="AL67" s="170">
        <v>0</v>
      </c>
      <c r="AM67" s="170">
        <v>12</v>
      </c>
      <c r="AN67" s="170">
        <v>50</v>
      </c>
      <c r="AO67" s="170">
        <v>100</v>
      </c>
      <c r="AP67" s="170">
        <v>400</v>
      </c>
      <c r="AQ67" s="170"/>
      <c r="AR67" s="66">
        <f t="shared" si="50"/>
        <v>7.9599482461291942</v>
      </c>
      <c r="AS67" s="66">
        <f t="shared" si="51"/>
        <v>31.129335168319017</v>
      </c>
      <c r="AT67" s="66">
        <f t="shared" si="52"/>
        <v>60.353756102226441</v>
      </c>
      <c r="AU67" s="66">
        <f t="shared" si="53"/>
        <v>223.27523424288862</v>
      </c>
      <c r="AV67" s="171"/>
      <c r="AW67" s="166">
        <f t="shared" si="54"/>
        <v>-1.103411129725071</v>
      </c>
      <c r="AX67" s="166">
        <f t="shared" si="96"/>
        <v>-0.5111515282627892</v>
      </c>
      <c r="AY67" s="166">
        <f t="shared" si="97"/>
        <v>-0.22361707029030226</v>
      </c>
      <c r="AZ67" s="166">
        <f t="shared" si="98"/>
        <v>0.34451917988377723</v>
      </c>
      <c r="BA67" s="166"/>
      <c r="BB67" s="166">
        <f t="shared" si="56"/>
        <v>-0.92514012773501775</v>
      </c>
      <c r="BC67" s="166">
        <f t="shared" si="99"/>
        <v>-0.30535136944662378</v>
      </c>
      <c r="BD67" s="166">
        <f t="shared" si="100"/>
        <v>-4.3213737826425782E-3</v>
      </c>
      <c r="BE67" s="166">
        <f t="shared" si="101"/>
        <v>0.59773861754531976</v>
      </c>
      <c r="BF67" s="166"/>
      <c r="BG67" s="136">
        <f t="shared" si="60"/>
        <v>-0.15926856335474107</v>
      </c>
      <c r="BH67" s="136">
        <f t="shared" si="61"/>
        <v>-0.37341513709859631</v>
      </c>
      <c r="BI67" s="136">
        <f t="shared" si="62"/>
        <v>0.95097659735182816</v>
      </c>
      <c r="BJ67" s="136">
        <f t="shared" si="63"/>
        <v>0.59985397257668516</v>
      </c>
    </row>
    <row r="68" spans="1:62" ht="20.100000000000001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526">
        <f>V57</f>
        <v>0.49856289718779812</v>
      </c>
      <c r="L68" s="526">
        <f>U57</f>
        <v>0.87793595633241095</v>
      </c>
      <c r="M68" s="164"/>
      <c r="N68" s="176"/>
      <c r="O68" s="2"/>
      <c r="P68" s="526">
        <f>V58</f>
        <v>0.46810107589008382</v>
      </c>
      <c r="Q68" s="526">
        <f>U58</f>
        <v>0.87812333910977447</v>
      </c>
      <c r="R68" s="164"/>
      <c r="S68" s="176"/>
      <c r="T68" s="2"/>
      <c r="U68" s="526">
        <f>V59</f>
        <v>0.43834625176285286</v>
      </c>
      <c r="V68" s="526">
        <f>U59</f>
        <v>0.87797698213562181</v>
      </c>
      <c r="W68" s="164"/>
      <c r="X68" s="176"/>
      <c r="Y68" s="2"/>
      <c r="Z68" s="526">
        <f>V60</f>
        <v>0.4092367439793072</v>
      </c>
      <c r="AA68" s="526">
        <f>U60</f>
        <v>0.87746653665976704</v>
      </c>
      <c r="AB68" s="164"/>
      <c r="AC68" s="176"/>
      <c r="AD68" s="2"/>
      <c r="AE68" s="526">
        <f>V61</f>
        <v>0.38071498780292351</v>
      </c>
      <c r="AF68" s="526">
        <f>U61</f>
        <v>0.87655024692372152</v>
      </c>
      <c r="AG68" s="164"/>
      <c r="AH68" s="176"/>
      <c r="AI68" s="132"/>
      <c r="AJ68" s="3">
        <v>85</v>
      </c>
      <c r="AK68" s="3" t="s">
        <v>94</v>
      </c>
      <c r="AL68" s="170">
        <v>0</v>
      </c>
      <c r="AM68" s="170">
        <v>12</v>
      </c>
      <c r="AN68" s="170">
        <v>50</v>
      </c>
      <c r="AO68" s="170">
        <v>100</v>
      </c>
      <c r="AP68" s="170">
        <v>400</v>
      </c>
      <c r="AQ68" s="170"/>
      <c r="AR68" s="66">
        <f t="shared" si="50"/>
        <v>7.935202995598833</v>
      </c>
      <c r="AS68" s="66">
        <f t="shared" si="51"/>
        <v>31.017668269101911</v>
      </c>
      <c r="AT68" s="66">
        <f t="shared" si="52"/>
        <v>60.10556098557096</v>
      </c>
      <c r="AU68" s="66">
        <f t="shared" si="53"/>
        <v>221.70753692451029</v>
      </c>
      <c r="AV68" s="171"/>
      <c r="AW68" s="166">
        <f t="shared" si="54"/>
        <v>-1.1047633325795163</v>
      </c>
      <c r="AX68" s="166">
        <f t="shared" si="96"/>
        <v>-0.51271222685322804</v>
      </c>
      <c r="AY68" s="166">
        <f t="shared" si="97"/>
        <v>-0.22540671885775984</v>
      </c>
      <c r="AZ68" s="166">
        <f t="shared" si="98"/>
        <v>0.34145908337825021</v>
      </c>
      <c r="BA68" s="166"/>
      <c r="BB68" s="166">
        <f t="shared" si="56"/>
        <v>-0.92514012773501775</v>
      </c>
      <c r="BC68" s="166">
        <f t="shared" si="99"/>
        <v>-0.30535136944662378</v>
      </c>
      <c r="BD68" s="166">
        <f t="shared" si="100"/>
        <v>-4.3213737826425782E-3</v>
      </c>
      <c r="BE68" s="166">
        <f t="shared" si="101"/>
        <v>0.59773861754531976</v>
      </c>
      <c r="BF68" s="166"/>
      <c r="BG68" s="136">
        <f t="shared" si="60"/>
        <v>-0.15926856335474107</v>
      </c>
      <c r="BH68" s="136">
        <f t="shared" si="61"/>
        <v>-0.37535579872806346</v>
      </c>
      <c r="BI68" s="136">
        <f t="shared" si="62"/>
        <v>0.9498726583569177</v>
      </c>
      <c r="BJ68" s="136">
        <f t="shared" si="63"/>
        <v>0.5969377646315458</v>
      </c>
    </row>
    <row r="69" spans="1:62" ht="18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177" t="s">
        <v>34</v>
      </c>
      <c r="L69" s="96" t="s">
        <v>35</v>
      </c>
      <c r="M69" s="178" t="s">
        <v>36</v>
      </c>
      <c r="N69" s="96" t="s">
        <v>79</v>
      </c>
      <c r="O69" s="2"/>
      <c r="P69" s="177" t="s">
        <v>34</v>
      </c>
      <c r="Q69" s="96" t="s">
        <v>35</v>
      </c>
      <c r="R69" s="178" t="s">
        <v>36</v>
      </c>
      <c r="S69" s="96" t="s">
        <v>79</v>
      </c>
      <c r="T69" s="2"/>
      <c r="U69" s="177" t="s">
        <v>34</v>
      </c>
      <c r="V69" s="96" t="s">
        <v>35</v>
      </c>
      <c r="W69" s="178" t="s">
        <v>36</v>
      </c>
      <c r="X69" s="96" t="s">
        <v>79</v>
      </c>
      <c r="Y69" s="2"/>
      <c r="Z69" s="177" t="s">
        <v>34</v>
      </c>
      <c r="AA69" s="96" t="s">
        <v>35</v>
      </c>
      <c r="AB69" s="178" t="s">
        <v>36</v>
      </c>
      <c r="AC69" s="96" t="s">
        <v>79</v>
      </c>
      <c r="AD69" s="2"/>
      <c r="AE69" s="177" t="s">
        <v>34</v>
      </c>
      <c r="AF69" s="96" t="s">
        <v>35</v>
      </c>
      <c r="AG69" s="178" t="s">
        <v>36</v>
      </c>
      <c r="AH69" s="96" t="s">
        <v>79</v>
      </c>
      <c r="AI69" s="132"/>
      <c r="AJ69" s="3">
        <v>87.5</v>
      </c>
      <c r="AK69" s="3" t="s">
        <v>94</v>
      </c>
      <c r="AL69" s="170">
        <v>0</v>
      </c>
      <c r="AM69" s="170">
        <v>12</v>
      </c>
      <c r="AN69" s="170">
        <v>50</v>
      </c>
      <c r="AO69" s="170">
        <v>100</v>
      </c>
      <c r="AP69" s="170">
        <v>400</v>
      </c>
      <c r="AQ69" s="170"/>
      <c r="AR69" s="66">
        <f t="shared" si="50"/>
        <v>7.9113821328705711</v>
      </c>
      <c r="AS69" s="66">
        <f t="shared" si="51"/>
        <v>30.909412233164662</v>
      </c>
      <c r="AT69" s="66">
        <f t="shared" si="52"/>
        <v>59.86603412375473</v>
      </c>
      <c r="AU69" s="66">
        <f t="shared" si="53"/>
        <v>220.16293799277005</v>
      </c>
      <c r="AV69" s="171"/>
      <c r="AW69" s="166">
        <f t="shared" si="54"/>
        <v>-1.1060690116195711</v>
      </c>
      <c r="AX69" s="166">
        <f t="shared" si="96"/>
        <v>-0.51423062709268741</v>
      </c>
      <c r="AY69" s="166">
        <f t="shared" si="97"/>
        <v>-0.22714088489063258</v>
      </c>
      <c r="AZ69" s="166">
        <f t="shared" si="98"/>
        <v>0.33842283831026693</v>
      </c>
      <c r="BA69" s="166"/>
      <c r="BB69" s="166">
        <f t="shared" si="56"/>
        <v>-0.92514012773501775</v>
      </c>
      <c r="BC69" s="166">
        <f t="shared" si="99"/>
        <v>-0.30535136944662378</v>
      </c>
      <c r="BD69" s="166">
        <f t="shared" si="100"/>
        <v>-4.3213737826425782E-3</v>
      </c>
      <c r="BE69" s="166">
        <f t="shared" si="101"/>
        <v>0.59773861754531976</v>
      </c>
      <c r="BF69" s="166"/>
      <c r="BG69" s="136">
        <f t="shared" si="60"/>
        <v>-0.15926856335474107</v>
      </c>
      <c r="BH69" s="136">
        <f t="shared" si="61"/>
        <v>-0.37725442132315601</v>
      </c>
      <c r="BI69" s="136">
        <f t="shared" si="62"/>
        <v>0.94875613997671926</v>
      </c>
      <c r="BJ69" s="136">
        <f t="shared" si="63"/>
        <v>0.59409049775904021</v>
      </c>
    </row>
    <row r="70" spans="1:62" ht="22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317">
        <v>0</v>
      </c>
      <c r="L70" s="318">
        <v>0</v>
      </c>
      <c r="M70" s="318">
        <v>0</v>
      </c>
      <c r="N70" s="318">
        <f>L70*20.89</f>
        <v>0</v>
      </c>
      <c r="O70" s="2"/>
      <c r="P70" s="228">
        <v>0</v>
      </c>
      <c r="Q70" s="229">
        <v>0</v>
      </c>
      <c r="R70" s="229">
        <v>0</v>
      </c>
      <c r="S70" s="229">
        <f>Q70*20.89</f>
        <v>0</v>
      </c>
      <c r="T70" s="230"/>
      <c r="U70" s="231">
        <v>0</v>
      </c>
      <c r="V70" s="232">
        <v>0</v>
      </c>
      <c r="W70" s="232">
        <v>0</v>
      </c>
      <c r="X70" s="232">
        <f>V70*20.89</f>
        <v>0</v>
      </c>
      <c r="Y70" s="230"/>
      <c r="Z70" s="233">
        <v>0</v>
      </c>
      <c r="AA70" s="234">
        <v>0</v>
      </c>
      <c r="AB70" s="234">
        <v>0</v>
      </c>
      <c r="AC70" s="234">
        <f>AA70*20.89</f>
        <v>0</v>
      </c>
      <c r="AD70" s="230"/>
      <c r="AE70" s="235">
        <v>0</v>
      </c>
      <c r="AF70" s="236">
        <v>0</v>
      </c>
      <c r="AG70" s="236">
        <v>0</v>
      </c>
      <c r="AH70" s="236">
        <f>AF70*20.89</f>
        <v>0</v>
      </c>
      <c r="AI70" s="132"/>
      <c r="AJ70" s="3">
        <v>90</v>
      </c>
      <c r="AK70" s="3" t="s">
        <v>94</v>
      </c>
      <c r="AL70" s="170">
        <v>0</v>
      </c>
      <c r="AM70" s="170">
        <v>12</v>
      </c>
      <c r="AN70" s="170">
        <v>50</v>
      </c>
      <c r="AO70" s="170">
        <v>100</v>
      </c>
      <c r="AP70" s="170">
        <v>400</v>
      </c>
      <c r="AQ70" s="170"/>
      <c r="AR70" s="66">
        <f t="shared" si="50"/>
        <v>7.8884806369857809</v>
      </c>
      <c r="AS70" s="66">
        <f t="shared" si="51"/>
        <v>30.804547363097978</v>
      </c>
      <c r="AT70" s="66">
        <f t="shared" si="52"/>
        <v>59.635120850554571</v>
      </c>
      <c r="AU70" s="66">
        <f t="shared" si="53"/>
        <v>218.64120977043453</v>
      </c>
      <c r="AV70" s="171"/>
      <c r="AW70" s="166">
        <f t="shared" si="54"/>
        <v>-1.1073280099286589</v>
      </c>
      <c r="AX70" s="166">
        <f t="shared" si="96"/>
        <v>-0.51570654205730726</v>
      </c>
      <c r="AY70" s="166">
        <f t="shared" si="97"/>
        <v>-0.22881927009428235</v>
      </c>
      <c r="AZ70" s="166">
        <f t="shared" si="98"/>
        <v>0.33541064791682873</v>
      </c>
      <c r="BA70" s="166"/>
      <c r="BB70" s="166">
        <f t="shared" si="56"/>
        <v>-0.92514012773501775</v>
      </c>
      <c r="BC70" s="166">
        <f t="shared" si="99"/>
        <v>-0.30535136944662378</v>
      </c>
      <c r="BD70" s="166">
        <f t="shared" si="100"/>
        <v>-4.3213737826425782E-3</v>
      </c>
      <c r="BE70" s="166">
        <f t="shared" si="101"/>
        <v>0.59773861754531976</v>
      </c>
      <c r="BF70" s="166"/>
      <c r="BG70" s="136">
        <f t="shared" si="60"/>
        <v>-0.15926856335474107</v>
      </c>
      <c r="BH70" s="136">
        <f t="shared" si="61"/>
        <v>-0.37911079354085497</v>
      </c>
      <c r="BI70" s="136">
        <f t="shared" si="62"/>
        <v>0.94762708585345568</v>
      </c>
      <c r="BJ70" s="136">
        <f t="shared" si="63"/>
        <v>0.59131161661768339</v>
      </c>
    </row>
    <row r="71" spans="1:62" ht="20.100000000000001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317">
        <v>5</v>
      </c>
      <c r="L71" s="318">
        <f t="shared" ref="L71:L78" si="102">K$68*101*(K71/101)^L$68</f>
        <v>3.5977122612255998</v>
      </c>
      <c r="M71" s="318">
        <f>DEGREES(ATAN(L71/K71))</f>
        <v>35.73661825846235</v>
      </c>
      <c r="N71" s="318">
        <f t="shared" ref="N71:N78" si="103">L71*20.89</f>
        <v>75.156209137002776</v>
      </c>
      <c r="O71" s="2"/>
      <c r="P71" s="228">
        <v>5</v>
      </c>
      <c r="Q71" s="229">
        <f t="shared" ref="Q71:Q78" si="104">P$68*101*(P71/101)^Q$68</f>
        <v>3.3759927853672109</v>
      </c>
      <c r="R71" s="229">
        <f>DEGREES(ATAN(Q71/P71))</f>
        <v>34.027164801225041</v>
      </c>
      <c r="S71" s="229">
        <f t="shared" ref="S71:S78" si="105">Q71*20.89</f>
        <v>70.524489286321042</v>
      </c>
      <c r="T71" s="230"/>
      <c r="U71" s="231">
        <v>5</v>
      </c>
      <c r="V71" s="232">
        <f t="shared" ref="V71:V78" si="106">U$68*101*(U71/101)^V$68</f>
        <v>3.1627889668487468</v>
      </c>
      <c r="W71" s="232">
        <f>DEGREES(ATAN(V71/U71))</f>
        <v>32.315718146203743</v>
      </c>
      <c r="X71" s="232">
        <f t="shared" ref="X71:X78" si="107">V71*20.89</f>
        <v>66.070661517470327</v>
      </c>
      <c r="Y71" s="230"/>
      <c r="Z71" s="233">
        <v>5</v>
      </c>
      <c r="AA71" s="234">
        <f t="shared" ref="AA71:AA78" si="108">Z$68*101*(Z71/101)^AA$68</f>
        <v>2.9572895533199155</v>
      </c>
      <c r="AB71" s="234">
        <f>DEGREES(ATAN(AA71/Z71))</f>
        <v>30.602528172145259</v>
      </c>
      <c r="AC71" s="234">
        <f t="shared" ref="AC71:AC78" si="109">AA71*20.89</f>
        <v>61.77777876885304</v>
      </c>
      <c r="AD71" s="230"/>
      <c r="AE71" s="235">
        <v>5</v>
      </c>
      <c r="AF71" s="236">
        <f t="shared" ref="AF71:AF78" si="110">AE$68*101*(AE71/101)^AF$68</f>
        <v>2.7587686544024805</v>
      </c>
      <c r="AG71" s="236">
        <f>DEGREES(ATAN(AF71/AE71))</f>
        <v>28.887881621635128</v>
      </c>
      <c r="AH71" s="236">
        <f t="shared" ref="AH71:AH78" si="111">AF71*20.89</f>
        <v>57.630677190467821</v>
      </c>
      <c r="AI71" s="132"/>
      <c r="AJ71" s="3">
        <v>92.5</v>
      </c>
      <c r="AK71" s="3" t="s">
        <v>94</v>
      </c>
      <c r="AL71" s="170">
        <v>0</v>
      </c>
      <c r="AM71" s="170">
        <v>12</v>
      </c>
      <c r="AN71" s="170">
        <v>50</v>
      </c>
      <c r="AO71" s="170">
        <v>100</v>
      </c>
      <c r="AP71" s="170">
        <v>400</v>
      </c>
      <c r="AQ71" s="170"/>
      <c r="AR71" s="66">
        <f t="shared" si="50"/>
        <v>7.8664937096581848</v>
      </c>
      <c r="AS71" s="66">
        <f t="shared" si="51"/>
        <v>30.703054708382911</v>
      </c>
      <c r="AT71" s="66">
        <f t="shared" si="52"/>
        <v>59.412768870850009</v>
      </c>
      <c r="AU71" s="66">
        <f t="shared" si="53"/>
        <v>217.14213066175515</v>
      </c>
      <c r="AV71" s="171"/>
      <c r="AW71" s="166">
        <f t="shared" si="54"/>
        <v>-1.1085401740618768</v>
      </c>
      <c r="AX71" s="166">
        <f t="shared" si="96"/>
        <v>-0.5171397873283502</v>
      </c>
      <c r="AY71" s="166">
        <f t="shared" si="97"/>
        <v>-0.23044158108765792</v>
      </c>
      <c r="AZ71" s="166">
        <f t="shared" si="98"/>
        <v>0.33242272115390531</v>
      </c>
      <c r="BA71" s="166"/>
      <c r="BB71" s="166">
        <f t="shared" si="56"/>
        <v>-0.92514012773501775</v>
      </c>
      <c r="BC71" s="166">
        <f t="shared" si="99"/>
        <v>-0.30535136944662378</v>
      </c>
      <c r="BD71" s="166">
        <f t="shared" si="100"/>
        <v>-4.3213737826425782E-3</v>
      </c>
      <c r="BE71" s="166">
        <f t="shared" si="101"/>
        <v>0.59773861754531976</v>
      </c>
      <c r="BF71" s="166"/>
      <c r="BG71" s="136">
        <f t="shared" si="60"/>
        <v>-0.15926856335474107</v>
      </c>
      <c r="BH71" s="136">
        <f t="shared" si="61"/>
        <v>-0.38092470533099487</v>
      </c>
      <c r="BI71" s="136">
        <f t="shared" si="62"/>
        <v>0.94648554510066985</v>
      </c>
      <c r="BJ71" s="136">
        <f t="shared" si="63"/>
        <v>0.58860058265748572</v>
      </c>
    </row>
    <row r="72" spans="1:62" ht="20.100000000000001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317">
        <v>10</v>
      </c>
      <c r="L72" s="318">
        <f t="shared" si="102"/>
        <v>6.6116747858650928</v>
      </c>
      <c r="M72" s="318">
        <f t="shared" ref="M72:M78" si="112">DEGREES(ATAN(L72/K72))</f>
        <v>33.471381046909798</v>
      </c>
      <c r="N72" s="318">
        <f t="shared" si="103"/>
        <v>138.1178862767218</v>
      </c>
      <c r="O72" s="2"/>
      <c r="P72" s="228">
        <v>10</v>
      </c>
      <c r="Q72" s="229">
        <f t="shared" si="104"/>
        <v>6.2050169876186851</v>
      </c>
      <c r="R72" s="229">
        <f t="shared" ref="R72:R78" si="113">DEGREES(ATAN(Q72/P72))</f>
        <v>31.819671826916021</v>
      </c>
      <c r="S72" s="229">
        <f t="shared" si="105"/>
        <v>129.62280487135433</v>
      </c>
      <c r="T72" s="230"/>
      <c r="U72" s="231">
        <v>10</v>
      </c>
      <c r="V72" s="232">
        <f t="shared" si="106"/>
        <v>5.8125623199034884</v>
      </c>
      <c r="W72" s="232">
        <f t="shared" ref="W72:W78" si="114">DEGREES(ATAN(V72/U72))</f>
        <v>30.16756250529874</v>
      </c>
      <c r="X72" s="232">
        <f t="shared" si="107"/>
        <v>121.42442686278387</v>
      </c>
      <c r="Y72" s="230"/>
      <c r="Z72" s="233">
        <v>10</v>
      </c>
      <c r="AA72" s="234">
        <f t="shared" si="108"/>
        <v>5.4329736268721769</v>
      </c>
      <c r="AB72" s="234">
        <f t="shared" ref="AB72:AB78" si="115">DEGREES(ATAN(AA72/Z72))</f>
        <v>28.515116645442372</v>
      </c>
      <c r="AC72" s="234">
        <f t="shared" si="109"/>
        <v>113.49481906535978</v>
      </c>
      <c r="AD72" s="230"/>
      <c r="AE72" s="235">
        <v>10</v>
      </c>
      <c r="AF72" s="236">
        <f t="shared" si="110"/>
        <v>5.0650437366843502</v>
      </c>
      <c r="AG72" s="236">
        <f t="shared" ref="AG72:AG78" si="116">DEGREES(ATAN(AF72/AE72))</f>
        <v>26.862413365974422</v>
      </c>
      <c r="AH72" s="236">
        <f t="shared" si="111"/>
        <v>105.80876365933608</v>
      </c>
      <c r="AI72" s="132"/>
      <c r="AJ72" s="3">
        <v>95</v>
      </c>
      <c r="AK72" s="3" t="s">
        <v>94</v>
      </c>
      <c r="AL72" s="170">
        <v>0</v>
      </c>
      <c r="AM72" s="170">
        <v>12</v>
      </c>
      <c r="AN72" s="170">
        <v>50</v>
      </c>
      <c r="AO72" s="170">
        <v>100</v>
      </c>
      <c r="AP72" s="170">
        <v>400</v>
      </c>
      <c r="AQ72" s="170"/>
      <c r="AR72" s="66">
        <f t="shared" si="50"/>
        <v>7.8454167708002158</v>
      </c>
      <c r="AS72" s="66">
        <f t="shared" si="51"/>
        <v>30.604916049267477</v>
      </c>
      <c r="AT72" s="66">
        <f t="shared" si="52"/>
        <v>59.198928203252812</v>
      </c>
      <c r="AU72" s="66">
        <f t="shared" si="53"/>
        <v>215.66548498595012</v>
      </c>
      <c r="AV72" s="171"/>
      <c r="AW72" s="166">
        <f t="shared" si="54"/>
        <v>-1.1097053542916799</v>
      </c>
      <c r="AX72" s="166">
        <f t="shared" si="96"/>
        <v>-0.51853018123611117</v>
      </c>
      <c r="AY72" s="166">
        <f t="shared" si="97"/>
        <v>-0.23200752989125514</v>
      </c>
      <c r="AZ72" s="166">
        <f t="shared" si="98"/>
        <v>0.32945927257371899</v>
      </c>
      <c r="BA72" s="166"/>
      <c r="BB72" s="166">
        <f t="shared" si="56"/>
        <v>-0.92514012773501775</v>
      </c>
      <c r="BC72" s="166">
        <f t="shared" si="99"/>
        <v>-0.30535136944662378</v>
      </c>
      <c r="BD72" s="166">
        <f t="shared" si="100"/>
        <v>-4.3213737826425782E-3</v>
      </c>
      <c r="BE72" s="166">
        <f t="shared" si="101"/>
        <v>0.59773861754531976</v>
      </c>
      <c r="BF72" s="166"/>
      <c r="BG72" s="136">
        <f t="shared" si="60"/>
        <v>-0.15926856335474107</v>
      </c>
      <c r="BH72" s="136">
        <f t="shared" si="61"/>
        <v>-0.38269594821133179</v>
      </c>
      <c r="BI72" s="136">
        <f t="shared" si="62"/>
        <v>0.94533157234910792</v>
      </c>
      <c r="BJ72" s="136">
        <f t="shared" si="63"/>
        <v>0.58595687369573179</v>
      </c>
    </row>
    <row r="73" spans="1:62" ht="20.100000000000001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317">
        <v>25</v>
      </c>
      <c r="L73" s="318">
        <f t="shared" si="102"/>
        <v>14.780098401941869</v>
      </c>
      <c r="M73" s="318">
        <f t="shared" si="112"/>
        <v>30.591746538468442</v>
      </c>
      <c r="N73" s="318">
        <f t="shared" si="103"/>
        <v>308.75625561656562</v>
      </c>
      <c r="O73" s="2"/>
      <c r="P73" s="228">
        <v>25</v>
      </c>
      <c r="Q73" s="229">
        <f t="shared" si="104"/>
        <v>13.873415202262025</v>
      </c>
      <c r="R73" s="229">
        <f t="shared" si="113"/>
        <v>29.027497834518385</v>
      </c>
      <c r="S73" s="229">
        <f t="shared" si="105"/>
        <v>289.81564357525372</v>
      </c>
      <c r="T73" s="230"/>
      <c r="U73" s="231">
        <v>25</v>
      </c>
      <c r="V73" s="232">
        <f t="shared" si="106"/>
        <v>12.99420727714895</v>
      </c>
      <c r="W73" s="232">
        <f t="shared" si="114"/>
        <v>27.463980428265867</v>
      </c>
      <c r="X73" s="232">
        <f t="shared" si="107"/>
        <v>271.4489900196416</v>
      </c>
      <c r="Y73" s="230"/>
      <c r="Z73" s="233">
        <v>25</v>
      </c>
      <c r="AA73" s="234">
        <f t="shared" si="108"/>
        <v>12.139942732715181</v>
      </c>
      <c r="AB73" s="234">
        <f t="shared" si="115"/>
        <v>25.901103401430515</v>
      </c>
      <c r="AC73" s="234">
        <f t="shared" si="109"/>
        <v>253.60340368642014</v>
      </c>
      <c r="AD73" s="230"/>
      <c r="AE73" s="235">
        <v>25</v>
      </c>
      <c r="AF73" s="236">
        <f t="shared" si="110"/>
        <v>11.308307583943529</v>
      </c>
      <c r="AG73" s="236">
        <f t="shared" si="116"/>
        <v>24.338776038016167</v>
      </c>
      <c r="AH73" s="236">
        <f t="shared" si="111"/>
        <v>236.23054542858034</v>
      </c>
      <c r="AI73" s="132"/>
      <c r="AJ73" s="3">
        <v>97.5</v>
      </c>
      <c r="AK73" s="3" t="s">
        <v>94</v>
      </c>
      <c r="AL73" s="170">
        <v>0</v>
      </c>
      <c r="AM73" s="170">
        <v>12</v>
      </c>
      <c r="AN73" s="170">
        <v>50</v>
      </c>
      <c r="AO73" s="170">
        <v>100</v>
      </c>
      <c r="AP73" s="170">
        <v>400</v>
      </c>
      <c r="AQ73" s="170"/>
      <c r="AR73" s="66">
        <f t="shared" si="50"/>
        <v>7.8252454542691927</v>
      </c>
      <c r="AS73" s="66">
        <f t="shared" si="51"/>
        <v>30.510113881325935</v>
      </c>
      <c r="AT73" s="66">
        <f t="shared" si="52"/>
        <v>58.993551125501043</v>
      </c>
      <c r="AU73" s="66">
        <f t="shared" si="53"/>
        <v>214.21106281614564</v>
      </c>
      <c r="AV73" s="171"/>
      <c r="AW73" s="166">
        <f t="shared" si="54"/>
        <v>-1.1108234048468655</v>
      </c>
      <c r="AX73" s="166">
        <f t="shared" si="96"/>
        <v>-0.51987754509994899</v>
      </c>
      <c r="AY73" s="166">
        <f t="shared" si="97"/>
        <v>-0.23351683440632071</v>
      </c>
      <c r="AZ73" s="166">
        <f t="shared" si="98"/>
        <v>0.32652052219937905</v>
      </c>
      <c r="BA73" s="166"/>
      <c r="BB73" s="166">
        <f t="shared" si="56"/>
        <v>-0.92514012773501775</v>
      </c>
      <c r="BC73" s="166">
        <f t="shared" si="99"/>
        <v>-0.30535136944662378</v>
      </c>
      <c r="BD73" s="166">
        <f t="shared" si="100"/>
        <v>-4.3213737826425782E-3</v>
      </c>
      <c r="BE73" s="166">
        <f t="shared" si="101"/>
        <v>0.59773861754531976</v>
      </c>
      <c r="BF73" s="166"/>
      <c r="BG73" s="136">
        <f t="shared" si="60"/>
        <v>-0.15926856335474107</v>
      </c>
      <c r="BH73" s="136">
        <f t="shared" si="61"/>
        <v>-0.38442431553843909</v>
      </c>
      <c r="BI73" s="136">
        <f t="shared" si="62"/>
        <v>0.9441652277873378</v>
      </c>
      <c r="BJ73" s="136">
        <f t="shared" si="63"/>
        <v>0.58337998351152953</v>
      </c>
    </row>
    <row r="74" spans="1:62" ht="20.100000000000001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317">
        <v>50</v>
      </c>
      <c r="L74" s="318">
        <f t="shared" si="102"/>
        <v>27.162039885711764</v>
      </c>
      <c r="M74" s="318">
        <f t="shared" si="112"/>
        <v>28.512614266561883</v>
      </c>
      <c r="N74" s="318">
        <f t="shared" si="103"/>
        <v>567.41501321251872</v>
      </c>
      <c r="O74" s="2"/>
      <c r="P74" s="228">
        <v>50</v>
      </c>
      <c r="Q74" s="229">
        <f t="shared" si="104"/>
        <v>25.499099814266824</v>
      </c>
      <c r="R74" s="229">
        <f t="shared" si="113"/>
        <v>27.020762970129343</v>
      </c>
      <c r="S74" s="229">
        <f t="shared" si="105"/>
        <v>532.67619512003398</v>
      </c>
      <c r="T74" s="230"/>
      <c r="U74" s="231">
        <v>50</v>
      </c>
      <c r="V74" s="232">
        <f t="shared" si="106"/>
        <v>23.8807079409493</v>
      </c>
      <c r="W74" s="232">
        <f t="shared" si="114"/>
        <v>25.529801492192405</v>
      </c>
      <c r="X74" s="232">
        <f t="shared" si="107"/>
        <v>498.86798888643091</v>
      </c>
      <c r="Y74" s="230"/>
      <c r="Z74" s="233">
        <v>50</v>
      </c>
      <c r="AA74" s="234">
        <f t="shared" si="108"/>
        <v>22.302851144398932</v>
      </c>
      <c r="AB74" s="234">
        <f t="shared" si="115"/>
        <v>24.039596482084949</v>
      </c>
      <c r="AC74" s="234">
        <f t="shared" si="109"/>
        <v>465.90656040649372</v>
      </c>
      <c r="AD74" s="230"/>
      <c r="AE74" s="235">
        <v>50</v>
      </c>
      <c r="AF74" s="236">
        <f t="shared" si="110"/>
        <v>20.761825174847399</v>
      </c>
      <c r="AG74" s="236">
        <f t="shared" si="116"/>
        <v>22.550008843572446</v>
      </c>
      <c r="AH74" s="236">
        <f t="shared" si="111"/>
        <v>433.71452790256217</v>
      </c>
      <c r="AI74" s="132"/>
      <c r="AJ74" s="3">
        <v>100</v>
      </c>
      <c r="AK74" s="3" t="s">
        <v>94</v>
      </c>
      <c r="AL74" s="170">
        <v>0</v>
      </c>
      <c r="AM74" s="170">
        <v>12</v>
      </c>
      <c r="AN74" s="170">
        <v>50</v>
      </c>
      <c r="AO74" s="170">
        <v>100</v>
      </c>
      <c r="AP74" s="170">
        <v>400</v>
      </c>
      <c r="AQ74" s="170"/>
      <c r="AR74" s="66">
        <f t="shared" si="50"/>
        <v>7.8059756038271093</v>
      </c>
      <c r="AS74" s="66">
        <f t="shared" si="51"/>
        <v>30.418631400680251</v>
      </c>
      <c r="AT74" s="66">
        <f t="shared" si="52"/>
        <v>58.796592122527571</v>
      </c>
      <c r="AU74" s="66">
        <f t="shared" si="53"/>
        <v>212.77865982357019</v>
      </c>
      <c r="AV74" s="171"/>
      <c r="AW74" s="166">
        <f t="shared" si="54"/>
        <v>-1.1118941841445895</v>
      </c>
      <c r="AX74" s="166">
        <f t="shared" si="96"/>
        <v>-0.52118170346419712</v>
      </c>
      <c r="AY74" s="166">
        <f t="shared" si="97"/>
        <v>-0.23496921888459657</v>
      </c>
      <c r="AZ74" s="166">
        <f t="shared" si="98"/>
        <v>0.32360669539674097</v>
      </c>
      <c r="BA74" s="166"/>
      <c r="BB74" s="166">
        <f t="shared" si="56"/>
        <v>-0.92514012773501775</v>
      </c>
      <c r="BC74" s="166">
        <f t="shared" si="99"/>
        <v>-0.30535136944662378</v>
      </c>
      <c r="BD74" s="166">
        <f t="shared" si="100"/>
        <v>-4.3213737826425782E-3</v>
      </c>
      <c r="BE74" s="166">
        <f t="shared" si="101"/>
        <v>0.59773861754531976</v>
      </c>
      <c r="BF74" s="166"/>
      <c r="BG74" s="136">
        <f t="shared" si="60"/>
        <v>-0.15926856335474107</v>
      </c>
      <c r="BH74" s="136">
        <f t="shared" si="61"/>
        <v>-0.38610960277416062</v>
      </c>
      <c r="BI74" s="136">
        <f t="shared" si="62"/>
        <v>0.94298657719690815</v>
      </c>
      <c r="BJ74" s="136">
        <f t="shared" si="63"/>
        <v>0.58086942145853926</v>
      </c>
    </row>
    <row r="75" spans="1:62" ht="20.100000000000001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317">
        <v>100</v>
      </c>
      <c r="L75" s="318">
        <f t="shared" si="102"/>
        <v>49.916880841338958</v>
      </c>
      <c r="M75" s="318">
        <f t="shared" si="112"/>
        <v>26.526939495549787</v>
      </c>
      <c r="N75" s="318">
        <f t="shared" si="103"/>
        <v>1042.7636407755708</v>
      </c>
      <c r="O75" s="2"/>
      <c r="P75" s="228">
        <v>100</v>
      </c>
      <c r="Q75" s="229">
        <f t="shared" si="104"/>
        <v>46.866909254754248</v>
      </c>
      <c r="R75" s="229">
        <f t="shared" si="113"/>
        <v>25.111034198486216</v>
      </c>
      <c r="S75" s="229">
        <f t="shared" si="105"/>
        <v>979.04973433181624</v>
      </c>
      <c r="T75" s="230"/>
      <c r="U75" s="231">
        <v>100</v>
      </c>
      <c r="V75" s="232">
        <f t="shared" si="106"/>
        <v>43.887880160554531</v>
      </c>
      <c r="W75" s="232">
        <f t="shared" si="114"/>
        <v>23.695651933304639</v>
      </c>
      <c r="X75" s="232">
        <f t="shared" si="107"/>
        <v>916.81781655398413</v>
      </c>
      <c r="Y75" s="230"/>
      <c r="Z75" s="233">
        <v>100</v>
      </c>
      <c r="AA75" s="234">
        <f t="shared" si="108"/>
        <v>40.973600956844557</v>
      </c>
      <c r="AB75" s="234">
        <f t="shared" si="115"/>
        <v>22.280679122057226</v>
      </c>
      <c r="AC75" s="234">
        <f t="shared" si="109"/>
        <v>855.93852398848276</v>
      </c>
      <c r="AD75" s="230"/>
      <c r="AE75" s="235">
        <v>100</v>
      </c>
      <c r="AF75" s="236">
        <f t="shared" si="110"/>
        <v>38.118293245133557</v>
      </c>
      <c r="AG75" s="236">
        <f t="shared" si="116"/>
        <v>20.865992691134256</v>
      </c>
      <c r="AH75" s="236">
        <f t="shared" si="111"/>
        <v>796.29114589084008</v>
      </c>
      <c r="AI75" s="132"/>
      <c r="AJ75" s="3">
        <v>102.5</v>
      </c>
      <c r="AK75" s="3" t="s">
        <v>94</v>
      </c>
      <c r="AL75" s="170">
        <v>0</v>
      </c>
      <c r="AM75" s="170">
        <v>12</v>
      </c>
      <c r="AN75" s="170">
        <v>50</v>
      </c>
      <c r="AO75" s="170">
        <v>100</v>
      </c>
      <c r="AP75" s="170">
        <v>400</v>
      </c>
      <c r="AQ75" s="170"/>
      <c r="AR75" s="66">
        <f t="shared" si="50"/>
        <v>7.7876032693081356</v>
      </c>
      <c r="AS75" s="66">
        <f t="shared" si="51"/>
        <v>30.33045248986468</v>
      </c>
      <c r="AT75" s="66">
        <f t="shared" si="52"/>
        <v>58.608007837117505</v>
      </c>
      <c r="AU75" s="66">
        <f t="shared" si="53"/>
        <v>211.36807712680761</v>
      </c>
      <c r="AV75" s="171"/>
      <c r="AW75" s="166">
        <f t="shared" si="54"/>
        <v>-1.1129175550151527</v>
      </c>
      <c r="AX75" s="166">
        <f t="shared" si="96"/>
        <v>-0.52244248432969487</v>
      </c>
      <c r="AY75" s="166">
        <f t="shared" si="97"/>
        <v>-0.23636441438790554</v>
      </c>
      <c r="AZ75" s="166">
        <f t="shared" si="98"/>
        <v>0.32071802274338079</v>
      </c>
      <c r="BA75" s="166"/>
      <c r="BB75" s="166">
        <f t="shared" si="56"/>
        <v>-0.92514012773501775</v>
      </c>
      <c r="BC75" s="166">
        <f t="shared" si="99"/>
        <v>-0.30535136944662378</v>
      </c>
      <c r="BD75" s="166">
        <f t="shared" si="100"/>
        <v>-4.3213737826425782E-3</v>
      </c>
      <c r="BE75" s="166">
        <f t="shared" si="101"/>
        <v>0.59773861754531976</v>
      </c>
      <c r="BF75" s="166"/>
      <c r="BG75" s="136">
        <f t="shared" si="60"/>
        <v>-0.15926856335474107</v>
      </c>
      <c r="BH75" s="136">
        <f t="shared" si="61"/>
        <v>-0.38775160774734307</v>
      </c>
      <c r="BI75" s="136">
        <f t="shared" si="62"/>
        <v>0.94179569198187985</v>
      </c>
      <c r="BJ75" s="136">
        <f t="shared" si="63"/>
        <v>0.57842471209532398</v>
      </c>
    </row>
    <row r="76" spans="1:62" ht="20.100000000000001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317">
        <v>200</v>
      </c>
      <c r="L76" s="318">
        <f t="shared" si="102"/>
        <v>91.734457478620968</v>
      </c>
      <c r="M76" s="318">
        <f t="shared" si="112"/>
        <v>24.639611917731067</v>
      </c>
      <c r="N76" s="318">
        <f t="shared" si="103"/>
        <v>1916.3328167283921</v>
      </c>
      <c r="O76" s="2"/>
      <c r="P76" s="228">
        <v>200</v>
      </c>
      <c r="Q76" s="229">
        <f t="shared" si="104"/>
        <v>86.140577474990593</v>
      </c>
      <c r="R76" s="229">
        <f t="shared" si="113"/>
        <v>23.301684222113259</v>
      </c>
      <c r="S76" s="229">
        <f t="shared" si="105"/>
        <v>1799.4766634525536</v>
      </c>
      <c r="T76" s="230"/>
      <c r="U76" s="231">
        <v>200</v>
      </c>
      <c r="V76" s="232">
        <f t="shared" si="106"/>
        <v>80.656990142421577</v>
      </c>
      <c r="W76" s="232">
        <f t="shared" si="114"/>
        <v>21.963478756960221</v>
      </c>
      <c r="X76" s="232">
        <f t="shared" si="107"/>
        <v>1684.9245240751868</v>
      </c>
      <c r="Y76" s="230"/>
      <c r="Z76" s="233">
        <v>200</v>
      </c>
      <c r="AA76" s="234">
        <f t="shared" si="108"/>
        <v>75.27450030945262</v>
      </c>
      <c r="AB76" s="234">
        <f t="shared" si="115"/>
        <v>20.624957473653087</v>
      </c>
      <c r="AC76" s="234">
        <f t="shared" si="109"/>
        <v>1572.4843114644652</v>
      </c>
      <c r="AD76" s="230"/>
      <c r="AE76" s="235">
        <v>200</v>
      </c>
      <c r="AF76" s="236">
        <f t="shared" si="110"/>
        <v>69.984419369944632</v>
      </c>
      <c r="AG76" s="236">
        <f t="shared" si="116"/>
        <v>19.28606971127039</v>
      </c>
      <c r="AH76" s="236">
        <f t="shared" si="111"/>
        <v>1461.9745206381433</v>
      </c>
      <c r="AI76" s="132"/>
      <c r="AJ76" s="3">
        <v>105</v>
      </c>
      <c r="AK76" s="3" t="s">
        <v>94</v>
      </c>
      <c r="AL76" s="170">
        <v>0</v>
      </c>
      <c r="AM76" s="170">
        <v>12</v>
      </c>
      <c r="AN76" s="170">
        <v>50</v>
      </c>
      <c r="AO76" s="170">
        <v>100</v>
      </c>
      <c r="AP76" s="170">
        <v>400</v>
      </c>
      <c r="AQ76" s="170"/>
      <c r="AR76" s="66">
        <f t="shared" si="50"/>
        <v>7.7701247029883973</v>
      </c>
      <c r="AS76" s="66">
        <f t="shared" si="51"/>
        <v>30.245561704315314</v>
      </c>
      <c r="AT76" s="66">
        <f t="shared" si="52"/>
        <v>58.427757023074719</v>
      </c>
      <c r="AU76" s="66">
        <f t="shared" si="53"/>
        <v>209.9791211459214</v>
      </c>
      <c r="AV76" s="171"/>
      <c r="AW76" s="166">
        <f t="shared" si="54"/>
        <v>-1.11389338491929</v>
      </c>
      <c r="AX76" s="166">
        <f t="shared" si="96"/>
        <v>-0.52365971938068878</v>
      </c>
      <c r="AY76" s="166">
        <f t="shared" si="97"/>
        <v>-0.23770215923686247</v>
      </c>
      <c r="AZ76" s="166">
        <f t="shared" si="98"/>
        <v>0.31785473989457308</v>
      </c>
      <c r="BA76" s="166"/>
      <c r="BB76" s="166">
        <f t="shared" si="56"/>
        <v>-0.92514012773501775</v>
      </c>
      <c r="BC76" s="166">
        <f t="shared" si="99"/>
        <v>-0.30535136944662378</v>
      </c>
      <c r="BD76" s="166">
        <f t="shared" si="100"/>
        <v>-4.3213737826425782E-3</v>
      </c>
      <c r="BE76" s="166">
        <f t="shared" si="101"/>
        <v>0.59773861754531976</v>
      </c>
      <c r="BF76" s="166"/>
      <c r="BG76" s="136">
        <f t="shared" si="60"/>
        <v>-0.15926856335474107</v>
      </c>
      <c r="BH76" s="136">
        <f t="shared" si="61"/>
        <v>-0.38935013091056708</v>
      </c>
      <c r="BI76" s="136">
        <f t="shared" si="62"/>
        <v>0.9405926491925416</v>
      </c>
      <c r="BJ76" s="136">
        <f t="shared" si="63"/>
        <v>0.57604539483278905</v>
      </c>
    </row>
    <row r="77" spans="1:62" ht="20.100000000000001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317">
        <v>300</v>
      </c>
      <c r="L77" s="318">
        <f t="shared" si="102"/>
        <v>130.95718912964261</v>
      </c>
      <c r="M77" s="318">
        <f t="shared" si="112"/>
        <v>23.582422466646246</v>
      </c>
      <c r="N77" s="318">
        <f t="shared" si="103"/>
        <v>2735.6956809182343</v>
      </c>
      <c r="O77" s="2"/>
      <c r="P77" s="228">
        <v>300</v>
      </c>
      <c r="Q77" s="229">
        <f t="shared" si="104"/>
        <v>122.98088762546443</v>
      </c>
      <c r="R77" s="229">
        <f t="shared" si="113"/>
        <v>22.290504190702379</v>
      </c>
      <c r="S77" s="229">
        <f t="shared" si="105"/>
        <v>2569.0707424959519</v>
      </c>
      <c r="T77" s="230"/>
      <c r="U77" s="231">
        <v>300</v>
      </c>
      <c r="V77" s="232">
        <f t="shared" si="106"/>
        <v>115.14526502484922</v>
      </c>
      <c r="W77" s="232">
        <f t="shared" si="114"/>
        <v>20.997678625261024</v>
      </c>
      <c r="X77" s="232">
        <f t="shared" si="107"/>
        <v>2405.3845863691004</v>
      </c>
      <c r="Y77" s="230"/>
      <c r="Z77" s="233">
        <v>300</v>
      </c>
      <c r="AA77" s="234">
        <f t="shared" si="108"/>
        <v>107.43902746593082</v>
      </c>
      <c r="AB77" s="234">
        <f t="shared" si="115"/>
        <v>19.703974044670264</v>
      </c>
      <c r="AC77" s="234">
        <f t="shared" si="109"/>
        <v>2244.4012837632949</v>
      </c>
      <c r="AD77" s="230"/>
      <c r="AE77" s="235">
        <v>300</v>
      </c>
      <c r="AF77" s="236">
        <f t="shared" si="110"/>
        <v>99.851409653771995</v>
      </c>
      <c r="AG77" s="236">
        <f t="shared" si="116"/>
        <v>18.409404229788571</v>
      </c>
      <c r="AH77" s="236">
        <f t="shared" si="111"/>
        <v>2085.8959476672972</v>
      </c>
      <c r="AI77" s="132"/>
      <c r="AJ77" s="3">
        <v>107.5</v>
      </c>
      <c r="AK77" s="3" t="s">
        <v>94</v>
      </c>
      <c r="AL77" s="170">
        <v>0</v>
      </c>
      <c r="AM77" s="170">
        <v>12</v>
      </c>
      <c r="AN77" s="170">
        <v>50</v>
      </c>
      <c r="AO77" s="170">
        <v>100</v>
      </c>
      <c r="AP77" s="170">
        <v>400</v>
      </c>
      <c r="AQ77" s="170"/>
      <c r="AR77" s="66">
        <f t="shared" si="50"/>
        <v>7.7535363561527539</v>
      </c>
      <c r="AS77" s="66">
        <f t="shared" si="51"/>
        <v>30.163944259467247</v>
      </c>
      <c r="AT77" s="66">
        <f t="shared" si="52"/>
        <v>58.255800500821998</v>
      </c>
      <c r="AU77" s="66">
        <f t="shared" si="53"/>
        <v>208.61160346127286</v>
      </c>
      <c r="AV77" s="171"/>
      <c r="AW77" s="166">
        <f t="shared" si="54"/>
        <v>-1.1148215461577089</v>
      </c>
      <c r="AX77" s="166">
        <f t="shared" si="96"/>
        <v>-0.52483324420684507</v>
      </c>
      <c r="AY77" s="166">
        <f t="shared" si="97"/>
        <v>-0.23898219944800103</v>
      </c>
      <c r="AZ77" s="166">
        <f t="shared" si="98"/>
        <v>0.31501708744617185</v>
      </c>
      <c r="BA77" s="166"/>
      <c r="BB77" s="166">
        <f t="shared" si="56"/>
        <v>-0.92514012773501775</v>
      </c>
      <c r="BC77" s="166">
        <f t="shared" si="99"/>
        <v>-0.30535136944662378</v>
      </c>
      <c r="BD77" s="166">
        <f t="shared" si="100"/>
        <v>-4.3213737826425782E-3</v>
      </c>
      <c r="BE77" s="166">
        <f t="shared" si="101"/>
        <v>0.59773861754531976</v>
      </c>
      <c r="BF77" s="166"/>
      <c r="BG77" s="136">
        <f t="shared" si="60"/>
        <v>-0.15926856335474107</v>
      </c>
      <c r="BH77" s="136">
        <f t="shared" si="61"/>
        <v>-0.39090497559159576</v>
      </c>
      <c r="BI77" s="136">
        <f t="shared" si="62"/>
        <v>0.93937753154315484</v>
      </c>
      <c r="BJ77" s="136">
        <f t="shared" si="63"/>
        <v>0.57373102359820116</v>
      </c>
    </row>
    <row r="78" spans="1:62" ht="20.100000000000001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317">
        <v>400</v>
      </c>
      <c r="L78" s="318">
        <f t="shared" si="102"/>
        <v>168.58446575707936</v>
      </c>
      <c r="M78" s="318">
        <f t="shared" si="112"/>
        <v>22.85353362869478</v>
      </c>
      <c r="N78" s="318">
        <f t="shared" si="103"/>
        <v>3521.729489665388</v>
      </c>
      <c r="O78" s="2"/>
      <c r="P78" s="228">
        <v>400</v>
      </c>
      <c r="Q78" s="229">
        <f t="shared" si="104"/>
        <v>158.32490782336242</v>
      </c>
      <c r="R78" s="229">
        <f t="shared" si="113"/>
        <v>21.594267057622808</v>
      </c>
      <c r="S78" s="229">
        <f t="shared" si="105"/>
        <v>3307.4073244300412</v>
      </c>
      <c r="T78" s="230"/>
      <c r="U78" s="231">
        <v>400</v>
      </c>
      <c r="V78" s="232">
        <f t="shared" si="106"/>
        <v>148.23112975690583</v>
      </c>
      <c r="W78" s="232">
        <f t="shared" si="114"/>
        <v>20.333588558686866</v>
      </c>
      <c r="X78" s="232">
        <f t="shared" si="107"/>
        <v>3096.5483006217628</v>
      </c>
      <c r="Y78" s="230"/>
      <c r="Z78" s="233">
        <v>400</v>
      </c>
      <c r="AA78" s="234">
        <f t="shared" si="108"/>
        <v>138.2902714068446</v>
      </c>
      <c r="AB78" s="234">
        <f t="shared" si="115"/>
        <v>19.071581880821828</v>
      </c>
      <c r="AC78" s="234">
        <f t="shared" si="109"/>
        <v>2888.8837696889836</v>
      </c>
      <c r="AD78" s="230"/>
      <c r="AE78" s="235">
        <v>400</v>
      </c>
      <c r="AF78" s="236">
        <f t="shared" si="110"/>
        <v>128.48998571502338</v>
      </c>
      <c r="AG78" s="236">
        <f t="shared" si="116"/>
        <v>17.808314864754742</v>
      </c>
      <c r="AH78" s="236">
        <f t="shared" si="111"/>
        <v>2684.1558015868386</v>
      </c>
      <c r="AI78" s="132"/>
      <c r="AJ78" s="3">
        <v>110</v>
      </c>
      <c r="AK78" s="3" t="s">
        <v>94</v>
      </c>
      <c r="AL78" s="170">
        <v>0</v>
      </c>
      <c r="AM78" s="170">
        <v>12</v>
      </c>
      <c r="AN78" s="170">
        <v>50</v>
      </c>
      <c r="AO78" s="170">
        <v>100</v>
      </c>
      <c r="AP78" s="170">
        <v>400</v>
      </c>
      <c r="AQ78" s="170"/>
      <c r="AR78" s="66">
        <f t="shared" si="50"/>
        <v>7.737834875853804</v>
      </c>
      <c r="AS78" s="66">
        <f t="shared" si="51"/>
        <v>30.085586018443074</v>
      </c>
      <c r="AT78" s="66">
        <f t="shared" si="52"/>
        <v>58.092101115364102</v>
      </c>
      <c r="AU78" s="66">
        <f t="shared" si="53"/>
        <v>207.26534067686035</v>
      </c>
      <c r="AV78" s="171"/>
      <c r="AW78" s="166">
        <f t="shared" si="54"/>
        <v>-1.1157019160726145</v>
      </c>
      <c r="AX78" s="166">
        <f t="shared" si="96"/>
        <v>-0.52596289852011879</v>
      </c>
      <c r="AY78" s="166">
        <f t="shared" si="97"/>
        <v>-0.24020428915860428</v>
      </c>
      <c r="AZ78" s="166">
        <f t="shared" si="98"/>
        <v>0.31220531079429537</v>
      </c>
      <c r="BA78" s="166"/>
      <c r="BB78" s="166">
        <f t="shared" si="56"/>
        <v>-0.92514012773501775</v>
      </c>
      <c r="BC78" s="166">
        <f t="shared" si="99"/>
        <v>-0.30535136944662378</v>
      </c>
      <c r="BD78" s="166">
        <f t="shared" si="100"/>
        <v>-4.3213737826425782E-3</v>
      </c>
      <c r="BE78" s="166">
        <f t="shared" si="101"/>
        <v>0.59773861754531976</v>
      </c>
      <c r="BF78" s="166"/>
      <c r="BG78" s="136">
        <f t="shared" si="60"/>
        <v>-0.15926856335474107</v>
      </c>
      <c r="BH78" s="136">
        <f t="shared" si="61"/>
        <v>-0.39241594823926051</v>
      </c>
      <c r="BI78" s="136">
        <f t="shared" si="62"/>
        <v>0.93815042742355381</v>
      </c>
      <c r="BJ78" s="136">
        <f t="shared" si="63"/>
        <v>0.57148116651529746</v>
      </c>
    </row>
    <row r="79" spans="1:62" ht="21" customHeight="1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32"/>
      <c r="AJ79" s="3">
        <v>112.5</v>
      </c>
      <c r="AK79" s="3" t="s">
        <v>94</v>
      </c>
      <c r="AL79" s="170">
        <v>0</v>
      </c>
      <c r="AM79" s="170">
        <v>12</v>
      </c>
      <c r="AN79" s="170">
        <v>50</v>
      </c>
      <c r="AO79" s="170">
        <v>100</v>
      </c>
      <c r="AP79" s="170">
        <v>400</v>
      </c>
      <c r="AQ79" s="170"/>
      <c r="AR79" s="66">
        <f t="shared" ref="AR79:AR100" si="117">AM79*TAN(RADIANS(($R$19+$S$19*(AJ79)+$T$19*(AJ79)^2)))</f>
        <v>7.7230171018584972</v>
      </c>
      <c r="AS79" s="66">
        <f t="shared" ref="AS79:AS100" si="118">AN79*TAN(RADIANS(($R$20+$S$20*(AJ79)+$T$20*(AJ79)^2)))</f>
        <v>30.010473480317174</v>
      </c>
      <c r="AT79" s="66">
        <f t="shared" ref="AT79:AT100" si="119">AO79*TAN(RADIANS(($R$21+$S$21*(AJ79)+$T$21*(AJ79)^2)))</f>
        <v>57.936623696547073</v>
      </c>
      <c r="AU79" s="66">
        <f t="shared" ref="AU79:AU100" si="120">AP79*TAN(RADIANS(($R$22+$S$22*(AJ79)+$T$22*(AJ79)^2+$U$22*(AJ79)^3)))</f>
        <v>205.94015428801833</v>
      </c>
      <c r="AV79" s="171"/>
      <c r="AW79" s="166">
        <f t="shared" ref="AW79:AW100" si="121">LOG(AR79/101)</f>
        <v>-1.1165343772409755</v>
      </c>
      <c r="AX79" s="166">
        <f t="shared" ref="AX79:AX100" si="122">LOG(AS79/101)</f>
        <v>-0.52704852636622379</v>
      </c>
      <c r="AY79" s="166">
        <f t="shared" ref="AY79:AY100" si="123">LOG(AT79/101)</f>
        <v>-0.24136819103853097</v>
      </c>
      <c r="AZ79" s="166">
        <f t="shared" ref="AZ79:AZ100" si="124">LOG(AU79/101)</f>
        <v>0.30941965999172749</v>
      </c>
      <c r="BA79" s="166"/>
      <c r="BB79" s="166">
        <f t="shared" ref="BB79:BB100" si="125">LOG(AM79/101)</f>
        <v>-0.92514012773501775</v>
      </c>
      <c r="BC79" s="166">
        <f t="shared" ref="BC79:BC100" si="126">LOG(AN79/101)</f>
        <v>-0.30535136944662378</v>
      </c>
      <c r="BD79" s="166">
        <f t="shared" ref="BD79:BD100" si="127">LOG(AO79/101)</f>
        <v>-4.3213737826425782E-3</v>
      </c>
      <c r="BE79" s="166">
        <f t="shared" ref="BE79:BE100" si="128">LOG(AP79/101)</f>
        <v>0.59773861754531976</v>
      </c>
      <c r="BF79" s="166"/>
      <c r="BG79" s="136">
        <f t="shared" ref="BG79:BG100" si="129">AVERAGE(BB79:BE79)</f>
        <v>-0.15926856335474107</v>
      </c>
      <c r="BH79" s="136">
        <f t="shared" ref="BH79:BH100" si="130">AVERAGE(AW79:AZ79)</f>
        <v>-0.3938828586635007</v>
      </c>
      <c r="BI79" s="136">
        <f t="shared" ref="BI79:BI100" si="131">((BB79-BG79)*(AW79-BH79)+(BC79-BG79)*(AX79-BH79)+(BD79-BG79)*(AY79-BH79)+(BE79-BG79)*(AZ79-BH79))/((BB79-BG79)^2+(BC79-BG79)^2+(BD79-BG79)^2+(BE79-BG79)^2)</f>
        <v>0.93691143090444895</v>
      </c>
      <c r="BJ79" s="136">
        <f t="shared" ref="BJ79:BJ100" si="132">10^(BH79-(BI79*BG79))</f>
        <v>0.56929540560002012</v>
      </c>
    </row>
    <row r="80" spans="1:62" ht="20.100000000000001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372" t="s">
        <v>111</v>
      </c>
      <c r="L80" s="373"/>
      <c r="M80" s="373"/>
      <c r="N80" s="374"/>
      <c r="O80" s="2"/>
      <c r="P80" s="389" t="s">
        <v>90</v>
      </c>
      <c r="Q80" s="390"/>
      <c r="R80" s="390"/>
      <c r="S80" s="391"/>
      <c r="T80" s="132"/>
      <c r="U80" s="348" t="s">
        <v>106</v>
      </c>
      <c r="V80" s="349"/>
      <c r="W80" s="349"/>
      <c r="X80" s="350"/>
      <c r="Y80" s="132"/>
      <c r="Z80" s="354" t="s">
        <v>105</v>
      </c>
      <c r="AA80" s="355"/>
      <c r="AB80" s="355"/>
      <c r="AC80" s="356"/>
      <c r="AD80" s="132"/>
      <c r="AE80" s="360" t="s">
        <v>104</v>
      </c>
      <c r="AF80" s="361"/>
      <c r="AG80" s="361"/>
      <c r="AH80" s="362"/>
      <c r="AI80" s="132"/>
      <c r="AJ80" s="3">
        <v>115</v>
      </c>
      <c r="AK80" s="3" t="s">
        <v>94</v>
      </c>
      <c r="AL80" s="170">
        <v>0</v>
      </c>
      <c r="AM80" s="170">
        <v>12</v>
      </c>
      <c r="AN80" s="170">
        <v>50</v>
      </c>
      <c r="AO80" s="170">
        <v>100</v>
      </c>
      <c r="AP80" s="170">
        <v>400</v>
      </c>
      <c r="AQ80" s="170"/>
      <c r="AR80" s="66">
        <f t="shared" si="117"/>
        <v>7.7090800637780852</v>
      </c>
      <c r="AS80" s="66">
        <f t="shared" si="118"/>
        <v>29.938593768941267</v>
      </c>
      <c r="AT80" s="66">
        <f t="shared" si="119"/>
        <v>57.789335021551835</v>
      </c>
      <c r="AU80" s="66">
        <f t="shared" si="120"/>
        <v>204.63587055331817</v>
      </c>
      <c r="AV80" s="171"/>
      <c r="AW80" s="166">
        <f t="shared" si="121"/>
        <v>-1.1173188176592845</v>
      </c>
      <c r="AX80" s="166">
        <f t="shared" si="122"/>
        <v>-0.52808997633044341</v>
      </c>
      <c r="AY80" s="166">
        <f t="shared" si="123"/>
        <v>-0.24247367668833422</v>
      </c>
      <c r="AZ80" s="166">
        <f t="shared" si="124"/>
        <v>0.30666038960094893</v>
      </c>
      <c r="BA80" s="166"/>
      <c r="BB80" s="166">
        <f t="shared" si="125"/>
        <v>-0.92514012773501775</v>
      </c>
      <c r="BC80" s="166">
        <f t="shared" si="126"/>
        <v>-0.30535136944662378</v>
      </c>
      <c r="BD80" s="166">
        <f t="shared" si="127"/>
        <v>-4.3213737826425782E-3</v>
      </c>
      <c r="BE80" s="166">
        <f t="shared" si="128"/>
        <v>0.59773861754531976</v>
      </c>
      <c r="BF80" s="166"/>
      <c r="BG80" s="136">
        <f t="shared" si="129"/>
        <v>-0.15926856335474107</v>
      </c>
      <c r="BH80" s="136">
        <f t="shared" si="130"/>
        <v>-0.39530552026927829</v>
      </c>
      <c r="BI80" s="136">
        <f t="shared" si="131"/>
        <v>0.93566064173628671</v>
      </c>
      <c r="BJ80" s="136">
        <f t="shared" si="132"/>
        <v>0.56717333647143386</v>
      </c>
    </row>
    <row r="81" spans="1:62" ht="22.5" customHeight="1" thickBot="1" x14ac:dyDescent="0.4">
      <c r="A81" s="2"/>
      <c r="B81" s="2"/>
      <c r="C81" s="2"/>
      <c r="D81" s="179"/>
      <c r="E81" s="179"/>
      <c r="F81" s="179"/>
      <c r="G81" s="2"/>
      <c r="H81" s="2"/>
      <c r="I81" s="100"/>
      <c r="J81" s="2"/>
      <c r="K81" s="375"/>
      <c r="L81" s="376"/>
      <c r="M81" s="376"/>
      <c r="N81" s="377"/>
      <c r="O81" s="2"/>
      <c r="P81" s="392"/>
      <c r="Q81" s="393"/>
      <c r="R81" s="393"/>
      <c r="S81" s="394"/>
      <c r="T81" s="132"/>
      <c r="U81" s="351"/>
      <c r="V81" s="352"/>
      <c r="W81" s="352"/>
      <c r="X81" s="353"/>
      <c r="Y81" s="132"/>
      <c r="Z81" s="357"/>
      <c r="AA81" s="358"/>
      <c r="AB81" s="358"/>
      <c r="AC81" s="359"/>
      <c r="AD81" s="132"/>
      <c r="AE81" s="363"/>
      <c r="AF81" s="364"/>
      <c r="AG81" s="364"/>
      <c r="AH81" s="365"/>
      <c r="AI81" s="132"/>
      <c r="AJ81" s="3">
        <v>117.5</v>
      </c>
      <c r="AK81" s="3" t="s">
        <v>94</v>
      </c>
      <c r="AL81" s="170">
        <v>0</v>
      </c>
      <c r="AM81" s="170">
        <v>12</v>
      </c>
      <c r="AN81" s="170">
        <v>50</v>
      </c>
      <c r="AO81" s="170">
        <v>100</v>
      </c>
      <c r="AP81" s="170">
        <v>400</v>
      </c>
      <c r="AQ81" s="170"/>
      <c r="AR81" s="66">
        <f t="shared" si="117"/>
        <v>7.6960209783774429</v>
      </c>
      <c r="AS81" s="66">
        <f t="shared" si="118"/>
        <v>29.869934622317253</v>
      </c>
      <c r="AT81" s="66">
        <f t="shared" si="119"/>
        <v>57.650203779563384</v>
      </c>
      <c r="AU81" s="66">
        <f t="shared" si="120"/>
        <v>203.35232037052299</v>
      </c>
      <c r="AV81" s="171"/>
      <c r="AW81" s="166">
        <f t="shared" si="121"/>
        <v>-1.1180551309195772</v>
      </c>
      <c r="AX81" s="166">
        <f t="shared" si="122"/>
        <v>-0.52908710173753437</v>
      </c>
      <c r="AY81" s="166">
        <f t="shared" si="123"/>
        <v>-0.24352052702298305</v>
      </c>
      <c r="AZ81" s="166">
        <f t="shared" si="124"/>
        <v>0.30392775854372589</v>
      </c>
      <c r="BA81" s="166"/>
      <c r="BB81" s="166">
        <f t="shared" si="125"/>
        <v>-0.92514012773501775</v>
      </c>
      <c r="BC81" s="166">
        <f t="shared" si="126"/>
        <v>-0.30535136944662378</v>
      </c>
      <c r="BD81" s="166">
        <f t="shared" si="127"/>
        <v>-4.3213737826425782E-3</v>
      </c>
      <c r="BE81" s="166">
        <f t="shared" si="128"/>
        <v>0.59773861754531976</v>
      </c>
      <c r="BF81" s="166"/>
      <c r="BG81" s="136">
        <f t="shared" si="129"/>
        <v>-0.15926856335474107</v>
      </c>
      <c r="BH81" s="136">
        <f t="shared" si="130"/>
        <v>-0.39668375028409214</v>
      </c>
      <c r="BI81" s="136">
        <f t="shared" si="131"/>
        <v>0.93439816534152376</v>
      </c>
      <c r="BJ81" s="136">
        <f t="shared" si="132"/>
        <v>0.56511456807739258</v>
      </c>
    </row>
    <row r="82" spans="1:62" ht="19.350000000000001" customHeight="1" x14ac:dyDescent="0.35">
      <c r="A82" s="2"/>
      <c r="B82" s="2"/>
      <c r="C82" s="2"/>
      <c r="D82" s="179"/>
      <c r="E82" s="179"/>
      <c r="F82" s="179"/>
      <c r="G82" s="2"/>
      <c r="H82" s="2"/>
      <c r="I82" s="103"/>
      <c r="J82" s="2"/>
      <c r="K82" s="378" t="s">
        <v>31</v>
      </c>
      <c r="L82" s="379"/>
      <c r="M82" s="148"/>
      <c r="N82" s="149"/>
      <c r="O82" s="2"/>
      <c r="P82" s="378" t="s">
        <v>31</v>
      </c>
      <c r="Q82" s="379"/>
      <c r="R82" s="148"/>
      <c r="S82" s="149"/>
      <c r="T82" s="132"/>
      <c r="U82" s="334" t="s">
        <v>31</v>
      </c>
      <c r="V82" s="335"/>
      <c r="W82" s="148"/>
      <c r="X82" s="149"/>
      <c r="Y82" s="2"/>
      <c r="Z82" s="334" t="s">
        <v>31</v>
      </c>
      <c r="AA82" s="335"/>
      <c r="AB82" s="148"/>
      <c r="AC82" s="149"/>
      <c r="AD82" s="132"/>
      <c r="AE82" s="334" t="s">
        <v>31</v>
      </c>
      <c r="AF82" s="335"/>
      <c r="AG82" s="148"/>
      <c r="AH82" s="149"/>
      <c r="AI82" s="132"/>
      <c r="AJ82" s="3">
        <v>120</v>
      </c>
      <c r="AK82" s="3" t="s">
        <v>94</v>
      </c>
      <c r="AL82" s="170">
        <v>0</v>
      </c>
      <c r="AM82" s="170">
        <v>12</v>
      </c>
      <c r="AN82" s="170">
        <v>50</v>
      </c>
      <c r="AO82" s="170">
        <v>100</v>
      </c>
      <c r="AP82" s="170">
        <v>400</v>
      </c>
      <c r="AQ82" s="170"/>
      <c r="AR82" s="66">
        <f t="shared" si="117"/>
        <v>7.683837247060028</v>
      </c>
      <c r="AS82" s="66">
        <f t="shared" si="118"/>
        <v>29.804484382504409</v>
      </c>
      <c r="AT82" s="66">
        <f t="shared" si="119"/>
        <v>57.519200538561385</v>
      </c>
      <c r="AU82" s="66">
        <f t="shared" si="120"/>
        <v>202.08933915645102</v>
      </c>
      <c r="AV82" s="171"/>
      <c r="AW82" s="166">
        <f t="shared" si="121"/>
        <v>-1.118743216376473</v>
      </c>
      <c r="AX82" s="166">
        <f t="shared" si="122"/>
        <v>-0.53003976084546656</v>
      </c>
      <c r="AY82" s="166">
        <f t="shared" si="123"/>
        <v>-0.24450853264050337</v>
      </c>
      <c r="AZ82" s="166">
        <f t="shared" si="124"/>
        <v>0.30122202994718072</v>
      </c>
      <c r="BA82" s="166"/>
      <c r="BB82" s="166">
        <f t="shared" si="125"/>
        <v>-0.92514012773501775</v>
      </c>
      <c r="BC82" s="166">
        <f t="shared" si="126"/>
        <v>-0.30535136944662378</v>
      </c>
      <c r="BD82" s="166">
        <f t="shared" si="127"/>
        <v>-4.3213737826425782E-3</v>
      </c>
      <c r="BE82" s="166">
        <f t="shared" si="128"/>
        <v>0.59773861754531976</v>
      </c>
      <c r="BF82" s="166"/>
      <c r="BG82" s="136">
        <f t="shared" si="129"/>
        <v>-0.15926856335474107</v>
      </c>
      <c r="BH82" s="136">
        <f t="shared" si="130"/>
        <v>-0.39801736997881554</v>
      </c>
      <c r="BI82" s="136">
        <f t="shared" si="131"/>
        <v>0.93312411280017782</v>
      </c>
      <c r="BJ82" s="136">
        <f t="shared" si="132"/>
        <v>0.56311872243455441</v>
      </c>
    </row>
    <row r="83" spans="1:62" ht="19.350000000000001" customHeight="1" x14ac:dyDescent="0.35">
      <c r="A83" s="2"/>
      <c r="B83" s="2"/>
      <c r="C83" s="2"/>
      <c r="D83" s="179"/>
      <c r="E83" s="179"/>
      <c r="F83" s="179"/>
      <c r="G83" s="2"/>
      <c r="H83" s="2"/>
      <c r="I83" s="99"/>
      <c r="J83" s="2"/>
      <c r="K83" s="150" t="s">
        <v>32</v>
      </c>
      <c r="L83" s="94" t="s">
        <v>33</v>
      </c>
      <c r="M83" s="132"/>
      <c r="N83" s="149"/>
      <c r="O83" s="2"/>
      <c r="P83" s="150" t="s">
        <v>32</v>
      </c>
      <c r="Q83" s="94" t="s">
        <v>33</v>
      </c>
      <c r="R83" s="132"/>
      <c r="S83" s="149"/>
      <c r="T83" s="132"/>
      <c r="U83" s="150" t="s">
        <v>32</v>
      </c>
      <c r="V83" s="94" t="s">
        <v>33</v>
      </c>
      <c r="W83" s="132"/>
      <c r="X83" s="149"/>
      <c r="Y83" s="2"/>
      <c r="Z83" s="150" t="s">
        <v>32</v>
      </c>
      <c r="AA83" s="94" t="s">
        <v>33</v>
      </c>
      <c r="AB83" s="132"/>
      <c r="AC83" s="149"/>
      <c r="AD83" s="132"/>
      <c r="AE83" s="150" t="s">
        <v>32</v>
      </c>
      <c r="AF83" s="94" t="s">
        <v>33</v>
      </c>
      <c r="AG83" s="132"/>
      <c r="AH83" s="149"/>
      <c r="AI83" s="132"/>
      <c r="AJ83" s="3">
        <v>122.5</v>
      </c>
      <c r="AK83" s="3" t="s">
        <v>94</v>
      </c>
      <c r="AL83" s="170">
        <v>0</v>
      </c>
      <c r="AM83" s="170">
        <v>12</v>
      </c>
      <c r="AN83" s="170">
        <v>50</v>
      </c>
      <c r="AO83" s="170">
        <v>100</v>
      </c>
      <c r="AP83" s="170">
        <v>400</v>
      </c>
      <c r="AQ83" s="170"/>
      <c r="AR83" s="66">
        <f t="shared" si="117"/>
        <v>7.6725264535250073</v>
      </c>
      <c r="AS83" s="66">
        <f t="shared" si="118"/>
        <v>29.742231986048523</v>
      </c>
      <c r="AT83" s="66">
        <f t="shared" si="119"/>
        <v>57.396297714180896</v>
      </c>
      <c r="AU83" s="66">
        <f t="shared" si="120"/>
        <v>200.84676673061321</v>
      </c>
      <c r="AV83" s="171"/>
      <c r="AW83" s="166">
        <f t="shared" si="121"/>
        <v>-1.1193829793050278</v>
      </c>
      <c r="AX83" s="166">
        <f t="shared" si="122"/>
        <v>-0.53094781703275495</v>
      </c>
      <c r="AY83" s="166">
        <f t="shared" si="123"/>
        <v>-0.24543749417487642</v>
      </c>
      <c r="AZ83" s="166">
        <f t="shared" si="124"/>
        <v>0.29854347098628936</v>
      </c>
      <c r="BA83" s="166"/>
      <c r="BB83" s="166">
        <f t="shared" si="125"/>
        <v>-0.92514012773501775</v>
      </c>
      <c r="BC83" s="166">
        <f t="shared" si="126"/>
        <v>-0.30535136944662378</v>
      </c>
      <c r="BD83" s="166">
        <f t="shared" si="127"/>
        <v>-4.3213737826425782E-3</v>
      </c>
      <c r="BE83" s="166">
        <f t="shared" si="128"/>
        <v>0.59773861754531976</v>
      </c>
      <c r="BF83" s="166"/>
      <c r="BG83" s="136">
        <f t="shared" si="129"/>
        <v>-0.15926856335474107</v>
      </c>
      <c r="BH83" s="136">
        <f t="shared" si="130"/>
        <v>-0.39930620488159246</v>
      </c>
      <c r="BI83" s="136">
        <f t="shared" si="131"/>
        <v>0.9318386008285392</v>
      </c>
      <c r="BJ83" s="136">
        <f t="shared" si="132"/>
        <v>0.56118543438234603</v>
      </c>
    </row>
    <row r="84" spans="1:62" ht="19.350000000000001" customHeight="1" x14ac:dyDescent="0.35">
      <c r="A84" s="2"/>
      <c r="B84" s="2"/>
      <c r="C84" s="2"/>
      <c r="D84" s="179"/>
      <c r="E84" s="179"/>
      <c r="F84" s="179"/>
      <c r="G84" s="2"/>
      <c r="H84" s="2"/>
      <c r="I84" s="99"/>
      <c r="J84" s="2"/>
      <c r="K84" s="527">
        <f>V49</f>
        <v>0.26296266766379783</v>
      </c>
      <c r="L84" s="526">
        <f>U49</f>
        <v>0.82639588937210706</v>
      </c>
      <c r="M84" s="132"/>
      <c r="N84" s="153"/>
      <c r="O84" s="2"/>
      <c r="P84" s="527">
        <f>V50</f>
        <v>0.247936340633157</v>
      </c>
      <c r="Q84" s="526">
        <f>U50</f>
        <v>0.8154179060420117</v>
      </c>
      <c r="R84" s="132"/>
      <c r="S84" s="153"/>
      <c r="T84" s="132"/>
      <c r="U84" s="527">
        <f>V51</f>
        <v>0.23299322553622989</v>
      </c>
      <c r="V84" s="526">
        <f>U51</f>
        <v>0.80274361191685617</v>
      </c>
      <c r="W84" s="132"/>
      <c r="X84" s="153"/>
      <c r="Y84" s="2"/>
      <c r="Z84" s="527">
        <f>V52</f>
        <v>0.21812129581814882</v>
      </c>
      <c r="AA84" s="526">
        <f>U52</f>
        <v>0.7879513399490603</v>
      </c>
      <c r="AB84" s="132"/>
      <c r="AC84" s="153"/>
      <c r="AD84" s="132"/>
      <c r="AE84" s="527">
        <f>V53</f>
        <v>0.20330667537103267</v>
      </c>
      <c r="AF84" s="526">
        <f>U53</f>
        <v>0.77046112396049082</v>
      </c>
      <c r="AG84" s="132"/>
      <c r="AH84" s="153"/>
      <c r="AI84" s="132"/>
      <c r="AJ84" s="3">
        <v>125</v>
      </c>
      <c r="AK84" s="3" t="s">
        <v>94</v>
      </c>
      <c r="AL84" s="170">
        <v>0</v>
      </c>
      <c r="AM84" s="170">
        <v>12</v>
      </c>
      <c r="AN84" s="170">
        <v>50</v>
      </c>
      <c r="AO84" s="170">
        <v>100</v>
      </c>
      <c r="AP84" s="170">
        <v>400</v>
      </c>
      <c r="AQ84" s="170"/>
      <c r="AR84" s="66">
        <f t="shared" si="117"/>
        <v>7.6620863615933787</v>
      </c>
      <c r="AS84" s="66">
        <f t="shared" si="118"/>
        <v>29.683166954921386</v>
      </c>
      <c r="AT84" s="66">
        <f t="shared" si="119"/>
        <v>57.281469540596319</v>
      </c>
      <c r="AU84" s="66">
        <f t="shared" si="120"/>
        <v>199.62444720249172</v>
      </c>
      <c r="AV84" s="171"/>
      <c r="AW84" s="166">
        <f t="shared" si="121"/>
        <v>-1.1199743310491728</v>
      </c>
      <c r="AX84" s="166">
        <f t="shared" si="122"/>
        <v>-0.53181113897913657</v>
      </c>
      <c r="AY84" s="166">
        <f t="shared" si="123"/>
        <v>-0.24630722263254229</v>
      </c>
      <c r="AZ84" s="166">
        <f t="shared" si="124"/>
        <v>0.29589235272274533</v>
      </c>
      <c r="BA84" s="166"/>
      <c r="BB84" s="166">
        <f t="shared" si="125"/>
        <v>-0.92514012773501775</v>
      </c>
      <c r="BC84" s="166">
        <f t="shared" si="126"/>
        <v>-0.30535136944662378</v>
      </c>
      <c r="BD84" s="166">
        <f t="shared" si="127"/>
        <v>-4.3213737826425782E-3</v>
      </c>
      <c r="BE84" s="166">
        <f t="shared" si="128"/>
        <v>0.59773861754531976</v>
      </c>
      <c r="BF84" s="166"/>
      <c r="BG84" s="136">
        <f t="shared" si="129"/>
        <v>-0.15926856335474107</v>
      </c>
      <c r="BH84" s="136">
        <f t="shared" si="130"/>
        <v>-0.4005500849845266</v>
      </c>
      <c r="BI84" s="136">
        <f t="shared" si="131"/>
        <v>0.93054175175092024</v>
      </c>
      <c r="BJ84" s="136">
        <f t="shared" si="132"/>
        <v>0.55931435135050611</v>
      </c>
    </row>
    <row r="85" spans="1:62" ht="21.9" customHeight="1" x14ac:dyDescent="0.35">
      <c r="A85" s="2"/>
      <c r="B85" s="2"/>
      <c r="C85" s="2"/>
      <c r="D85" s="179"/>
      <c r="E85" s="179"/>
      <c r="F85" s="179"/>
      <c r="G85" s="2"/>
      <c r="H85" s="2"/>
      <c r="I85" s="99"/>
      <c r="J85" s="2"/>
      <c r="K85" s="151" t="s">
        <v>34</v>
      </c>
      <c r="L85" s="96" t="s">
        <v>35</v>
      </c>
      <c r="M85" s="97" t="s">
        <v>36</v>
      </c>
      <c r="N85" s="152" t="s">
        <v>79</v>
      </c>
      <c r="O85" s="2"/>
      <c r="P85" s="151" t="s">
        <v>34</v>
      </c>
      <c r="Q85" s="96" t="s">
        <v>35</v>
      </c>
      <c r="R85" s="97" t="s">
        <v>36</v>
      </c>
      <c r="S85" s="152" t="s">
        <v>79</v>
      </c>
      <c r="T85" s="132"/>
      <c r="U85" s="151" t="s">
        <v>34</v>
      </c>
      <c r="V85" s="96" t="s">
        <v>35</v>
      </c>
      <c r="W85" s="97" t="s">
        <v>36</v>
      </c>
      <c r="X85" s="152" t="s">
        <v>79</v>
      </c>
      <c r="Y85" s="2"/>
      <c r="Z85" s="151" t="s">
        <v>34</v>
      </c>
      <c r="AA85" s="96" t="s">
        <v>35</v>
      </c>
      <c r="AB85" s="97" t="s">
        <v>36</v>
      </c>
      <c r="AC85" s="152" t="s">
        <v>79</v>
      </c>
      <c r="AD85" s="132"/>
      <c r="AE85" s="151" t="s">
        <v>34</v>
      </c>
      <c r="AF85" s="96" t="s">
        <v>35</v>
      </c>
      <c r="AG85" s="97" t="s">
        <v>36</v>
      </c>
      <c r="AH85" s="152" t="s">
        <v>79</v>
      </c>
      <c r="AI85" s="132"/>
      <c r="AJ85" s="3">
        <v>127.5</v>
      </c>
      <c r="AK85" s="3" t="s">
        <v>94</v>
      </c>
      <c r="AL85" s="170">
        <v>0</v>
      </c>
      <c r="AM85" s="170">
        <v>12</v>
      </c>
      <c r="AN85" s="170">
        <v>50</v>
      </c>
      <c r="AO85" s="170">
        <v>100</v>
      </c>
      <c r="AP85" s="170">
        <v>400</v>
      </c>
      <c r="AQ85" s="170"/>
      <c r="AR85" s="66">
        <f t="shared" si="117"/>
        <v>7.6525149132001058</v>
      </c>
      <c r="AS85" s="66">
        <f t="shared" si="118"/>
        <v>29.627279387959771</v>
      </c>
      <c r="AT85" s="66">
        <f t="shared" si="119"/>
        <v>57.174692043384198</v>
      </c>
      <c r="AU85" s="66">
        <f t="shared" si="120"/>
        <v>198.4222288623352</v>
      </c>
      <c r="AV85" s="171"/>
      <c r="AW85" s="166">
        <f t="shared" si="121"/>
        <v>-1.1205171891605488</v>
      </c>
      <c r="AX85" s="166">
        <f t="shared" si="122"/>
        <v>-0.5326296008393554</v>
      </c>
      <c r="AY85" s="166">
        <f t="shared" si="123"/>
        <v>-0.24711753971188616</v>
      </c>
      <c r="AZ85" s="166">
        <f t="shared" si="124"/>
        <v>0.29326894994014713</v>
      </c>
      <c r="BA85" s="166"/>
      <c r="BB85" s="166">
        <f t="shared" si="125"/>
        <v>-0.92514012773501775</v>
      </c>
      <c r="BC85" s="166">
        <f t="shared" si="126"/>
        <v>-0.30535136944662378</v>
      </c>
      <c r="BD85" s="166">
        <f t="shared" si="127"/>
        <v>-4.3213737826425782E-3</v>
      </c>
      <c r="BE85" s="166">
        <f t="shared" si="128"/>
        <v>0.59773861754531976</v>
      </c>
      <c r="BF85" s="166"/>
      <c r="BG85" s="136">
        <f t="shared" si="129"/>
        <v>-0.15926856335474107</v>
      </c>
      <c r="BH85" s="136">
        <f t="shared" si="130"/>
        <v>-0.4017488449429108</v>
      </c>
      <c r="BI85" s="136">
        <f t="shared" si="131"/>
        <v>0.9292336934643407</v>
      </c>
      <c r="BJ85" s="136">
        <f t="shared" si="132"/>
        <v>0.55750513313984207</v>
      </c>
    </row>
    <row r="86" spans="1:62" ht="21.9" customHeight="1" x14ac:dyDescent="0.35">
      <c r="A86" s="2"/>
      <c r="B86" s="2"/>
      <c r="C86" s="2"/>
      <c r="D86" s="179"/>
      <c r="E86" s="179"/>
      <c r="F86" s="179"/>
      <c r="G86" s="2"/>
      <c r="H86" s="2"/>
      <c r="I86" s="99"/>
      <c r="J86" s="2"/>
      <c r="K86" s="319">
        <v>0</v>
      </c>
      <c r="L86" s="320">
        <v>0</v>
      </c>
      <c r="M86" s="320">
        <v>0</v>
      </c>
      <c r="N86" s="321">
        <f>L86*20.89</f>
        <v>0</v>
      </c>
      <c r="O86" s="2"/>
      <c r="P86" s="216">
        <v>0</v>
      </c>
      <c r="Q86" s="217">
        <v>0</v>
      </c>
      <c r="R86" s="217">
        <v>0</v>
      </c>
      <c r="S86" s="218">
        <f>Q86*20.89</f>
        <v>0</v>
      </c>
      <c r="T86" s="132"/>
      <c r="U86" s="219">
        <v>0</v>
      </c>
      <c r="V86" s="220">
        <v>0</v>
      </c>
      <c r="W86" s="220">
        <v>0</v>
      </c>
      <c r="X86" s="221">
        <f>V86*20.89</f>
        <v>0</v>
      </c>
      <c r="Y86" s="2"/>
      <c r="Z86" s="210">
        <v>0</v>
      </c>
      <c r="AA86" s="211">
        <v>0</v>
      </c>
      <c r="AB86" s="211">
        <v>0</v>
      </c>
      <c r="AC86" s="212">
        <f>AA86*20.89</f>
        <v>0</v>
      </c>
      <c r="AD86" s="132"/>
      <c r="AE86" s="204">
        <v>0</v>
      </c>
      <c r="AF86" s="205">
        <v>0</v>
      </c>
      <c r="AG86" s="205">
        <v>0</v>
      </c>
      <c r="AH86" s="206">
        <f>AF86*20.89</f>
        <v>0</v>
      </c>
      <c r="AI86" s="132"/>
      <c r="AL86" s="170"/>
      <c r="AM86" s="170"/>
      <c r="AN86" s="170"/>
      <c r="AO86" s="170"/>
      <c r="AP86" s="170"/>
      <c r="AQ86" s="170"/>
      <c r="AR86" s="66"/>
      <c r="AS86" s="66"/>
      <c r="AT86" s="66"/>
      <c r="AU86" s="66"/>
      <c r="AV86" s="171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36"/>
      <c r="BH86" s="136"/>
      <c r="BI86" s="136"/>
      <c r="BJ86" s="136"/>
    </row>
    <row r="87" spans="1:62" ht="21.9" customHeight="1" x14ac:dyDescent="0.35">
      <c r="A87" s="2"/>
      <c r="B87" s="2"/>
      <c r="C87" s="2"/>
      <c r="D87" s="179"/>
      <c r="E87" s="179"/>
      <c r="F87" s="179"/>
      <c r="G87" s="2"/>
      <c r="H87" s="2"/>
      <c r="I87" s="99"/>
      <c r="J87" s="2"/>
      <c r="K87" s="319">
        <v>5</v>
      </c>
      <c r="L87" s="320">
        <f t="shared" ref="L87:L95" si="133">K$84*101*(K87/101)^L$84</f>
        <v>2.2155342324383458</v>
      </c>
      <c r="M87" s="320">
        <f t="shared" ref="M87:M95" si="134">DEGREES(ATAN(L87/K87))</f>
        <v>23.898459935752012</v>
      </c>
      <c r="N87" s="321">
        <f t="shared" ref="N87:N95" si="135">L87*20.89</f>
        <v>46.282510115637045</v>
      </c>
      <c r="O87" s="2"/>
      <c r="P87" s="216">
        <v>5</v>
      </c>
      <c r="Q87" s="217">
        <f t="shared" ref="Q87:Q95" si="136">P$84*101*(P87/101)^Q$84</f>
        <v>2.1590101322814639</v>
      </c>
      <c r="R87" s="217">
        <f t="shared" ref="R87:R95" si="137">DEGREES(ATAN(Q87/P87))</f>
        <v>23.354784694696182</v>
      </c>
      <c r="S87" s="218">
        <f t="shared" ref="S87:S95" si="138">Q87*20.89</f>
        <v>45.101721663359783</v>
      </c>
      <c r="T87" s="132"/>
      <c r="U87" s="219">
        <v>5</v>
      </c>
      <c r="V87" s="220">
        <f t="shared" ref="V87:V95" si="139">U$84*101*(U87/101)^V$84</f>
        <v>2.1076679639453895</v>
      </c>
      <c r="W87" s="220">
        <f t="shared" ref="W87:W95" si="140">DEGREES(ATAN(V87/U87))</f>
        <v>22.85705743122465</v>
      </c>
      <c r="X87" s="221">
        <f t="shared" ref="X87:X95" si="141">V87*20.89</f>
        <v>44.029183766819187</v>
      </c>
      <c r="Y87" s="2"/>
      <c r="Z87" s="210">
        <v>5</v>
      </c>
      <c r="AA87" s="211">
        <f t="shared" ref="AA87:AA95" si="142">Z$84*101*(Z87/101)^AA$84</f>
        <v>2.0628425559002821</v>
      </c>
      <c r="AB87" s="211">
        <f t="shared" ref="AB87:AB95" si="143">DEGREES(ATAN(AA87/Z87))</f>
        <v>22.419501994316089</v>
      </c>
      <c r="AC87" s="212">
        <f t="shared" ref="AC87:AC95" si="144">AA87*20.89</f>
        <v>43.092780992756893</v>
      </c>
      <c r="AD87" s="132"/>
      <c r="AE87" s="204">
        <v>5</v>
      </c>
      <c r="AF87" s="205">
        <f t="shared" ref="AF87:AF95" si="145">AE$84*101*(AE87/101)^AF$84</f>
        <v>2.0265182959011407</v>
      </c>
      <c r="AG87" s="205">
        <f t="shared" ref="AG87:AG95" si="146">DEGREES(ATAN(AF87/AE87))</f>
        <v>22.062892633171444</v>
      </c>
      <c r="AH87" s="206">
        <f t="shared" ref="AH87:AH95" si="147">AF87*20.89</f>
        <v>42.333967201374833</v>
      </c>
      <c r="AI87" s="132"/>
      <c r="AL87" s="170"/>
      <c r="AM87" s="170"/>
      <c r="AN87" s="170"/>
      <c r="AO87" s="170"/>
      <c r="AP87" s="170"/>
      <c r="AQ87" s="170"/>
      <c r="AR87" s="66"/>
      <c r="AS87" s="66"/>
      <c r="AT87" s="66"/>
      <c r="AU87" s="66"/>
      <c r="AV87" s="171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36"/>
      <c r="BH87" s="136"/>
      <c r="BI87" s="136"/>
      <c r="BJ87" s="136"/>
    </row>
    <row r="88" spans="1:62" ht="21.9" customHeight="1" x14ac:dyDescent="0.55000000000000004">
      <c r="A88" s="2"/>
      <c r="B88" s="2"/>
      <c r="C88" s="2"/>
      <c r="D88" s="406" t="s">
        <v>44</v>
      </c>
      <c r="E88" s="407"/>
      <c r="F88" s="407"/>
      <c r="G88" s="2"/>
      <c r="H88" s="2"/>
      <c r="I88" s="99"/>
      <c r="J88" s="2"/>
      <c r="K88" s="319">
        <v>10</v>
      </c>
      <c r="L88" s="320">
        <f t="shared" si="133"/>
        <v>3.9286959191269837</v>
      </c>
      <c r="M88" s="320">
        <f t="shared" si="134"/>
        <v>21.448354236333032</v>
      </c>
      <c r="N88" s="321">
        <f t="shared" si="135"/>
        <v>82.070457750562696</v>
      </c>
      <c r="O88" s="2"/>
      <c r="P88" s="216">
        <v>10</v>
      </c>
      <c r="Q88" s="217">
        <f t="shared" si="136"/>
        <v>3.7994429622916628</v>
      </c>
      <c r="R88" s="217">
        <f t="shared" si="137"/>
        <v>20.804002084011756</v>
      </c>
      <c r="S88" s="218">
        <f t="shared" si="138"/>
        <v>79.370363482272836</v>
      </c>
      <c r="T88" s="132"/>
      <c r="U88" s="219">
        <v>10</v>
      </c>
      <c r="V88" s="220">
        <f t="shared" si="139"/>
        <v>3.6766484033418698</v>
      </c>
      <c r="W88" s="220">
        <f t="shared" si="140"/>
        <v>20.186700500332957</v>
      </c>
      <c r="X88" s="221">
        <f t="shared" si="141"/>
        <v>76.805185145811663</v>
      </c>
      <c r="Y88" s="2"/>
      <c r="Z88" s="210">
        <v>10</v>
      </c>
      <c r="AA88" s="211">
        <f t="shared" si="142"/>
        <v>3.5617470285536323</v>
      </c>
      <c r="AB88" s="211">
        <f t="shared" si="143"/>
        <v>19.604612842172035</v>
      </c>
      <c r="AC88" s="212">
        <f t="shared" si="144"/>
        <v>74.404895426485382</v>
      </c>
      <c r="AD88" s="132"/>
      <c r="AE88" s="204">
        <v>10</v>
      </c>
      <c r="AF88" s="205">
        <f t="shared" si="145"/>
        <v>3.4568651458744712</v>
      </c>
      <c r="AG88" s="205">
        <f t="shared" si="146"/>
        <v>19.069577501712637</v>
      </c>
      <c r="AH88" s="206">
        <f t="shared" si="147"/>
        <v>72.213912897317712</v>
      </c>
      <c r="AI88" s="132"/>
      <c r="AL88" s="170"/>
      <c r="AM88" s="170"/>
      <c r="AN88" s="170"/>
      <c r="AO88" s="170"/>
      <c r="AP88" s="170"/>
      <c r="AQ88" s="170"/>
      <c r="AR88" s="66"/>
      <c r="AS88" s="66"/>
      <c r="AT88" s="66"/>
      <c r="AU88" s="66"/>
      <c r="AV88" s="171"/>
      <c r="AW88" s="166"/>
      <c r="AX88" s="166"/>
      <c r="AY88" s="166"/>
      <c r="AZ88" s="166"/>
      <c r="BA88" s="166"/>
      <c r="BB88" s="166"/>
      <c r="BC88" s="166"/>
      <c r="BD88" s="166"/>
      <c r="BE88" s="166"/>
      <c r="BF88" s="166"/>
      <c r="BG88" s="136"/>
      <c r="BH88" s="136"/>
      <c r="BI88" s="136"/>
      <c r="BJ88" s="136"/>
    </row>
    <row r="89" spans="1:62" ht="21.9" customHeight="1" x14ac:dyDescent="0.35">
      <c r="A89" s="2"/>
      <c r="B89" s="2"/>
      <c r="C89" s="2"/>
      <c r="D89" s="179"/>
      <c r="E89" s="179"/>
      <c r="F89" s="179"/>
      <c r="G89" s="2"/>
      <c r="H89" s="2"/>
      <c r="I89" s="99"/>
      <c r="J89" s="2"/>
      <c r="K89" s="319">
        <v>25</v>
      </c>
      <c r="L89" s="320">
        <f t="shared" si="133"/>
        <v>8.3773064592108089</v>
      </c>
      <c r="M89" s="320">
        <f t="shared" si="134"/>
        <v>18.525601994488699</v>
      </c>
      <c r="N89" s="321">
        <f t="shared" si="135"/>
        <v>175.00193193291381</v>
      </c>
      <c r="O89" s="2"/>
      <c r="P89" s="216">
        <v>25</v>
      </c>
      <c r="Q89" s="217">
        <f t="shared" si="136"/>
        <v>8.0206088626026624</v>
      </c>
      <c r="R89" s="217">
        <f t="shared" si="137"/>
        <v>17.787506100433163</v>
      </c>
      <c r="S89" s="218">
        <f t="shared" si="138"/>
        <v>167.55051913976962</v>
      </c>
      <c r="T89" s="132"/>
      <c r="U89" s="219">
        <v>25</v>
      </c>
      <c r="V89" s="220">
        <f t="shared" si="139"/>
        <v>7.6717757608058568</v>
      </c>
      <c r="W89" s="220">
        <f t="shared" si="140"/>
        <v>17.059733014848621</v>
      </c>
      <c r="X89" s="221">
        <f t="shared" si="141"/>
        <v>160.26339564323436</v>
      </c>
      <c r="Y89" s="2"/>
      <c r="Z89" s="210">
        <v>25</v>
      </c>
      <c r="AA89" s="211">
        <f t="shared" si="142"/>
        <v>7.3319658537435295</v>
      </c>
      <c r="AB89" s="211">
        <f t="shared" si="143"/>
        <v>16.34528577349684</v>
      </c>
      <c r="AC89" s="212">
        <f t="shared" si="144"/>
        <v>153.16476668470233</v>
      </c>
      <c r="AD89" s="132"/>
      <c r="AE89" s="204">
        <v>25</v>
      </c>
      <c r="AF89" s="205">
        <f t="shared" si="145"/>
        <v>7.0029293376771493</v>
      </c>
      <c r="AG89" s="205">
        <f t="shared" si="146"/>
        <v>15.648471738326782</v>
      </c>
      <c r="AH89" s="206">
        <f t="shared" si="147"/>
        <v>146.29119386407567</v>
      </c>
      <c r="AI89" s="132"/>
      <c r="AL89" s="170"/>
      <c r="AM89" s="170"/>
      <c r="AN89" s="170"/>
      <c r="AO89" s="170"/>
      <c r="AP89" s="170"/>
      <c r="AQ89" s="170"/>
      <c r="AR89" s="66"/>
      <c r="AS89" s="66"/>
      <c r="AT89" s="66"/>
      <c r="AU89" s="66"/>
      <c r="AV89" s="171"/>
      <c r="AW89" s="166"/>
      <c r="AX89" s="166"/>
      <c r="AY89" s="166"/>
      <c r="AZ89" s="166"/>
      <c r="BA89" s="166"/>
      <c r="BB89" s="166"/>
      <c r="BC89" s="166"/>
      <c r="BD89" s="166"/>
      <c r="BE89" s="166"/>
      <c r="BF89" s="166"/>
      <c r="BG89" s="136"/>
      <c r="BH89" s="136"/>
      <c r="BI89" s="136"/>
      <c r="BJ89" s="136"/>
    </row>
    <row r="90" spans="1:62" ht="21.9" customHeight="1" x14ac:dyDescent="0.35">
      <c r="A90" s="2"/>
      <c r="B90" s="2"/>
      <c r="C90" s="2"/>
      <c r="D90" s="179"/>
      <c r="E90" s="179"/>
      <c r="F90" s="179"/>
      <c r="G90" s="2"/>
      <c r="H90" s="2"/>
      <c r="I90" s="99"/>
      <c r="J90" s="2"/>
      <c r="K90" s="319">
        <v>50</v>
      </c>
      <c r="L90" s="320">
        <f t="shared" si="133"/>
        <v>14.855058079312936</v>
      </c>
      <c r="M90" s="320">
        <f t="shared" si="134"/>
        <v>16.546745669770925</v>
      </c>
      <c r="N90" s="321">
        <f t="shared" si="135"/>
        <v>310.32216327684722</v>
      </c>
      <c r="O90" s="2"/>
      <c r="P90" s="216">
        <v>50</v>
      </c>
      <c r="Q90" s="217">
        <f t="shared" si="136"/>
        <v>14.114730376048568</v>
      </c>
      <c r="R90" s="217">
        <f t="shared" si="137"/>
        <v>15.764087005307047</v>
      </c>
      <c r="S90" s="218">
        <f t="shared" si="138"/>
        <v>294.8567175556546</v>
      </c>
      <c r="T90" s="132"/>
      <c r="U90" s="219">
        <v>50</v>
      </c>
      <c r="V90" s="220">
        <f t="shared" si="139"/>
        <v>13.382763596673687</v>
      </c>
      <c r="W90" s="220">
        <f t="shared" si="140"/>
        <v>14.984286534903744</v>
      </c>
      <c r="X90" s="221">
        <f t="shared" si="141"/>
        <v>279.56593153451331</v>
      </c>
      <c r="Y90" s="2"/>
      <c r="Z90" s="210">
        <v>50</v>
      </c>
      <c r="AA90" s="211">
        <f t="shared" si="142"/>
        <v>12.659525332329864</v>
      </c>
      <c r="AB90" s="211">
        <f t="shared" si="143"/>
        <v>14.208163363315128</v>
      </c>
      <c r="AC90" s="212">
        <f t="shared" si="144"/>
        <v>264.45748419237088</v>
      </c>
      <c r="AD90" s="132"/>
      <c r="AE90" s="204">
        <v>50</v>
      </c>
      <c r="AF90" s="205">
        <f t="shared" si="145"/>
        <v>11.945701351624452</v>
      </c>
      <c r="AG90" s="205">
        <f t="shared" si="146"/>
        <v>13.436885906152735</v>
      </c>
      <c r="AH90" s="206">
        <f t="shared" si="147"/>
        <v>249.54570123543482</v>
      </c>
      <c r="AI90" s="132"/>
      <c r="AL90" s="170"/>
      <c r="AM90" s="170"/>
      <c r="AN90" s="170"/>
      <c r="AO90" s="170"/>
      <c r="AP90" s="170"/>
      <c r="AQ90" s="170"/>
      <c r="AR90" s="66"/>
      <c r="AS90" s="66"/>
      <c r="AT90" s="66"/>
      <c r="AU90" s="66"/>
      <c r="AV90" s="171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36"/>
      <c r="BH90" s="136"/>
      <c r="BI90" s="136"/>
      <c r="BJ90" s="136"/>
    </row>
    <row r="91" spans="1:62" ht="21.9" customHeight="1" x14ac:dyDescent="0.3">
      <c r="A91" s="2"/>
      <c r="B91" s="2"/>
      <c r="C91" s="2"/>
      <c r="D91" s="99"/>
      <c r="E91" s="99"/>
      <c r="F91" s="402" t="s">
        <v>37</v>
      </c>
      <c r="G91" s="403"/>
      <c r="H91" s="2"/>
      <c r="I91" s="99"/>
      <c r="J91" s="2"/>
      <c r="K91" s="319">
        <v>100</v>
      </c>
      <c r="L91" s="320">
        <f t="shared" si="133"/>
        <v>26.341730676109123</v>
      </c>
      <c r="M91" s="320">
        <f t="shared" si="134"/>
        <v>14.757462519515059</v>
      </c>
      <c r="N91" s="321">
        <f t="shared" si="135"/>
        <v>550.2787538239196</v>
      </c>
      <c r="O91" s="2"/>
      <c r="P91" s="216">
        <v>100</v>
      </c>
      <c r="Q91" s="217">
        <f t="shared" si="136"/>
        <v>24.839213207050729</v>
      </c>
      <c r="R91" s="217">
        <f t="shared" si="137"/>
        <v>13.94950573455837</v>
      </c>
      <c r="S91" s="218">
        <f t="shared" si="138"/>
        <v>518.89116389528976</v>
      </c>
      <c r="T91" s="132"/>
      <c r="U91" s="219">
        <v>100</v>
      </c>
      <c r="V91" s="220">
        <f t="shared" si="139"/>
        <v>23.345098588444877</v>
      </c>
      <c r="W91" s="220">
        <f t="shared" si="140"/>
        <v>13.140415074777296</v>
      </c>
      <c r="X91" s="221">
        <f t="shared" si="141"/>
        <v>487.67910951261348</v>
      </c>
      <c r="Y91" s="2"/>
      <c r="Z91" s="210">
        <v>100</v>
      </c>
      <c r="AA91" s="211">
        <f t="shared" si="142"/>
        <v>21.858200765907107</v>
      </c>
      <c r="AB91" s="211">
        <f t="shared" si="143"/>
        <v>12.329901254314066</v>
      </c>
      <c r="AC91" s="212">
        <f t="shared" si="144"/>
        <v>456.61781399979947</v>
      </c>
      <c r="AD91" s="132"/>
      <c r="AE91" s="204">
        <v>100</v>
      </c>
      <c r="AF91" s="205">
        <f t="shared" si="145"/>
        <v>20.377155601792111</v>
      </c>
      <c r="AG91" s="205">
        <f t="shared" si="146"/>
        <v>11.517563894576119</v>
      </c>
      <c r="AH91" s="206">
        <f t="shared" si="147"/>
        <v>425.6787805214372</v>
      </c>
      <c r="AI91" s="132"/>
      <c r="AL91" s="170"/>
      <c r="AM91" s="170"/>
      <c r="AN91" s="170"/>
      <c r="AO91" s="170"/>
      <c r="AP91" s="170"/>
      <c r="AQ91" s="170"/>
      <c r="AR91" s="66"/>
      <c r="AS91" s="66"/>
      <c r="AT91" s="66"/>
      <c r="AU91" s="66"/>
      <c r="AV91" s="171"/>
      <c r="AW91" s="166"/>
      <c r="AX91" s="166"/>
      <c r="AY91" s="166"/>
      <c r="AZ91" s="166"/>
      <c r="BA91" s="166"/>
      <c r="BB91" s="166"/>
      <c r="BC91" s="166"/>
      <c r="BD91" s="166"/>
      <c r="BE91" s="166"/>
      <c r="BF91" s="166"/>
      <c r="BG91" s="136"/>
      <c r="BH91" s="136"/>
      <c r="BI91" s="136"/>
      <c r="BJ91" s="136"/>
    </row>
    <row r="92" spans="1:62" ht="21.9" customHeight="1" x14ac:dyDescent="0.3">
      <c r="A92" s="2"/>
      <c r="B92" s="2"/>
      <c r="C92" s="2"/>
      <c r="D92" s="404" t="s">
        <v>38</v>
      </c>
      <c r="E92" s="405"/>
      <c r="F92" s="101" t="s">
        <v>39</v>
      </c>
      <c r="G92" s="102" t="s">
        <v>40</v>
      </c>
      <c r="H92" s="2"/>
      <c r="I92" s="99"/>
      <c r="J92" s="2"/>
      <c r="K92" s="319">
        <v>200</v>
      </c>
      <c r="L92" s="320">
        <f t="shared" si="133"/>
        <v>46.710472036388126</v>
      </c>
      <c r="M92" s="320">
        <f t="shared" si="134"/>
        <v>13.145923080976491</v>
      </c>
      <c r="N92" s="321">
        <f t="shared" si="135"/>
        <v>975.78176084014797</v>
      </c>
      <c r="O92" s="2"/>
      <c r="P92" s="216">
        <v>200</v>
      </c>
      <c r="Q92" s="217">
        <f t="shared" si="136"/>
        <v>43.712242197151298</v>
      </c>
      <c r="R92" s="217">
        <f t="shared" si="137"/>
        <v>12.328764022313294</v>
      </c>
      <c r="S92" s="218">
        <f t="shared" si="138"/>
        <v>913.14873949849061</v>
      </c>
      <c r="T92" s="132"/>
      <c r="U92" s="219">
        <v>200</v>
      </c>
      <c r="V92" s="220">
        <f t="shared" si="139"/>
        <v>40.723548926745615</v>
      </c>
      <c r="W92" s="220">
        <f t="shared" si="140"/>
        <v>11.509102238334227</v>
      </c>
      <c r="X92" s="221">
        <f t="shared" si="141"/>
        <v>850.71493707971592</v>
      </c>
      <c r="Y92" s="2"/>
      <c r="Z92" s="210">
        <v>200</v>
      </c>
      <c r="AA92" s="211">
        <f t="shared" si="142"/>
        <v>37.740825835116127</v>
      </c>
      <c r="AB92" s="211">
        <f t="shared" si="143"/>
        <v>10.686289124368875</v>
      </c>
      <c r="AC92" s="212">
        <f t="shared" si="144"/>
        <v>788.40585169557596</v>
      </c>
      <c r="AD92" s="132"/>
      <c r="AE92" s="204">
        <v>200</v>
      </c>
      <c r="AF92" s="205">
        <f t="shared" si="145"/>
        <v>34.759656063491178</v>
      </c>
      <c r="AG92" s="205">
        <f t="shared" si="146"/>
        <v>9.8594244152852628</v>
      </c>
      <c r="AH92" s="206">
        <f t="shared" si="147"/>
        <v>726.12921516633071</v>
      </c>
      <c r="AI92" s="132"/>
      <c r="AL92" s="170"/>
      <c r="AM92" s="170"/>
      <c r="AN92" s="170"/>
      <c r="AO92" s="170"/>
      <c r="AP92" s="170"/>
      <c r="AQ92" s="170"/>
      <c r="AR92" s="66"/>
      <c r="AS92" s="66"/>
      <c r="AT92" s="66"/>
      <c r="AU92" s="66"/>
      <c r="AV92" s="171"/>
      <c r="AW92" s="166"/>
      <c r="AX92" s="166"/>
      <c r="AY92" s="166"/>
      <c r="AZ92" s="166"/>
      <c r="BA92" s="166"/>
      <c r="BB92" s="166"/>
      <c r="BC92" s="166"/>
      <c r="BD92" s="166"/>
      <c r="BE92" s="166"/>
      <c r="BF92" s="166"/>
      <c r="BG92" s="136"/>
      <c r="BH92" s="136"/>
      <c r="BI92" s="136"/>
      <c r="BJ92" s="136"/>
    </row>
    <row r="93" spans="1:62" ht="21.9" customHeight="1" x14ac:dyDescent="0.3">
      <c r="A93" s="2"/>
      <c r="B93" s="2"/>
      <c r="C93" s="2"/>
      <c r="D93" s="404" t="s">
        <v>41</v>
      </c>
      <c r="E93" s="405"/>
      <c r="F93" s="104">
        <v>25</v>
      </c>
      <c r="G93" s="105">
        <v>80</v>
      </c>
      <c r="H93" s="2"/>
      <c r="I93" s="99"/>
      <c r="J93" s="2"/>
      <c r="K93" s="319">
        <v>300</v>
      </c>
      <c r="L93" s="320">
        <f t="shared" si="133"/>
        <v>65.303333159439717</v>
      </c>
      <c r="M93" s="320">
        <f t="shared" si="134"/>
        <v>12.280445791039812</v>
      </c>
      <c r="N93" s="321">
        <f t="shared" si="135"/>
        <v>1364.1866297006957</v>
      </c>
      <c r="O93" s="2"/>
      <c r="P93" s="216">
        <v>300</v>
      </c>
      <c r="Q93" s="217">
        <f t="shared" si="136"/>
        <v>60.840258370747733</v>
      </c>
      <c r="R93" s="217">
        <f t="shared" si="137"/>
        <v>11.46415434848157</v>
      </c>
      <c r="S93" s="218">
        <f t="shared" si="138"/>
        <v>1270.9529973649203</v>
      </c>
      <c r="T93" s="132"/>
      <c r="U93" s="219">
        <v>300</v>
      </c>
      <c r="V93" s="220">
        <f t="shared" si="139"/>
        <v>56.389955474704053</v>
      </c>
      <c r="W93" s="220">
        <f t="shared" si="140"/>
        <v>10.645474824105531</v>
      </c>
      <c r="X93" s="221">
        <f t="shared" si="141"/>
        <v>1177.9861698665677</v>
      </c>
      <c r="Y93" s="2"/>
      <c r="Z93" s="210">
        <v>300</v>
      </c>
      <c r="AA93" s="211">
        <f t="shared" si="142"/>
        <v>51.947271637683919</v>
      </c>
      <c r="AB93" s="211">
        <f t="shared" si="143"/>
        <v>9.8237870334950852</v>
      </c>
      <c r="AC93" s="212">
        <f t="shared" si="144"/>
        <v>1085.1785045112172</v>
      </c>
      <c r="AD93" s="132"/>
      <c r="AE93" s="204">
        <v>300</v>
      </c>
      <c r="AF93" s="205">
        <f t="shared" si="145"/>
        <v>47.505833245158712</v>
      </c>
      <c r="AG93" s="205">
        <f t="shared" si="146"/>
        <v>8.9982302395450127</v>
      </c>
      <c r="AH93" s="206">
        <f t="shared" si="147"/>
        <v>992.3968564913655</v>
      </c>
      <c r="AI93" s="132"/>
      <c r="AL93" s="170"/>
      <c r="AM93" s="170"/>
      <c r="AN93" s="170"/>
      <c r="AO93" s="170"/>
      <c r="AP93" s="170"/>
      <c r="AQ93" s="170"/>
      <c r="AR93" s="66"/>
      <c r="AS93" s="66"/>
      <c r="AT93" s="66"/>
      <c r="AU93" s="66"/>
      <c r="AV93" s="171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36"/>
      <c r="BH93" s="136"/>
      <c r="BI93" s="136"/>
      <c r="BJ93" s="136"/>
    </row>
    <row r="94" spans="1:62" ht="21.9" customHeight="1" x14ac:dyDescent="0.3">
      <c r="A94" s="2"/>
      <c r="B94" s="2"/>
      <c r="C94" s="2"/>
      <c r="D94" s="404" t="s">
        <v>42</v>
      </c>
      <c r="E94" s="405"/>
      <c r="F94" s="104">
        <v>35</v>
      </c>
      <c r="G94" s="105">
        <v>130</v>
      </c>
      <c r="H94" s="2"/>
      <c r="I94" s="99"/>
      <c r="J94" s="2"/>
      <c r="K94" s="319">
        <v>400</v>
      </c>
      <c r="L94" s="320">
        <f t="shared" si="133"/>
        <v>82.829341195909464</v>
      </c>
      <c r="M94" s="320">
        <f t="shared" si="134"/>
        <v>11.699082975638888</v>
      </c>
      <c r="N94" s="321">
        <f t="shared" si="135"/>
        <v>1730.3049375825487</v>
      </c>
      <c r="O94" s="2"/>
      <c r="P94" s="216">
        <v>400</v>
      </c>
      <c r="Q94" s="217">
        <f t="shared" si="136"/>
        <v>76.925146620990233</v>
      </c>
      <c r="R94" s="217">
        <f t="shared" si="137"/>
        <v>10.885812943934274</v>
      </c>
      <c r="S94" s="218">
        <f t="shared" si="138"/>
        <v>1606.966312912486</v>
      </c>
      <c r="T94" s="132"/>
      <c r="U94" s="219">
        <v>400</v>
      </c>
      <c r="V94" s="220">
        <f t="shared" si="139"/>
        <v>71.038784904078582</v>
      </c>
      <c r="W94" s="220">
        <f t="shared" si="140"/>
        <v>10.070555103521759</v>
      </c>
      <c r="X94" s="221">
        <f t="shared" si="141"/>
        <v>1484.0002166462016</v>
      </c>
      <c r="Y94" s="2"/>
      <c r="Z94" s="210">
        <v>400</v>
      </c>
      <c r="AA94" s="211">
        <f t="shared" si="142"/>
        <v>65.164097904078233</v>
      </c>
      <c r="AB94" s="211">
        <f t="shared" si="143"/>
        <v>9.2527853302372094</v>
      </c>
      <c r="AC94" s="212">
        <f t="shared" si="144"/>
        <v>1361.2780052161943</v>
      </c>
      <c r="AD94" s="132"/>
      <c r="AE94" s="204">
        <v>400</v>
      </c>
      <c r="AF94" s="205">
        <f t="shared" si="145"/>
        <v>59.293539945581927</v>
      </c>
      <c r="AG94" s="205">
        <f t="shared" si="146"/>
        <v>8.4317738512791056</v>
      </c>
      <c r="AH94" s="206">
        <f t="shared" si="147"/>
        <v>1238.6420494632064</v>
      </c>
      <c r="AI94" s="132"/>
      <c r="AL94" s="170"/>
      <c r="AM94" s="170"/>
      <c r="AN94" s="170"/>
      <c r="AO94" s="170"/>
      <c r="AP94" s="170"/>
      <c r="AQ94" s="170"/>
      <c r="AR94" s="66"/>
      <c r="AS94" s="66"/>
      <c r="AT94" s="66"/>
      <c r="AU94" s="66"/>
      <c r="AV94" s="171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36"/>
      <c r="BH94" s="136"/>
      <c r="BI94" s="136"/>
      <c r="BJ94" s="136"/>
    </row>
    <row r="95" spans="1:62" ht="21.9" customHeight="1" thickBot="1" x14ac:dyDescent="0.35">
      <c r="A95" s="2"/>
      <c r="B95" s="2"/>
      <c r="C95" s="2"/>
      <c r="D95" s="404" t="s">
        <v>43</v>
      </c>
      <c r="E95" s="405"/>
      <c r="F95" s="104">
        <v>45</v>
      </c>
      <c r="G95" s="105">
        <v>300</v>
      </c>
      <c r="H95" s="2"/>
      <c r="I95" s="99"/>
      <c r="J95" s="2"/>
      <c r="K95" s="322">
        <v>700</v>
      </c>
      <c r="L95" s="323">
        <f t="shared" si="133"/>
        <v>131.53152380834803</v>
      </c>
      <c r="M95" s="323">
        <f t="shared" si="134"/>
        <v>10.64191409704268</v>
      </c>
      <c r="N95" s="324">
        <f t="shared" si="135"/>
        <v>2747.6935323563903</v>
      </c>
      <c r="O95" s="2"/>
      <c r="P95" s="222">
        <v>700</v>
      </c>
      <c r="Q95" s="223">
        <f t="shared" si="136"/>
        <v>121.40760990522722</v>
      </c>
      <c r="R95" s="223">
        <f t="shared" si="137"/>
        <v>9.8394661479233196</v>
      </c>
      <c r="S95" s="224">
        <f t="shared" si="138"/>
        <v>2536.2049709201965</v>
      </c>
      <c r="T95" s="132"/>
      <c r="U95" s="225">
        <v>700</v>
      </c>
      <c r="V95" s="226">
        <f t="shared" si="139"/>
        <v>111.32501578945515</v>
      </c>
      <c r="W95" s="226">
        <f t="shared" si="140"/>
        <v>9.0363996730649117</v>
      </c>
      <c r="X95" s="227">
        <f t="shared" si="141"/>
        <v>2325.579579841718</v>
      </c>
      <c r="Y95" s="2"/>
      <c r="Z95" s="213">
        <v>700</v>
      </c>
      <c r="AA95" s="214">
        <f t="shared" si="142"/>
        <v>101.27693361142229</v>
      </c>
      <c r="AB95" s="214">
        <f t="shared" si="143"/>
        <v>8.2325041623473005</v>
      </c>
      <c r="AC95" s="215">
        <f t="shared" si="144"/>
        <v>2115.6751431426119</v>
      </c>
      <c r="AD95" s="132"/>
      <c r="AE95" s="207">
        <v>700</v>
      </c>
      <c r="AF95" s="208">
        <f t="shared" si="145"/>
        <v>91.255436658332712</v>
      </c>
      <c r="AG95" s="208">
        <f t="shared" si="146"/>
        <v>7.4274714742910959</v>
      </c>
      <c r="AH95" s="209">
        <f t="shared" si="147"/>
        <v>1906.3260717925705</v>
      </c>
      <c r="AI95" s="132"/>
      <c r="AL95" s="170"/>
      <c r="AM95" s="170"/>
      <c r="AN95" s="170"/>
      <c r="AO95" s="170"/>
      <c r="AP95" s="170"/>
      <c r="AQ95" s="170"/>
      <c r="AR95" s="66"/>
      <c r="AS95" s="66"/>
      <c r="AT95" s="66"/>
      <c r="AU95" s="66"/>
      <c r="AV95" s="171"/>
      <c r="AW95" s="166"/>
      <c r="AX95" s="166"/>
      <c r="AY95" s="166"/>
      <c r="AZ95" s="166"/>
      <c r="BA95" s="166"/>
      <c r="BB95" s="166"/>
      <c r="BC95" s="166"/>
      <c r="BD95" s="166"/>
      <c r="BE95" s="166"/>
      <c r="BF95" s="166"/>
      <c r="BG95" s="136"/>
      <c r="BH95" s="136"/>
      <c r="BI95" s="136"/>
      <c r="BJ95" s="136"/>
    </row>
    <row r="96" spans="1:62" ht="21.9" customHeight="1" x14ac:dyDescent="0.35">
      <c r="A96" s="2"/>
      <c r="B96" s="2"/>
      <c r="C96" s="2"/>
      <c r="D96" s="179"/>
      <c r="E96" s="179"/>
      <c r="F96" s="179"/>
      <c r="G96" s="2"/>
      <c r="H96" s="2"/>
      <c r="I96" s="2"/>
      <c r="J96" s="2"/>
      <c r="K96" s="2"/>
      <c r="L96" s="2"/>
      <c r="M96" s="2"/>
      <c r="N96" s="2"/>
      <c r="O96" s="2"/>
      <c r="P96" s="132"/>
      <c r="Q96" s="132"/>
      <c r="R96" s="132"/>
      <c r="S96" s="13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132"/>
      <c r="AL96" s="170"/>
      <c r="AM96" s="170"/>
      <c r="AN96" s="170"/>
      <c r="AO96" s="170"/>
      <c r="AP96" s="170"/>
      <c r="AQ96" s="170"/>
      <c r="AR96" s="66"/>
      <c r="AS96" s="66"/>
      <c r="AT96" s="66"/>
      <c r="AU96" s="66"/>
      <c r="AV96" s="171"/>
      <c r="AW96" s="166"/>
      <c r="AX96" s="166"/>
      <c r="AY96" s="166"/>
      <c r="AZ96" s="166"/>
      <c r="BA96" s="166"/>
      <c r="BB96" s="166"/>
      <c r="BC96" s="166"/>
      <c r="BD96" s="166"/>
      <c r="BE96" s="166"/>
      <c r="BF96" s="166"/>
      <c r="BG96" s="136"/>
      <c r="BH96" s="136"/>
      <c r="BI96" s="136"/>
      <c r="BJ96" s="136"/>
    </row>
    <row r="97" spans="1:62" ht="21.9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32"/>
      <c r="Q97" s="132"/>
      <c r="R97" s="132"/>
      <c r="S97" s="13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132"/>
      <c r="AL97" s="170"/>
      <c r="AM97" s="170"/>
      <c r="AN97" s="170"/>
      <c r="AO97" s="170"/>
      <c r="AP97" s="170"/>
      <c r="AQ97" s="170"/>
      <c r="AR97" s="66"/>
      <c r="AS97" s="66"/>
      <c r="AT97" s="66"/>
      <c r="AU97" s="66"/>
      <c r="AV97" s="171"/>
      <c r="AW97" s="166"/>
      <c r="AX97" s="166"/>
      <c r="AY97" s="166"/>
      <c r="AZ97" s="166"/>
      <c r="BA97" s="166"/>
      <c r="BB97" s="166"/>
      <c r="BC97" s="166"/>
      <c r="BD97" s="166"/>
      <c r="BE97" s="166"/>
      <c r="BF97" s="166"/>
      <c r="BG97" s="136"/>
      <c r="BH97" s="136"/>
      <c r="BI97" s="136"/>
      <c r="BJ97" s="136"/>
    </row>
    <row r="98" spans="1:62" hidden="1" x14ac:dyDescent="0.3"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132"/>
      <c r="AJ98" s="3">
        <v>130</v>
      </c>
      <c r="AK98" s="3" t="s">
        <v>94</v>
      </c>
      <c r="AL98" s="170">
        <v>0</v>
      </c>
      <c r="AM98" s="170">
        <v>12</v>
      </c>
      <c r="AN98" s="170">
        <v>50</v>
      </c>
      <c r="AO98" s="170">
        <v>100</v>
      </c>
      <c r="AP98" s="170">
        <v>400</v>
      </c>
      <c r="AQ98" s="170"/>
      <c r="AR98" s="66">
        <f t="shared" si="117"/>
        <v>7.6438102265495314</v>
      </c>
      <c r="AS98" s="66">
        <f t="shared" si="118"/>
        <v>29.574559952793567</v>
      </c>
      <c r="AT98" s="66">
        <f t="shared" si="119"/>
        <v>57.07594301432426</v>
      </c>
      <c r="AU98" s="66">
        <f t="shared" si="120"/>
        <v>197.23996407534943</v>
      </c>
      <c r="AV98" s="171"/>
      <c r="AW98" s="166">
        <f t="shared" si="121"/>
        <v>-1.1210114775275368</v>
      </c>
      <c r="AX98" s="166">
        <f t="shared" si="122"/>
        <v>-0.53340308240981948</v>
      </c>
      <c r="AY98" s="166">
        <f t="shared" si="123"/>
        <v>-0.24786827810509884</v>
      </c>
      <c r="AZ98" s="166">
        <f t="shared" si="124"/>
        <v>0.29067354097546927</v>
      </c>
      <c r="BA98" s="166"/>
      <c r="BB98" s="166">
        <f t="shared" si="125"/>
        <v>-0.92514012773501775</v>
      </c>
      <c r="BC98" s="166">
        <f t="shared" si="126"/>
        <v>-0.30535136944662378</v>
      </c>
      <c r="BD98" s="166">
        <f t="shared" si="127"/>
        <v>-4.3213737826425782E-3</v>
      </c>
      <c r="BE98" s="166">
        <f t="shared" si="128"/>
        <v>0.59773861754531976</v>
      </c>
      <c r="BF98" s="166"/>
      <c r="BG98" s="136">
        <f t="shared" si="129"/>
        <v>-0.15926856335474107</v>
      </c>
      <c r="BH98" s="136">
        <f t="shared" si="130"/>
        <v>-0.40290232426674649</v>
      </c>
      <c r="BI98" s="136">
        <f t="shared" si="131"/>
        <v>0.92791455939605261</v>
      </c>
      <c r="BJ98" s="136">
        <f t="shared" si="132"/>
        <v>0.55575745171585644</v>
      </c>
    </row>
    <row r="99" spans="1:62" ht="18" hidden="1" x14ac:dyDescent="0.35">
      <c r="B99" s="397" t="s">
        <v>45</v>
      </c>
      <c r="C99" s="398"/>
      <c r="D99" s="398"/>
      <c r="E99" s="398"/>
      <c r="F99" s="398"/>
      <c r="G99" s="398"/>
      <c r="H99" s="399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132"/>
      <c r="AJ99" s="3">
        <v>132.5</v>
      </c>
      <c r="AK99" s="3" t="s">
        <v>94</v>
      </c>
      <c r="AL99" s="170">
        <v>0</v>
      </c>
      <c r="AM99" s="170">
        <v>12</v>
      </c>
      <c r="AN99" s="170">
        <v>50</v>
      </c>
      <c r="AO99" s="170">
        <v>100</v>
      </c>
      <c r="AP99" s="170">
        <v>400</v>
      </c>
      <c r="AQ99" s="170"/>
      <c r="AR99" s="66">
        <f t="shared" si="117"/>
        <v>7.6359705944316447</v>
      </c>
      <c r="AS99" s="66">
        <f t="shared" si="118"/>
        <v>29.52499987825351</v>
      </c>
      <c r="AT99" s="66">
        <f t="shared" si="119"/>
        <v>56.985201988101089</v>
      </c>
      <c r="AU99" s="66">
        <f t="shared" si="120"/>
        <v>196.07750917916945</v>
      </c>
      <c r="AV99" s="171"/>
      <c r="AW99" s="166">
        <f t="shared" si="121"/>
        <v>-1.1214571264943114</v>
      </c>
      <c r="AX99" s="166">
        <f t="shared" si="122"/>
        <v>-0.53413146928790567</v>
      </c>
      <c r="AY99" s="166">
        <f t="shared" si="123"/>
        <v>-0.2485592817818357</v>
      </c>
      <c r="AZ99" s="166">
        <f t="shared" si="124"/>
        <v>0.28810640754678818</v>
      </c>
      <c r="BA99" s="166"/>
      <c r="BB99" s="166">
        <f t="shared" si="125"/>
        <v>-0.92514012773501775</v>
      </c>
      <c r="BC99" s="166">
        <f t="shared" si="126"/>
        <v>-0.30535136944662378</v>
      </c>
      <c r="BD99" s="166">
        <f t="shared" si="127"/>
        <v>-4.3213737826425782E-3</v>
      </c>
      <c r="BE99" s="166">
        <f t="shared" si="128"/>
        <v>0.59773861754531976</v>
      </c>
      <c r="BF99" s="166"/>
      <c r="BG99" s="136">
        <f t="shared" si="129"/>
        <v>-0.15926856335474107</v>
      </c>
      <c r="BH99" s="136">
        <f t="shared" si="130"/>
        <v>-0.40401036750431618</v>
      </c>
      <c r="BI99" s="136">
        <f t="shared" si="131"/>
        <v>0.92658448845381591</v>
      </c>
      <c r="BJ99" s="136">
        <f t="shared" si="132"/>
        <v>0.55407099101490775</v>
      </c>
    </row>
    <row r="100" spans="1:62" hidden="1" x14ac:dyDescent="0.3">
      <c r="B100" s="3" t="s">
        <v>32</v>
      </c>
      <c r="C100" s="3">
        <f>IF(AND(B5&gt;=30,B5&lt;=80),-0.0014*(B5)+0.6656,0)</f>
        <v>0.56899999999999995</v>
      </c>
      <c r="D100" s="3">
        <f>IF(AND(B5&gt;=30,B5&lt;=130),-0.0015*B5+0.6149,0)</f>
        <v>0.51139999999999997</v>
      </c>
      <c r="F100" s="3">
        <f>IF(AND(B5&gt;=30,B5&lt;=300),-0.0016*B5+0.5546,0)</f>
        <v>0.44419999999999998</v>
      </c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132"/>
      <c r="AJ100" s="3">
        <v>135</v>
      </c>
      <c r="AK100" s="3" t="s">
        <v>94</v>
      </c>
      <c r="AL100" s="170">
        <v>0</v>
      </c>
      <c r="AM100" s="170">
        <v>12</v>
      </c>
      <c r="AN100" s="170">
        <v>50</v>
      </c>
      <c r="AO100" s="170">
        <v>100</v>
      </c>
      <c r="AP100" s="170">
        <v>400</v>
      </c>
      <c r="AQ100" s="170"/>
      <c r="AR100" s="66">
        <f t="shared" si="117"/>
        <v>7.6289944826968394</v>
      </c>
      <c r="AS100" s="66">
        <f t="shared" si="118"/>
        <v>29.478590947249423</v>
      </c>
      <c r="AT100" s="66">
        <f t="shared" si="119"/>
        <v>56.902450220871813</v>
      </c>
      <c r="AU100" s="66">
        <f t="shared" si="120"/>
        <v>194.93472438450198</v>
      </c>
      <c r="AV100" s="171"/>
      <c r="AW100" s="166">
        <f t="shared" si="121"/>
        <v>-1.1218540729697439</v>
      </c>
      <c r="AX100" s="166">
        <f t="shared" si="122"/>
        <v>-0.53481465302369058</v>
      </c>
      <c r="AY100" s="166">
        <f t="shared" si="123"/>
        <v>-0.24919040625412181</v>
      </c>
      <c r="AZ100" s="166">
        <f t="shared" si="124"/>
        <v>0.28556783457724116</v>
      </c>
      <c r="BA100" s="166"/>
      <c r="BB100" s="166">
        <f t="shared" si="125"/>
        <v>-0.92514012773501775</v>
      </c>
      <c r="BC100" s="166">
        <f t="shared" si="126"/>
        <v>-0.30535136944662378</v>
      </c>
      <c r="BD100" s="166">
        <f t="shared" si="127"/>
        <v>-4.3213737826425782E-3</v>
      </c>
      <c r="BE100" s="166">
        <f t="shared" si="128"/>
        <v>0.59773861754531976</v>
      </c>
      <c r="BF100" s="166"/>
      <c r="BG100" s="136">
        <f t="shared" si="129"/>
        <v>-0.15926856335474107</v>
      </c>
      <c r="BH100" s="136">
        <f t="shared" si="130"/>
        <v>-0.4050728244175788</v>
      </c>
      <c r="BI100" s="136">
        <f t="shared" si="131"/>
        <v>0.9252436249688526</v>
      </c>
      <c r="BJ100" s="136">
        <f t="shared" si="132"/>
        <v>0.55244544676258667</v>
      </c>
    </row>
    <row r="101" spans="1:62" hidden="1" x14ac:dyDescent="0.3">
      <c r="B101" s="3" t="s">
        <v>33</v>
      </c>
      <c r="C101" s="3">
        <v>0.96</v>
      </c>
      <c r="D101" s="3">
        <v>0.90500000000000003</v>
      </c>
      <c r="F101" s="3">
        <v>0.85199999999999998</v>
      </c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132"/>
    </row>
    <row r="102" spans="1:62" hidden="1" x14ac:dyDescent="0.3"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132"/>
    </row>
    <row r="103" spans="1:62" hidden="1" x14ac:dyDescent="0.3">
      <c r="B103" s="106" t="s">
        <v>4</v>
      </c>
      <c r="C103" s="106" t="s">
        <v>46</v>
      </c>
      <c r="D103" s="106" t="s">
        <v>47</v>
      </c>
      <c r="E103" s="106"/>
      <c r="F103" s="106" t="s">
        <v>48</v>
      </c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132"/>
    </row>
    <row r="104" spans="1:62" hidden="1" x14ac:dyDescent="0.3">
      <c r="B104" s="107">
        <v>40</v>
      </c>
      <c r="C104" s="108">
        <v>0.61209999999999998</v>
      </c>
      <c r="D104" s="108">
        <v>0.56240000000000001</v>
      </c>
      <c r="F104" s="108">
        <v>0.49959999999999999</v>
      </c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132"/>
    </row>
    <row r="105" spans="1:62" hidden="1" x14ac:dyDescent="0.3">
      <c r="B105" s="107">
        <v>50</v>
      </c>
      <c r="C105" s="108">
        <v>0.59660000000000002</v>
      </c>
      <c r="D105" s="108">
        <v>0.5413</v>
      </c>
      <c r="F105" s="108">
        <v>0.4773</v>
      </c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132"/>
    </row>
    <row r="106" spans="1:62" hidden="1" x14ac:dyDescent="0.3">
      <c r="B106" s="107">
        <v>60</v>
      </c>
      <c r="C106" s="108">
        <v>0.58169999999999999</v>
      </c>
      <c r="D106" s="108">
        <v>0.52239999999999998</v>
      </c>
      <c r="F106" s="108">
        <v>0.45729999999999998</v>
      </c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132"/>
    </row>
    <row r="107" spans="1:62" hidden="1" x14ac:dyDescent="0.3">
      <c r="B107" s="107">
        <v>70</v>
      </c>
      <c r="C107" s="108">
        <v>0.56940000000000002</v>
      </c>
      <c r="D107" s="108">
        <v>0.50360000000000005</v>
      </c>
      <c r="F107" s="108">
        <v>0.43890000000000001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132"/>
    </row>
    <row r="108" spans="1:62" hidden="1" x14ac:dyDescent="0.3">
      <c r="B108" s="107">
        <v>75</v>
      </c>
      <c r="C108" s="108">
        <v>0.5645</v>
      </c>
      <c r="D108" s="108">
        <v>0.49509999999999998</v>
      </c>
      <c r="F108" s="108">
        <v>0.43020000000000003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132"/>
    </row>
    <row r="109" spans="1:62" hidden="1" x14ac:dyDescent="0.3">
      <c r="B109" s="107">
        <v>80</v>
      </c>
      <c r="D109" s="108">
        <v>0.48720000000000002</v>
      </c>
      <c r="F109" s="108">
        <v>0.4219</v>
      </c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132"/>
    </row>
    <row r="110" spans="1:62" hidden="1" x14ac:dyDescent="0.3">
      <c r="B110" s="107">
        <v>90</v>
      </c>
      <c r="D110" s="108">
        <v>0.47220000000000001</v>
      </c>
      <c r="F110" s="108">
        <v>0.40539999999999998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132"/>
    </row>
    <row r="111" spans="1:62" hidden="1" x14ac:dyDescent="0.3">
      <c r="B111" s="107">
        <v>100</v>
      </c>
      <c r="D111" s="108">
        <v>0.45810000000000001</v>
      </c>
      <c r="F111" s="108">
        <v>0.3906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132"/>
    </row>
    <row r="112" spans="1:62" hidden="1" x14ac:dyDescent="0.3">
      <c r="B112" s="107">
        <v>110</v>
      </c>
      <c r="D112" s="108">
        <v>0.4451</v>
      </c>
      <c r="F112" s="108">
        <v>0.37819999999999998</v>
      </c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132"/>
    </row>
    <row r="113" spans="2:35" hidden="1" x14ac:dyDescent="0.3">
      <c r="B113" s="107">
        <v>120</v>
      </c>
      <c r="D113" s="108">
        <v>0.43340000000000001</v>
      </c>
      <c r="F113" s="108">
        <v>0.36559999999999998</v>
      </c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132"/>
    </row>
    <row r="114" spans="2:35" hidden="1" x14ac:dyDescent="0.3">
      <c r="B114" s="107">
        <v>130</v>
      </c>
      <c r="D114" s="108">
        <v>0.42370000000000002</v>
      </c>
      <c r="F114" s="108">
        <v>0.35370000000000001</v>
      </c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132"/>
    </row>
    <row r="115" spans="2:35" hidden="1" x14ac:dyDescent="0.3"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132"/>
    </row>
    <row r="116" spans="2:35" hidden="1" x14ac:dyDescent="0.3"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132"/>
    </row>
    <row r="117" spans="2:35" hidden="1" x14ac:dyDescent="0.3">
      <c r="B117" s="109" t="s">
        <v>32</v>
      </c>
      <c r="C117" s="109">
        <f>IF(C5&lt;=20,C100,IF(AND(C5&gt;20,C5&lt;=45),D100,F100))</f>
        <v>0.44419999999999998</v>
      </c>
      <c r="D117" s="110" t="s">
        <v>49</v>
      </c>
      <c r="E117" s="111">
        <v>101.325</v>
      </c>
      <c r="F117" s="110" t="s">
        <v>50</v>
      </c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132"/>
    </row>
    <row r="118" spans="2:35" hidden="1" x14ac:dyDescent="0.3">
      <c r="B118" s="112" t="s">
        <v>33</v>
      </c>
      <c r="C118" s="112">
        <f>IF(C5&lt;=20,C101,IF(AND(C5&gt;20,C5&lt;=45),D101,F101))</f>
        <v>0.85199999999999998</v>
      </c>
      <c r="E118" s="3">
        <v>2115.6999999999998</v>
      </c>
      <c r="F118" s="3" t="s">
        <v>51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132"/>
    </row>
    <row r="119" spans="2:35" hidden="1" x14ac:dyDescent="0.3"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132"/>
    </row>
    <row r="120" spans="2:35" ht="18" hidden="1" x14ac:dyDescent="0.35">
      <c r="B120" s="397" t="s">
        <v>52</v>
      </c>
      <c r="C120" s="398"/>
      <c r="D120" s="398"/>
      <c r="E120" s="398"/>
      <c r="F120" s="398"/>
      <c r="G120" s="398"/>
      <c r="H120" s="399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132"/>
    </row>
    <row r="121" spans="2:35" hidden="1" x14ac:dyDescent="0.3">
      <c r="B121" s="113" t="s">
        <v>53</v>
      </c>
      <c r="C121" s="114" t="s">
        <v>54</v>
      </c>
      <c r="D121" s="114" t="s">
        <v>55</v>
      </c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132"/>
    </row>
    <row r="122" spans="2:35" hidden="1" x14ac:dyDescent="0.3">
      <c r="B122" s="115">
        <v>0</v>
      </c>
      <c r="C122" s="116">
        <f t="shared" ref="C122:C132" si="148">$C$117*$E$117*(B122/$E$117)^$C$118</f>
        <v>0</v>
      </c>
      <c r="D122" s="3">
        <f t="shared" ref="D122:D132" si="149">C122*20.885434273</f>
        <v>0</v>
      </c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32"/>
    </row>
    <row r="123" spans="2:35" hidden="1" x14ac:dyDescent="0.3">
      <c r="B123" s="115">
        <v>15</v>
      </c>
      <c r="C123" s="116">
        <f t="shared" si="148"/>
        <v>8.8400427565300568</v>
      </c>
      <c r="D123" s="3">
        <f t="shared" si="149"/>
        <v>184.62813196201824</v>
      </c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132"/>
    </row>
    <row r="124" spans="2:35" hidden="1" x14ac:dyDescent="0.3">
      <c r="B124" s="115">
        <v>25</v>
      </c>
      <c r="C124" s="116">
        <f t="shared" si="148"/>
        <v>13.660591363152649</v>
      </c>
      <c r="D124" s="3">
        <f t="shared" si="149"/>
        <v>285.30738304543615</v>
      </c>
      <c r="M124" s="85">
        <f>0.5*(0.0023+0.004)</f>
        <v>3.15E-3</v>
      </c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132"/>
    </row>
    <row r="125" spans="2:35" hidden="1" x14ac:dyDescent="0.3">
      <c r="B125" s="115">
        <v>75</v>
      </c>
      <c r="C125" s="116">
        <f t="shared" si="148"/>
        <v>34.831871478902094</v>
      </c>
      <c r="D125" s="3">
        <f t="shared" si="149"/>
        <v>727.4787623781931</v>
      </c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132"/>
    </row>
    <row r="126" spans="2:35" hidden="1" x14ac:dyDescent="0.3">
      <c r="B126" s="115">
        <v>150</v>
      </c>
      <c r="C126" s="116">
        <f t="shared" si="148"/>
        <v>62.871578697174009</v>
      </c>
      <c r="D126" s="3">
        <f t="shared" si="149"/>
        <v>1313.1002245195748</v>
      </c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132"/>
    </row>
    <row r="127" spans="2:35" hidden="1" x14ac:dyDescent="0.3">
      <c r="B127" s="115">
        <v>200</v>
      </c>
      <c r="C127" s="116">
        <f t="shared" si="148"/>
        <v>80.334513718770111</v>
      </c>
      <c r="D127" s="3">
        <f t="shared" si="149"/>
        <v>1677.82120612679</v>
      </c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132"/>
    </row>
    <row r="128" spans="2:35" hidden="1" x14ac:dyDescent="0.3">
      <c r="B128" s="115">
        <v>300</v>
      </c>
      <c r="C128" s="116">
        <f t="shared" si="148"/>
        <v>113.48329102182193</v>
      </c>
      <c r="D128" s="3">
        <f t="shared" si="149"/>
        <v>2370.1478157199931</v>
      </c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132"/>
    </row>
    <row r="129" spans="2:35" hidden="1" x14ac:dyDescent="0.3">
      <c r="B129" s="115">
        <v>400</v>
      </c>
      <c r="C129" s="116">
        <f t="shared" si="148"/>
        <v>145.00391414306119</v>
      </c>
      <c r="D129" s="3">
        <f t="shared" si="149"/>
        <v>3028.4697181626398</v>
      </c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132"/>
    </row>
    <row r="130" spans="2:35" hidden="1" x14ac:dyDescent="0.3">
      <c r="B130" s="115">
        <v>500</v>
      </c>
      <c r="C130" s="116">
        <f t="shared" si="148"/>
        <v>175.36667048919927</v>
      </c>
      <c r="D130" s="3">
        <f t="shared" si="149"/>
        <v>3662.6090701770204</v>
      </c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132"/>
    </row>
    <row r="131" spans="2:35" hidden="1" x14ac:dyDescent="0.3">
      <c r="B131" s="115">
        <v>600</v>
      </c>
      <c r="C131" s="116">
        <f t="shared" si="148"/>
        <v>204.83750540404986</v>
      </c>
      <c r="D131" s="3">
        <f t="shared" si="149"/>
        <v>4278.1202557615661</v>
      </c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132"/>
    </row>
    <row r="132" spans="2:35" hidden="1" x14ac:dyDescent="0.3">
      <c r="B132" s="115">
        <v>700</v>
      </c>
      <c r="C132" s="116">
        <f t="shared" si="148"/>
        <v>233.58671706715006</v>
      </c>
      <c r="D132" s="3">
        <f t="shared" si="149"/>
        <v>4878.5600263518099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132"/>
    </row>
    <row r="133" spans="2:35" hidden="1" x14ac:dyDescent="0.3"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132"/>
    </row>
    <row r="134" spans="2:35" ht="15.6" hidden="1" customHeight="1" x14ac:dyDescent="0.3">
      <c r="B134" s="85"/>
      <c r="J134" s="85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132"/>
    </row>
    <row r="135" spans="2:35" hidden="1" x14ac:dyDescent="0.3">
      <c r="B135" s="85"/>
      <c r="J135" s="85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132"/>
    </row>
    <row r="136" spans="2:35" hidden="1" x14ac:dyDescent="0.3">
      <c r="B136" s="85"/>
      <c r="J136" s="85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132"/>
    </row>
    <row r="137" spans="2:35" ht="18" hidden="1" x14ac:dyDescent="0.35">
      <c r="B137" s="397" t="s">
        <v>56</v>
      </c>
      <c r="C137" s="398"/>
      <c r="D137" s="398"/>
      <c r="E137" s="398"/>
      <c r="F137" s="398"/>
      <c r="G137" s="398"/>
      <c r="H137" s="399"/>
      <c r="J137" s="85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132"/>
    </row>
    <row r="138" spans="2:35" hidden="1" x14ac:dyDescent="0.3">
      <c r="B138" s="109" t="s">
        <v>32</v>
      </c>
      <c r="C138" s="3">
        <f>IF(AND(B5&gt;=30,B5&lt;=80),3*10^-5*(B5)^2-0.008*B5+0.8047,0)</f>
        <v>0.39552999999999994</v>
      </c>
      <c r="D138" s="3">
        <f>IF(AND(B5&gt;=30,B5&lt;=130),3*10^-5*(B5)^2-0.0076*B5+0.7448,0)</f>
        <v>0.36323000000000005</v>
      </c>
      <c r="G138" s="3">
        <f>IF(AND(B5&gt;=30,B5&lt;=300),3*10^-5*(B5)^2-0.0077*B5+0.6352,0)</f>
        <v>0.24673</v>
      </c>
      <c r="J138" s="85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132"/>
    </row>
    <row r="139" spans="2:35" hidden="1" x14ac:dyDescent="0.3">
      <c r="B139" s="117" t="s">
        <v>33</v>
      </c>
      <c r="C139" s="3">
        <f>IF(AND(B5&gt;=30,B5&lt;=80),2*10^-5*(B5)^2-0.0023*B5+1.0261,0)</f>
        <v>0.96262000000000003</v>
      </c>
      <c r="D139" s="3">
        <f>IF(AND(B5&gt;=30,B5&lt;=130),2*10^-5*(B5)^2-0.005*B5+0.997,0)</f>
        <v>0.74722</v>
      </c>
      <c r="G139" s="3">
        <f>IF(AND(B5&gt;=30,B5&lt;300),3*10^-5*(B5)^2-0.0059*B5+1.0792,0)</f>
        <v>0.81492999999999993</v>
      </c>
      <c r="J139" s="85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132"/>
    </row>
    <row r="140" spans="2:35" hidden="1" x14ac:dyDescent="0.3">
      <c r="B140" s="85"/>
      <c r="J140" s="85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132"/>
    </row>
    <row r="141" spans="2:35" hidden="1" x14ac:dyDescent="0.3">
      <c r="B141" s="85"/>
      <c r="J141" s="85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132"/>
    </row>
    <row r="142" spans="2:35" hidden="1" x14ac:dyDescent="0.3">
      <c r="B142" s="400" t="s">
        <v>57</v>
      </c>
      <c r="C142" s="401"/>
      <c r="D142" s="401" t="s">
        <v>58</v>
      </c>
      <c r="E142" s="401"/>
      <c r="F142" s="118"/>
      <c r="G142" s="401" t="s">
        <v>59</v>
      </c>
      <c r="H142" s="401"/>
      <c r="J142" s="85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132"/>
    </row>
    <row r="143" spans="2:35" hidden="1" x14ac:dyDescent="0.3">
      <c r="B143" s="119" t="s">
        <v>32</v>
      </c>
      <c r="C143" s="120" t="s">
        <v>33</v>
      </c>
      <c r="D143" s="120" t="s">
        <v>32</v>
      </c>
      <c r="E143" s="120" t="s">
        <v>33</v>
      </c>
      <c r="F143" s="120"/>
      <c r="G143" s="120" t="s">
        <v>32</v>
      </c>
      <c r="H143" s="120" t="s">
        <v>33</v>
      </c>
      <c r="J143" s="85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132"/>
    </row>
    <row r="144" spans="2:35" hidden="1" x14ac:dyDescent="0.3">
      <c r="B144" s="3">
        <v>0.54369999999999996</v>
      </c>
      <c r="C144" s="85">
        <v>0.95940000000000003</v>
      </c>
      <c r="D144" s="3">
        <v>0.4657</v>
      </c>
      <c r="E144" s="85">
        <v>0.87060000000000004</v>
      </c>
      <c r="F144" s="121"/>
      <c r="G144" s="3">
        <v>0.37519999999999998</v>
      </c>
      <c r="H144" s="85">
        <v>0.87890000000000001</v>
      </c>
      <c r="J144" s="85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132"/>
    </row>
    <row r="145" spans="2:35" hidden="1" x14ac:dyDescent="0.3">
      <c r="B145" s="3">
        <v>0.49070000000000003</v>
      </c>
      <c r="C145" s="85">
        <v>0.95189999999999997</v>
      </c>
      <c r="D145" s="3">
        <v>0.4199</v>
      </c>
      <c r="E145" s="85">
        <v>0.85899999999999999</v>
      </c>
      <c r="F145" s="121"/>
      <c r="G145" s="3">
        <v>0.32700000000000001</v>
      </c>
      <c r="H145" s="85">
        <v>0.8609</v>
      </c>
      <c r="J145" s="85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132"/>
    </row>
    <row r="146" spans="2:35" hidden="1" x14ac:dyDescent="0.3">
      <c r="B146" s="3">
        <v>0.44409999999999999</v>
      </c>
      <c r="C146" s="85">
        <v>0.94640000000000002</v>
      </c>
      <c r="D146" s="3">
        <v>0.374</v>
      </c>
      <c r="E146" s="85">
        <v>0.84770000000000001</v>
      </c>
      <c r="F146" s="121"/>
      <c r="G146" s="3">
        <v>0.28349999999999997</v>
      </c>
      <c r="H146" s="85">
        <v>0.84040000000000004</v>
      </c>
      <c r="J146" s="85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132"/>
    </row>
    <row r="147" spans="2:35" hidden="1" x14ac:dyDescent="0.3">
      <c r="B147" s="3">
        <v>0.40229999999999999</v>
      </c>
      <c r="C147" s="85">
        <v>0.9446</v>
      </c>
      <c r="D147" s="3">
        <v>0.32829999999999998</v>
      </c>
      <c r="E147" s="85">
        <v>0.83950000000000002</v>
      </c>
      <c r="F147" s="121"/>
      <c r="G147" s="3">
        <v>0.2455</v>
      </c>
      <c r="H147" s="85">
        <v>0.81669999999999998</v>
      </c>
      <c r="J147" s="85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132"/>
    </row>
    <row r="148" spans="2:35" hidden="1" x14ac:dyDescent="0.3">
      <c r="B148" s="3">
        <v>0.38250000000000001</v>
      </c>
      <c r="C148" s="85">
        <v>0.94599999999999995</v>
      </c>
      <c r="D148" s="3">
        <v>0.30620000000000003</v>
      </c>
      <c r="E148" s="85">
        <v>0.83730000000000004</v>
      </c>
      <c r="F148" s="121"/>
      <c r="G148" s="3">
        <v>0.22819999999999999</v>
      </c>
      <c r="H148" s="85">
        <v>0.80569999999999997</v>
      </c>
      <c r="J148" s="85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132"/>
    </row>
    <row r="149" spans="2:35" hidden="1" x14ac:dyDescent="0.3">
      <c r="B149" s="122" t="s">
        <v>60</v>
      </c>
      <c r="C149" s="122" t="s">
        <v>60</v>
      </c>
      <c r="D149" s="3">
        <v>0.28549999999999998</v>
      </c>
      <c r="E149" s="85">
        <v>0.83499999999999996</v>
      </c>
      <c r="F149" s="121"/>
      <c r="G149" s="3">
        <v>0.2132</v>
      </c>
      <c r="H149" s="85">
        <v>0.79210000000000003</v>
      </c>
      <c r="J149" s="85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132"/>
    </row>
    <row r="150" spans="2:35" hidden="1" x14ac:dyDescent="0.3">
      <c r="B150" s="122" t="s">
        <v>60</v>
      </c>
      <c r="C150" s="122" t="s">
        <v>60</v>
      </c>
      <c r="D150" s="3">
        <v>0.24779999999999999</v>
      </c>
      <c r="E150" s="85">
        <v>0.83189999999999997</v>
      </c>
      <c r="F150" s="121"/>
      <c r="G150" s="3">
        <v>0.18659999999999999</v>
      </c>
      <c r="H150" s="85">
        <v>0.77249999999999996</v>
      </c>
      <c r="J150" s="85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132"/>
    </row>
    <row r="151" spans="2:35" hidden="1" x14ac:dyDescent="0.3">
      <c r="B151" s="122" t="s">
        <v>60</v>
      </c>
      <c r="C151" s="122" t="s">
        <v>60</v>
      </c>
      <c r="D151" s="3">
        <v>0.2155</v>
      </c>
      <c r="E151" s="85">
        <v>0.83760000000000001</v>
      </c>
      <c r="F151" s="121"/>
      <c r="G151" s="3">
        <v>0.16619999999999999</v>
      </c>
      <c r="H151" s="85">
        <v>0.76500000000000001</v>
      </c>
      <c r="J151" s="85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132"/>
    </row>
    <row r="152" spans="2:35" hidden="1" x14ac:dyDescent="0.3">
      <c r="B152" s="122" t="s">
        <v>60</v>
      </c>
      <c r="C152" s="122" t="s">
        <v>60</v>
      </c>
      <c r="D152" s="3">
        <v>0.1913</v>
      </c>
      <c r="E152" s="85">
        <v>0.84970000000000001</v>
      </c>
      <c r="F152" s="121"/>
      <c r="G152" s="3">
        <v>0.15390000000000001</v>
      </c>
      <c r="H152" s="85">
        <v>0.77300000000000002</v>
      </c>
      <c r="J152" s="85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132"/>
    </row>
    <row r="153" spans="2:35" hidden="1" x14ac:dyDescent="0.3">
      <c r="B153" s="122" t="s">
        <v>60</v>
      </c>
      <c r="C153" s="122" t="s">
        <v>60</v>
      </c>
      <c r="D153" s="3">
        <v>0.1769</v>
      </c>
      <c r="E153" s="85">
        <v>0.87019999999999997</v>
      </c>
      <c r="F153" s="121"/>
      <c r="G153" s="3">
        <v>0.14699999999999999</v>
      </c>
      <c r="H153" s="85">
        <v>0.79559999999999997</v>
      </c>
      <c r="J153" s="85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132"/>
    </row>
    <row r="154" spans="2:35" hidden="1" x14ac:dyDescent="0.3">
      <c r="B154" s="123" t="s">
        <v>60</v>
      </c>
      <c r="C154" s="123" t="s">
        <v>60</v>
      </c>
      <c r="D154" s="3">
        <v>0.1734</v>
      </c>
      <c r="E154" s="85">
        <v>0.89670000000000005</v>
      </c>
      <c r="F154" s="120"/>
      <c r="G154" s="3">
        <v>0.14399999999999999</v>
      </c>
      <c r="H154" s="85">
        <v>0.80059999999999998</v>
      </c>
      <c r="J154" s="85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132"/>
    </row>
    <row r="155" spans="2:35" hidden="1" x14ac:dyDescent="0.3">
      <c r="B155" s="85"/>
      <c r="J155" s="85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132"/>
    </row>
    <row r="156" spans="2:35" hidden="1" x14ac:dyDescent="0.3">
      <c r="B156" s="85">
        <f>AVERAGE(B144:B154)</f>
        <v>0.45265999999999995</v>
      </c>
      <c r="C156" s="85">
        <f t="shared" ref="C156:H156" si="150">AVERAGE(C144:C154)</f>
        <v>0.94965999999999995</v>
      </c>
      <c r="D156" s="85">
        <f t="shared" si="150"/>
        <v>0.28949999999999992</v>
      </c>
      <c r="E156" s="85">
        <f t="shared" si="150"/>
        <v>0.8522909090909091</v>
      </c>
      <c r="F156" s="85"/>
      <c r="G156" s="85">
        <f t="shared" si="150"/>
        <v>0.22457272727272726</v>
      </c>
      <c r="H156" s="85">
        <f t="shared" si="150"/>
        <v>0.80921818181818173</v>
      </c>
      <c r="J156" s="85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132"/>
    </row>
    <row r="157" spans="2:35" hidden="1" x14ac:dyDescent="0.3">
      <c r="B157" s="85"/>
      <c r="J157" s="85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132"/>
    </row>
    <row r="158" spans="2:35" hidden="1" x14ac:dyDescent="0.3">
      <c r="B158" s="85"/>
      <c r="J158" s="85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132"/>
    </row>
    <row r="159" spans="2:35" hidden="1" x14ac:dyDescent="0.3">
      <c r="B159" s="85"/>
      <c r="D159" s="3">
        <f>AVERAGE(D152:D154)</f>
        <v>0.18053333333333332</v>
      </c>
      <c r="G159" s="3">
        <f>AVERAGE(G152:G154)</f>
        <v>0.14829999999999999</v>
      </c>
      <c r="J159" s="85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132"/>
    </row>
    <row r="160" spans="2:35" hidden="1" x14ac:dyDescent="0.3">
      <c r="J160" s="85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132"/>
    </row>
    <row r="161" spans="2:35" hidden="1" x14ac:dyDescent="0.3">
      <c r="J161" s="85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32"/>
    </row>
    <row r="162" spans="2:35" hidden="1" x14ac:dyDescent="0.3">
      <c r="J162" s="85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132"/>
    </row>
    <row r="163" spans="2:35" hidden="1" x14ac:dyDescent="0.3">
      <c r="J163" s="85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132"/>
    </row>
    <row r="164" spans="2:35" hidden="1" x14ac:dyDescent="0.3">
      <c r="J164" s="85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132"/>
    </row>
    <row r="165" spans="2:35" hidden="1" x14ac:dyDescent="0.3">
      <c r="J165" s="85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132"/>
    </row>
    <row r="166" spans="2:35" hidden="1" x14ac:dyDescent="0.3">
      <c r="J166" s="85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132"/>
    </row>
    <row r="167" spans="2:35" hidden="1" x14ac:dyDescent="0.3">
      <c r="J167" s="85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132"/>
    </row>
    <row r="168" spans="2:35" hidden="1" x14ac:dyDescent="0.3">
      <c r="J168" s="85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132"/>
    </row>
    <row r="169" spans="2:35" hidden="1" x14ac:dyDescent="0.3"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132"/>
    </row>
    <row r="170" spans="2:35" hidden="1" x14ac:dyDescent="0.3">
      <c r="B170" s="109" t="s">
        <v>32</v>
      </c>
      <c r="C170" s="109">
        <f>IF(C5&lt;=20,C138,IF(AND(C5&gt;20,C5&lt;=45),D138,G138))</f>
        <v>0.24673</v>
      </c>
      <c r="D170" s="110" t="s">
        <v>49</v>
      </c>
      <c r="E170" s="111">
        <v>101.325</v>
      </c>
      <c r="F170" s="110" t="s">
        <v>50</v>
      </c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132"/>
    </row>
    <row r="171" spans="2:35" hidden="1" x14ac:dyDescent="0.3">
      <c r="B171" s="112" t="s">
        <v>33</v>
      </c>
      <c r="C171" s="112">
        <f>IF(C5&lt;=20,C139,IF(AND(C5&gt;20,C5&lt;=45),D139,G139))</f>
        <v>0.81492999999999993</v>
      </c>
      <c r="E171" s="3">
        <v>2116.8000000000002</v>
      </c>
      <c r="F171" s="3" t="s">
        <v>51</v>
      </c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132"/>
    </row>
    <row r="172" spans="2:35" hidden="1" x14ac:dyDescent="0.3"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132"/>
    </row>
    <row r="173" spans="2:35" ht="18" hidden="1" x14ac:dyDescent="0.35">
      <c r="B173" s="397" t="s">
        <v>61</v>
      </c>
      <c r="C173" s="398"/>
      <c r="D173" s="398"/>
      <c r="E173" s="398"/>
      <c r="F173" s="398"/>
      <c r="G173" s="398"/>
      <c r="H173" s="399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132"/>
    </row>
    <row r="174" spans="2:35" hidden="1" x14ac:dyDescent="0.3">
      <c r="B174" s="113" t="s">
        <v>53</v>
      </c>
      <c r="C174" s="114" t="s">
        <v>54</v>
      </c>
      <c r="D174" s="114" t="s">
        <v>55</v>
      </c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132"/>
    </row>
    <row r="175" spans="2:35" hidden="1" x14ac:dyDescent="0.3">
      <c r="B175" s="115">
        <v>0</v>
      </c>
      <c r="C175" s="116">
        <f t="shared" ref="C175:C184" si="151">$C$170*$E$170*(B175/$E$117)^$C$171</f>
        <v>0</v>
      </c>
      <c r="D175" s="3">
        <f t="shared" ref="D175:D185" si="152">C175*20.885434273</f>
        <v>0</v>
      </c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132"/>
    </row>
    <row r="176" spans="2:35" hidden="1" x14ac:dyDescent="0.3">
      <c r="B176" s="115">
        <v>15</v>
      </c>
      <c r="C176" s="116">
        <f t="shared" si="151"/>
        <v>5.2705019936023287</v>
      </c>
      <c r="D176" s="3">
        <f t="shared" si="152"/>
        <v>110.07672297309691</v>
      </c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132"/>
    </row>
    <row r="177" spans="2:35" hidden="1" x14ac:dyDescent="0.3">
      <c r="B177" s="115">
        <v>25</v>
      </c>
      <c r="C177" s="116">
        <f t="shared" si="151"/>
        <v>7.9917738072167737</v>
      </c>
      <c r="D177" s="3">
        <f t="shared" si="152"/>
        <v>166.91166657530891</v>
      </c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132"/>
    </row>
    <row r="178" spans="2:35" hidden="1" x14ac:dyDescent="0.3">
      <c r="B178" s="115">
        <v>75</v>
      </c>
      <c r="C178" s="116">
        <f t="shared" si="151"/>
        <v>19.564268190483752</v>
      </c>
      <c r="D178" s="3">
        <f t="shared" si="152"/>
        <v>408.60823739169308</v>
      </c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132"/>
    </row>
    <row r="179" spans="2:35" hidden="1" x14ac:dyDescent="0.3">
      <c r="B179" s="115">
        <v>150</v>
      </c>
      <c r="C179" s="116">
        <f t="shared" si="151"/>
        <v>34.41771087145375</v>
      </c>
      <c r="D179" s="3">
        <f t="shared" si="152"/>
        <v>718.82883823286488</v>
      </c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132"/>
    </row>
    <row r="180" spans="2:35" hidden="1" x14ac:dyDescent="0.3">
      <c r="B180" s="115">
        <v>200</v>
      </c>
      <c r="C180" s="116">
        <f t="shared" si="151"/>
        <v>43.510924047954362</v>
      </c>
      <c r="D180" s="3">
        <f t="shared" si="152"/>
        <v>908.744544361046</v>
      </c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132"/>
    </row>
    <row r="181" spans="2:35" hidden="1" x14ac:dyDescent="0.3">
      <c r="B181" s="115">
        <v>300</v>
      </c>
      <c r="C181" s="116">
        <f t="shared" si="151"/>
        <v>60.548077244574692</v>
      </c>
      <c r="D181" s="3">
        <f t="shared" si="152"/>
        <v>1264.5728876480919</v>
      </c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132"/>
    </row>
    <row r="182" spans="2:35" hidden="1" x14ac:dyDescent="0.3">
      <c r="B182" s="115">
        <v>400</v>
      </c>
      <c r="C182" s="116">
        <f t="shared" si="151"/>
        <v>76.544974187212304</v>
      </c>
      <c r="D182" s="3">
        <f t="shared" si="152"/>
        <v>1598.6750273155042</v>
      </c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132"/>
    </row>
    <row r="183" spans="2:35" hidden="1" x14ac:dyDescent="0.3">
      <c r="B183" s="115">
        <v>500</v>
      </c>
      <c r="C183" s="116">
        <f t="shared" si="151"/>
        <v>91.810331992645544</v>
      </c>
      <c r="D183" s="3">
        <f t="shared" si="152"/>
        <v>1917.4986544147077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132"/>
    </row>
    <row r="184" spans="2:35" hidden="1" x14ac:dyDescent="0.3">
      <c r="B184" s="115">
        <v>600</v>
      </c>
      <c r="C184" s="116">
        <f t="shared" si="151"/>
        <v>106.51695203400769</v>
      </c>
      <c r="D184" s="3">
        <f t="shared" si="152"/>
        <v>2224.6528006665612</v>
      </c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132"/>
    </row>
    <row r="185" spans="2:35" hidden="1" x14ac:dyDescent="0.3">
      <c r="B185" s="115">
        <v>700</v>
      </c>
      <c r="C185" s="116">
        <f>$C$170*$E$170*(B185/$E$170)^$C$171</f>
        <v>120.77461950886983</v>
      </c>
      <c r="D185" s="3">
        <f t="shared" si="152"/>
        <v>2522.4303775990847</v>
      </c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132"/>
    </row>
    <row r="186" spans="2:35" hidden="1" x14ac:dyDescent="0.3"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132"/>
    </row>
    <row r="187" spans="2:35" hidden="1" x14ac:dyDescent="0.3">
      <c r="AI187" s="132"/>
    </row>
    <row r="188" spans="2:35" hidden="1" x14ac:dyDescent="0.3">
      <c r="AI188" s="132"/>
    </row>
    <row r="189" spans="2:35" hidden="1" x14ac:dyDescent="0.3">
      <c r="AI189" s="132"/>
    </row>
    <row r="190" spans="2:35" hidden="1" x14ac:dyDescent="0.3">
      <c r="AI190" s="132"/>
    </row>
    <row r="191" spans="2:35" hidden="1" x14ac:dyDescent="0.3">
      <c r="AI191" s="132"/>
    </row>
  </sheetData>
  <sheetProtection algorithmName="SHA-512" hashValue="smGxAqpAB41UXFTo0TkIUU1KnPuI7JUuQWTz0YIgxoLlvYB6NHQSvoLVwV32RRU5LL4bOPVtnu2PMNUhDsr2FA==" saltValue="SGw+AZXW8sKU5cxkBTk2Yg==" spinCount="100000" sheet="1" objects="1" scenarios="1" selectLockedCells="1"/>
  <mergeCells count="65">
    <mergeCell ref="B2:U2"/>
    <mergeCell ref="B25:H25"/>
    <mergeCell ref="B26:B27"/>
    <mergeCell ref="B28:B29"/>
    <mergeCell ref="B30:B31"/>
    <mergeCell ref="K16:O16"/>
    <mergeCell ref="Q16:T16"/>
    <mergeCell ref="B17:B18"/>
    <mergeCell ref="B19:B20"/>
    <mergeCell ref="B21:B23"/>
    <mergeCell ref="B3:C3"/>
    <mergeCell ref="E3:I3"/>
    <mergeCell ref="J3:O3"/>
    <mergeCell ref="P3:U3"/>
    <mergeCell ref="K63:O63"/>
    <mergeCell ref="B45:W45"/>
    <mergeCell ref="C34:E34"/>
    <mergeCell ref="G34:I34"/>
    <mergeCell ref="B56:B58"/>
    <mergeCell ref="B47:V47"/>
    <mergeCell ref="B55:V55"/>
    <mergeCell ref="C48:F48"/>
    <mergeCell ref="G48:J48"/>
    <mergeCell ref="K48:N48"/>
    <mergeCell ref="O48:R48"/>
    <mergeCell ref="C56:F56"/>
    <mergeCell ref="G56:J56"/>
    <mergeCell ref="K56:N56"/>
    <mergeCell ref="O56:R56"/>
    <mergeCell ref="B48:B50"/>
    <mergeCell ref="W5:AC11"/>
    <mergeCell ref="B173:H173"/>
    <mergeCell ref="B99:H99"/>
    <mergeCell ref="B120:H120"/>
    <mergeCell ref="B137:H137"/>
    <mergeCell ref="B142:C142"/>
    <mergeCell ref="D142:E142"/>
    <mergeCell ref="G142:H142"/>
    <mergeCell ref="F91:G91"/>
    <mergeCell ref="D92:E92"/>
    <mergeCell ref="D93:E93"/>
    <mergeCell ref="D94:E94"/>
    <mergeCell ref="D95:E95"/>
    <mergeCell ref="D88:F88"/>
    <mergeCell ref="P66:Q66"/>
    <mergeCell ref="B16:H16"/>
    <mergeCell ref="K64:N65"/>
    <mergeCell ref="K66:L66"/>
    <mergeCell ref="K80:N81"/>
    <mergeCell ref="K82:L82"/>
    <mergeCell ref="U64:X65"/>
    <mergeCell ref="P82:Q82"/>
    <mergeCell ref="P64:S65"/>
    <mergeCell ref="P80:S81"/>
    <mergeCell ref="AE82:AF82"/>
    <mergeCell ref="Z82:AA82"/>
    <mergeCell ref="U82:V82"/>
    <mergeCell ref="Z64:AC65"/>
    <mergeCell ref="AE64:AH65"/>
    <mergeCell ref="U80:X81"/>
    <mergeCell ref="Z80:AC81"/>
    <mergeCell ref="AE80:AH81"/>
    <mergeCell ref="U66:V66"/>
    <mergeCell ref="Z66:AA66"/>
    <mergeCell ref="AE66:AF66"/>
  </mergeCells>
  <phoneticPr fontId="28" type="noConversion"/>
  <hyperlinks>
    <hyperlink ref="D88" r:id="rId1" xr:uid="{00000000-0004-0000-0000-000000000000}"/>
  </hyperlinks>
  <pageMargins left="0.7" right="0.7" top="0.75" bottom="0.75" header="0.3" footer="0.3"/>
  <pageSetup orientation="portrait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3083-70C7-4F08-A1E3-D6FB18E3C760}">
  <sheetPr codeName="Sheet3"/>
  <dimension ref="A1:AI138"/>
  <sheetViews>
    <sheetView zoomScale="70" zoomScaleNormal="70" workbookViewId="0">
      <selection activeCell="B5" sqref="B5"/>
    </sheetView>
  </sheetViews>
  <sheetFormatPr defaultColWidth="8.88671875" defaultRowHeight="14.4" x14ac:dyDescent="0.3"/>
  <cols>
    <col min="1" max="1" width="1.88671875" style="3" customWidth="1"/>
    <col min="2" max="2" width="10.109375" style="3" customWidth="1"/>
    <col min="3" max="3" width="23.88671875" style="3" customWidth="1"/>
    <col min="4" max="35" width="11.6640625" style="3" customWidth="1"/>
    <col min="36" max="16384" width="8.88671875" style="3"/>
  </cols>
  <sheetData>
    <row r="1" spans="1:35" ht="30" customHeight="1" x14ac:dyDescent="0.3">
      <c r="A1" s="2"/>
      <c r="B1" s="124"/>
      <c r="C1" s="124"/>
      <c r="D1" s="124"/>
      <c r="E1" s="124"/>
      <c r="F1" s="124" t="s">
        <v>113</v>
      </c>
      <c r="G1" s="124"/>
      <c r="H1" s="124"/>
      <c r="I1" s="124"/>
      <c r="J1" s="124"/>
      <c r="K1" s="124"/>
      <c r="L1" s="155"/>
      <c r="M1" s="124"/>
      <c r="N1" s="125"/>
      <c r="O1" s="125"/>
      <c r="P1" s="125"/>
      <c r="Q1" s="125"/>
      <c r="R1" s="2"/>
      <c r="S1" s="2"/>
      <c r="T1" s="2"/>
      <c r="U1" s="2"/>
      <c r="V1" s="2"/>
      <c r="W1" s="154" t="s">
        <v>87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9.5" customHeight="1" x14ac:dyDescent="0.4">
      <c r="A2" s="2"/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17"/>
      <c r="S2" s="417"/>
      <c r="T2" s="417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.75" customHeight="1" x14ac:dyDescent="0.4">
      <c r="A3" s="2"/>
      <c r="B3" s="162" t="s">
        <v>0</v>
      </c>
      <c r="C3" s="126"/>
      <c r="D3" s="448" t="s">
        <v>1</v>
      </c>
      <c r="E3" s="449"/>
      <c r="F3" s="449"/>
      <c r="G3" s="449"/>
      <c r="H3" s="450"/>
      <c r="I3" s="451" t="s">
        <v>2</v>
      </c>
      <c r="J3" s="452"/>
      <c r="K3" s="452"/>
      <c r="L3" s="452"/>
      <c r="M3" s="452"/>
      <c r="N3" s="453"/>
      <c r="O3" s="451" t="s">
        <v>3</v>
      </c>
      <c r="P3" s="452"/>
      <c r="Q3" s="452"/>
      <c r="R3" s="452"/>
      <c r="S3" s="452"/>
      <c r="T3" s="453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7.25" customHeight="1" x14ac:dyDescent="0.3">
      <c r="A4" s="2"/>
      <c r="B4" s="127" t="s">
        <v>6</v>
      </c>
      <c r="C4" s="128" t="s">
        <v>7</v>
      </c>
      <c r="D4" s="129" t="s">
        <v>8</v>
      </c>
      <c r="E4" s="130" t="s">
        <v>9</v>
      </c>
      <c r="F4" s="129" t="s">
        <v>10</v>
      </c>
      <c r="G4" s="130" t="s">
        <v>11</v>
      </c>
      <c r="H4" s="130" t="s">
        <v>12</v>
      </c>
      <c r="I4" s="131">
        <v>0</v>
      </c>
      <c r="J4" s="131">
        <v>12</v>
      </c>
      <c r="K4" s="131">
        <v>50</v>
      </c>
      <c r="L4" s="131">
        <v>100</v>
      </c>
      <c r="M4" s="131">
        <v>400</v>
      </c>
      <c r="N4" s="131">
        <v>700</v>
      </c>
      <c r="O4" s="131">
        <v>0</v>
      </c>
      <c r="P4" s="131">
        <f>J4*20.89</f>
        <v>250.68</v>
      </c>
      <c r="Q4" s="131">
        <f t="shared" ref="Q4:T11" si="0">K4*20.89</f>
        <v>1044.5</v>
      </c>
      <c r="R4" s="131">
        <f t="shared" si="0"/>
        <v>2089</v>
      </c>
      <c r="S4" s="131">
        <f t="shared" si="0"/>
        <v>8356</v>
      </c>
      <c r="T4" s="131">
        <f t="shared" si="0"/>
        <v>14623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21" customHeight="1" x14ac:dyDescent="0.35">
      <c r="A5" s="2"/>
      <c r="B5" s="1">
        <v>50</v>
      </c>
      <c r="C5" s="306" t="s">
        <v>112</v>
      </c>
      <c r="D5" s="307" t="s">
        <v>14</v>
      </c>
      <c r="E5" s="308">
        <f>M42</f>
        <v>15.009487441812796</v>
      </c>
      <c r="F5" s="308">
        <f>M43</f>
        <v>13.876660384650597</v>
      </c>
      <c r="G5" s="308">
        <f>M46</f>
        <v>11.844314992278878</v>
      </c>
      <c r="H5" s="308">
        <f>M47</f>
        <v>11.105944532898707</v>
      </c>
      <c r="I5" s="308">
        <v>0</v>
      </c>
      <c r="J5" s="309" t="s">
        <v>14</v>
      </c>
      <c r="K5" s="308">
        <f>IF(E5="NA", "NA", $K$4*TAN(RADIANS(E5)))</f>
        <v>13.406333801170762</v>
      </c>
      <c r="L5" s="308">
        <f>IF(F5="NA", "NA", $L$4*TAN(RADIANS(F5)))</f>
        <v>24.704272316859882</v>
      </c>
      <c r="M5" s="308">
        <f t="shared" ref="M5" si="1">IF(G5="NA", "NA", $M$4*TAN(RADIANS(G5)))</f>
        <v>83.887285366007688</v>
      </c>
      <c r="N5" s="308">
        <f t="shared" ref="N5" si="2">IF(H5="NA", "NA", $N$4*TAN(RADIANS(H5)))</f>
        <v>137.40996313959135</v>
      </c>
      <c r="O5" s="328">
        <v>0</v>
      </c>
      <c r="P5" s="310" t="s">
        <v>14</v>
      </c>
      <c r="Q5" s="310">
        <f>K5*20.89</f>
        <v>280.05831310645721</v>
      </c>
      <c r="R5" s="310">
        <f t="shared" si="0"/>
        <v>516.07224869920299</v>
      </c>
      <c r="S5" s="310">
        <f t="shared" si="0"/>
        <v>1752.4053912959007</v>
      </c>
      <c r="T5" s="310">
        <f t="shared" si="0"/>
        <v>2870.4941299860634</v>
      </c>
      <c r="U5" s="2"/>
      <c r="V5" s="2"/>
      <c r="W5" s="395" t="s">
        <v>107</v>
      </c>
      <c r="X5" s="396"/>
      <c r="Y5" s="396"/>
      <c r="Z5" s="396"/>
      <c r="AA5" s="396"/>
      <c r="AB5" s="396"/>
      <c r="AC5" s="396"/>
      <c r="AD5" s="2"/>
      <c r="AE5" s="2"/>
      <c r="AF5" s="2"/>
      <c r="AG5" s="2"/>
      <c r="AH5" s="2"/>
      <c r="AI5" s="2"/>
    </row>
    <row r="6" spans="1:35" ht="21" customHeight="1" x14ac:dyDescent="0.3">
      <c r="A6" s="2"/>
      <c r="B6" s="132"/>
      <c r="C6" s="249" t="s">
        <v>13</v>
      </c>
      <c r="D6" s="181" t="s">
        <v>14</v>
      </c>
      <c r="E6" s="182">
        <f>R42</f>
        <v>14.349069321079517</v>
      </c>
      <c r="F6" s="182">
        <f>R43</f>
        <v>12.79701849194776</v>
      </c>
      <c r="G6" s="182">
        <f>R46</f>
        <v>10.152912409270872</v>
      </c>
      <c r="H6" s="182">
        <f>R47</f>
        <v>9.2406686380083709</v>
      </c>
      <c r="I6" s="184">
        <v>0</v>
      </c>
      <c r="J6" s="183" t="s">
        <v>14</v>
      </c>
      <c r="K6" s="184">
        <f>IF(E6="NA", "NA", $K$4*TAN(RADIANS(E6)))</f>
        <v>12.790453403143056</v>
      </c>
      <c r="L6" s="184">
        <f>IF(F6="NA", "NA", $L$4*TAN(RADIANS(F6)))</f>
        <v>22.71397032968331</v>
      </c>
      <c r="M6" s="184">
        <f>IF(G6="NA", "NA", $M$4*TAN(RADIANS(G6)))</f>
        <v>71.632033923529761</v>
      </c>
      <c r="N6" s="184">
        <f>IF(H6="NA", "NA", $N$4*TAN(RADIANS(H6)))</f>
        <v>113.8852144763122</v>
      </c>
      <c r="O6" s="329">
        <v>0</v>
      </c>
      <c r="P6" s="185" t="s">
        <v>14</v>
      </c>
      <c r="Q6" s="185">
        <f>K6*20.89</f>
        <v>267.19257159165846</v>
      </c>
      <c r="R6" s="185">
        <f>L6*20.89</f>
        <v>474.49484018708438</v>
      </c>
      <c r="S6" s="185">
        <f>M6*20.89</f>
        <v>1496.3931886625367</v>
      </c>
      <c r="T6" s="185">
        <f>N6*20.89</f>
        <v>2379.0621304101619</v>
      </c>
      <c r="U6" s="2"/>
      <c r="V6" s="2"/>
      <c r="W6" s="395"/>
      <c r="X6" s="396"/>
      <c r="Y6" s="396"/>
      <c r="Z6" s="396"/>
      <c r="AA6" s="396"/>
      <c r="AB6" s="396"/>
      <c r="AC6" s="396"/>
      <c r="AD6" s="2"/>
      <c r="AE6" s="2"/>
      <c r="AF6" s="2"/>
      <c r="AG6" s="2"/>
      <c r="AH6" s="2"/>
      <c r="AI6" s="2"/>
    </row>
    <row r="7" spans="1:35" ht="21" customHeight="1" x14ac:dyDescent="0.3">
      <c r="A7" s="2"/>
      <c r="B7" s="132"/>
      <c r="C7" s="186" t="s">
        <v>95</v>
      </c>
      <c r="D7" s="187" t="s">
        <v>14</v>
      </c>
      <c r="E7" s="188">
        <f>W42</f>
        <v>13.612621990743079</v>
      </c>
      <c r="F7" s="188">
        <f>W43</f>
        <v>11.706891419076142</v>
      </c>
      <c r="G7" s="188">
        <f>W46</f>
        <v>8.6275863114181881</v>
      </c>
      <c r="H7" s="188">
        <f>W47</f>
        <v>7.6204007280176782</v>
      </c>
      <c r="I7" s="190">
        <v>0</v>
      </c>
      <c r="J7" s="189" t="s">
        <v>14</v>
      </c>
      <c r="K7" s="190">
        <f t="shared" ref="K7:K8" si="3">IF(E7="NA", "NA", $K$4*TAN(RADIANS(E7)))</f>
        <v>12.107933105940997</v>
      </c>
      <c r="L7" s="190">
        <f t="shared" ref="L7:L10" si="4">IF(F7="NA", "NA", $L$4*TAN(RADIANS(F7)))</f>
        <v>20.721548378079913</v>
      </c>
      <c r="M7" s="190">
        <f t="shared" ref="M7" si="5">IF(G7="NA", "NA", $M$4*TAN(RADIANS(G7)))</f>
        <v>60.691320461303341</v>
      </c>
      <c r="N7" s="190">
        <f t="shared" ref="N7:N9" si="6">IF(H7="NA", "NA", $N$4*TAN(RADIANS(H7)))</f>
        <v>93.653632472764173</v>
      </c>
      <c r="O7" s="330">
        <v>0</v>
      </c>
      <c r="P7" s="191" t="s">
        <v>14</v>
      </c>
      <c r="Q7" s="191">
        <f t="shared" ref="Q7:Q10" si="7">K7*20.89</f>
        <v>252.93472258310743</v>
      </c>
      <c r="R7" s="191">
        <f t="shared" ref="R7:R9" si="8">L7*20.89</f>
        <v>432.87314561808938</v>
      </c>
      <c r="S7" s="191">
        <f t="shared" ref="S7:S10" si="9">M7*20.89</f>
        <v>1267.8416844366268</v>
      </c>
      <c r="T7" s="191">
        <f t="shared" ref="T7:T9" si="10">N7*20.89</f>
        <v>1956.4243823560437</v>
      </c>
      <c r="U7" s="2"/>
      <c r="V7" s="2"/>
      <c r="W7" s="396"/>
      <c r="X7" s="396"/>
      <c r="Y7" s="396"/>
      <c r="Z7" s="396"/>
      <c r="AA7" s="396"/>
      <c r="AB7" s="396"/>
      <c r="AC7" s="396"/>
      <c r="AD7" s="2"/>
      <c r="AE7" s="2"/>
      <c r="AF7" s="2"/>
      <c r="AG7" s="2"/>
      <c r="AH7" s="2"/>
      <c r="AI7" s="2"/>
    </row>
    <row r="8" spans="1:35" ht="21" customHeight="1" x14ac:dyDescent="0.3">
      <c r="A8" s="2"/>
      <c r="B8" s="132"/>
      <c r="C8" s="192" t="s">
        <v>96</v>
      </c>
      <c r="D8" s="193" t="s">
        <v>14</v>
      </c>
      <c r="E8" s="194">
        <f>AB42</f>
        <v>12.79439753439396</v>
      </c>
      <c r="F8" s="194">
        <f>AB43</f>
        <v>10.606926920918063</v>
      </c>
      <c r="G8" s="194">
        <f>AB46</f>
        <v>7.2576154963970154</v>
      </c>
      <c r="H8" s="194">
        <f>AB47</f>
        <v>6.2203160948257166</v>
      </c>
      <c r="I8" s="196">
        <v>0</v>
      </c>
      <c r="J8" s="195" t="s">
        <v>14</v>
      </c>
      <c r="K8" s="196">
        <f t="shared" si="3"/>
        <v>11.354579969773436</v>
      </c>
      <c r="L8" s="196">
        <f t="shared" si="4"/>
        <v>18.727004784630822</v>
      </c>
      <c r="M8" s="196">
        <f>IF(G8="NA", "NA", $M$4*TAN(RADIANS(G8)))</f>
        <v>50.940454746670504</v>
      </c>
      <c r="N8" s="196">
        <f t="shared" si="6"/>
        <v>76.295481885204509</v>
      </c>
      <c r="O8" s="331">
        <v>0</v>
      </c>
      <c r="P8" s="197" t="s">
        <v>14</v>
      </c>
      <c r="Q8" s="197">
        <f t="shared" si="7"/>
        <v>237.19717556856708</v>
      </c>
      <c r="R8" s="197">
        <f t="shared" si="8"/>
        <v>391.20712995093788</v>
      </c>
      <c r="S8" s="197">
        <f t="shared" si="9"/>
        <v>1064.1460996579469</v>
      </c>
      <c r="T8" s="197">
        <f t="shared" si="10"/>
        <v>1593.8126165819222</v>
      </c>
      <c r="U8" s="2"/>
      <c r="V8" s="2"/>
      <c r="W8" s="396"/>
      <c r="X8" s="396"/>
      <c r="Y8" s="396"/>
      <c r="Z8" s="396"/>
      <c r="AA8" s="396"/>
      <c r="AB8" s="396"/>
      <c r="AC8" s="396"/>
      <c r="AD8" s="2"/>
      <c r="AE8" s="2"/>
      <c r="AF8" s="2"/>
      <c r="AG8" s="2"/>
      <c r="AH8" s="2"/>
      <c r="AI8" s="2"/>
    </row>
    <row r="9" spans="1:35" ht="21" customHeight="1" x14ac:dyDescent="0.3">
      <c r="A9" s="2"/>
      <c r="B9" s="132"/>
      <c r="C9" s="198" t="s">
        <v>97</v>
      </c>
      <c r="D9" s="199" t="s">
        <v>14</v>
      </c>
      <c r="E9" s="200">
        <f>AG42</f>
        <v>11.888285735922342</v>
      </c>
      <c r="F9" s="200">
        <f>AG43</f>
        <v>9.4978134626469384</v>
      </c>
      <c r="G9" s="200">
        <f>AG46</f>
        <v>6.0317516193874123</v>
      </c>
      <c r="H9" s="200">
        <f>AG47</f>
        <v>5.0162169086076673</v>
      </c>
      <c r="I9" s="202">
        <v>0</v>
      </c>
      <c r="J9" s="201" t="s">
        <v>14</v>
      </c>
      <c r="K9" s="202">
        <f>IF(E9="NA", "NA", $K$4*TAN(RADIANS(E9)))</f>
        <v>10.525976493828935</v>
      </c>
      <c r="L9" s="202">
        <f t="shared" si="4"/>
        <v>16.730337837674625</v>
      </c>
      <c r="M9" s="202">
        <f>IF(G9="NA", "NA", $M$4*TAN(RADIANS(G9)))</f>
        <v>42.265824049887762</v>
      </c>
      <c r="N9" s="202">
        <f t="shared" si="6"/>
        <v>61.44171284824759</v>
      </c>
      <c r="O9" s="332">
        <v>0</v>
      </c>
      <c r="P9" s="203" t="s">
        <v>14</v>
      </c>
      <c r="Q9" s="203">
        <f t="shared" si="7"/>
        <v>219.88764895608645</v>
      </c>
      <c r="R9" s="203">
        <f t="shared" si="8"/>
        <v>349.49675742902292</v>
      </c>
      <c r="S9" s="203">
        <f t="shared" si="9"/>
        <v>882.93306440215542</v>
      </c>
      <c r="T9" s="203">
        <f t="shared" si="10"/>
        <v>1283.5173813998922</v>
      </c>
      <c r="U9" s="2"/>
      <c r="V9" s="2"/>
      <c r="W9" s="396"/>
      <c r="X9" s="396"/>
      <c r="Y9" s="396"/>
      <c r="Z9" s="396"/>
      <c r="AA9" s="396"/>
      <c r="AB9" s="396"/>
      <c r="AC9" s="396"/>
      <c r="AD9" s="2"/>
      <c r="AE9" s="2"/>
      <c r="AF9" s="2"/>
      <c r="AG9" s="2"/>
      <c r="AH9" s="2"/>
      <c r="AI9" s="2"/>
    </row>
    <row r="10" spans="1:35" ht="21" customHeight="1" x14ac:dyDescent="0.3">
      <c r="A10" s="2"/>
      <c r="B10" s="132"/>
      <c r="C10" s="325" t="s">
        <v>109</v>
      </c>
      <c r="D10" s="326">
        <f>DEGREES(ATAN(((K20*101*(12/101)^L20)/12)))</f>
        <v>30.445755563024605</v>
      </c>
      <c r="E10" s="326">
        <f>M26</f>
        <v>27.23242296217845</v>
      </c>
      <c r="F10" s="326">
        <f>M27</f>
        <v>25.756618066993262</v>
      </c>
      <c r="G10" s="326">
        <f>M30</f>
        <v>22.980223626821253</v>
      </c>
      <c r="H10" s="327" t="s">
        <v>14</v>
      </c>
      <c r="I10" s="326">
        <v>0</v>
      </c>
      <c r="J10" s="326">
        <f>IF(D10="NA", "NA", $J$4*TAN(RADIANS(D10)))</f>
        <v>7.053245846341472</v>
      </c>
      <c r="K10" s="326">
        <f t="shared" ref="K10" si="11">IF(E10="NA", "NA", $K$4*TAN(RADIANS(E10)))</f>
        <v>25.732287586328674</v>
      </c>
      <c r="L10" s="326">
        <f t="shared" si="4"/>
        <v>48.248512904972969</v>
      </c>
      <c r="M10" s="326">
        <f>IF(G10="NA","NA",$M$4*TAN(RADIANS(G10)))</f>
        <v>169.62700879735894</v>
      </c>
      <c r="N10" s="326" t="s">
        <v>14</v>
      </c>
      <c r="O10" s="326">
        <f t="shared" ref="O10" si="12">I10*20.89</f>
        <v>0</v>
      </c>
      <c r="P10" s="326">
        <f t="shared" ref="P10" si="13">J10*20.89</f>
        <v>147.34230573007335</v>
      </c>
      <c r="Q10" s="326">
        <f t="shared" si="7"/>
        <v>537.54748767840601</v>
      </c>
      <c r="R10" s="326">
        <f>L10*20.89</f>
        <v>1007.9114345848853</v>
      </c>
      <c r="S10" s="326">
        <f t="shared" si="9"/>
        <v>3543.5082137768281</v>
      </c>
      <c r="T10" s="326" t="s">
        <v>14</v>
      </c>
      <c r="U10" s="2"/>
      <c r="V10" s="2"/>
      <c r="W10" s="396"/>
      <c r="X10" s="396"/>
      <c r="Y10" s="396"/>
      <c r="Z10" s="396"/>
      <c r="AA10" s="396"/>
      <c r="AB10" s="396"/>
      <c r="AC10" s="396"/>
      <c r="AD10" s="2"/>
      <c r="AE10" s="2"/>
      <c r="AF10" s="2"/>
      <c r="AG10" s="2"/>
      <c r="AH10" s="2"/>
      <c r="AI10" s="2"/>
    </row>
    <row r="11" spans="1:35" ht="21" customHeight="1" x14ac:dyDescent="0.3">
      <c r="A11" s="2"/>
      <c r="B11" s="132"/>
      <c r="C11" s="237" t="s">
        <v>15</v>
      </c>
      <c r="D11" s="238">
        <f>DEGREES(ATAN(((P20*101*(12/101)^Q20)/12)))</f>
        <v>29.723744661366556</v>
      </c>
      <c r="E11" s="238">
        <f>R26</f>
        <v>25.912414539984063</v>
      </c>
      <c r="F11" s="238">
        <f>R27</f>
        <v>24.190108341120954</v>
      </c>
      <c r="G11" s="238">
        <f>R30</f>
        <v>21.008042668063116</v>
      </c>
      <c r="H11" s="239" t="s">
        <v>14</v>
      </c>
      <c r="I11" s="238">
        <v>0</v>
      </c>
      <c r="J11" s="238">
        <f>IF(D11="NA", "NA", $J$4*TAN(RADIANS(D11)))</f>
        <v>6.8512717469848816</v>
      </c>
      <c r="K11" s="238">
        <f>IF(E11="NA", "NA", $K$4*TAN(RADIANS(E11)))</f>
        <v>24.292085058119248</v>
      </c>
      <c r="L11" s="238">
        <f>IF(F11="NA", "NA", $L$4*TAN(RADIANS(F11)))</f>
        <v>44.921032409231493</v>
      </c>
      <c r="M11" s="238">
        <f>IF(G11="NA","NA",$M$4*TAN(RADIANS(G11)))</f>
        <v>153.61003946008088</v>
      </c>
      <c r="N11" s="238" t="s">
        <v>14</v>
      </c>
      <c r="O11" s="238">
        <f>I11*20.89</f>
        <v>0</v>
      </c>
      <c r="P11" s="238">
        <f>J11*20.89</f>
        <v>143.12306679451419</v>
      </c>
      <c r="Q11" s="238">
        <f t="shared" si="0"/>
        <v>507.46165686411109</v>
      </c>
      <c r="R11" s="238">
        <f t="shared" si="0"/>
        <v>938.40036702884595</v>
      </c>
      <c r="S11" s="238">
        <f t="shared" si="0"/>
        <v>3208.9137243210898</v>
      </c>
      <c r="T11" s="238" t="s">
        <v>14</v>
      </c>
      <c r="U11" s="2"/>
      <c r="V11" s="2"/>
      <c r="W11" s="396"/>
      <c r="X11" s="396"/>
      <c r="Y11" s="396"/>
      <c r="Z11" s="396"/>
      <c r="AA11" s="396"/>
      <c r="AB11" s="396"/>
      <c r="AC11" s="396"/>
      <c r="AD11" s="2"/>
      <c r="AE11" s="2"/>
      <c r="AF11" s="2"/>
      <c r="AG11" s="2"/>
      <c r="AH11" s="2"/>
      <c r="AI11" s="2"/>
    </row>
    <row r="12" spans="1:35" ht="21" customHeight="1" x14ac:dyDescent="0.3">
      <c r="A12" s="2"/>
      <c r="B12" s="132"/>
      <c r="C12" s="240" t="s">
        <v>98</v>
      </c>
      <c r="D12" s="241">
        <f>DEGREES(ATAN(((U20*101*(12/101)^V20)/12)))</f>
        <v>28.878031910680363</v>
      </c>
      <c r="E12" s="241">
        <f>W26</f>
        <v>24.518612877449982</v>
      </c>
      <c r="F12" s="241">
        <f>W27</f>
        <v>22.583513108771893</v>
      </c>
      <c r="G12" s="241">
        <f>W30</f>
        <v>19.077661391109523</v>
      </c>
      <c r="H12" s="242" t="s">
        <v>14</v>
      </c>
      <c r="I12" s="241">
        <v>0</v>
      </c>
      <c r="J12" s="241">
        <f>IF(D12="NA", "NA", $J$4*TAN(RADIANS(D12)))</f>
        <v>6.6183540883001744</v>
      </c>
      <c r="K12" s="241">
        <f t="shared" ref="K12:K14" si="14">IF(E12="NA", "NA", $K$4*TAN(RADIANS(E12)))</f>
        <v>22.805931890505875</v>
      </c>
      <c r="L12" s="241">
        <f t="shared" ref="L12:L14" si="15">IF(F12="NA", "NA", $L$4*TAN(RADIANS(F12)))</f>
        <v>41.592225489230614</v>
      </c>
      <c r="M12" s="241">
        <f t="shared" ref="M12:M13" si="16">IF(G12="NA","NA",$M$4*TAN(RADIANS(G12)))</f>
        <v>138.33778918978209</v>
      </c>
      <c r="N12" s="241" t="s">
        <v>14</v>
      </c>
      <c r="O12" s="241">
        <f t="shared" ref="O12:O14" si="17">I12*20.89</f>
        <v>0</v>
      </c>
      <c r="P12" s="241">
        <f t="shared" ref="P12:P14" si="18">J12*20.89</f>
        <v>138.25741690459066</v>
      </c>
      <c r="Q12" s="241">
        <f t="shared" ref="Q12:Q14" si="19">K12*20.89</f>
        <v>476.41591719266773</v>
      </c>
      <c r="R12" s="241">
        <f t="shared" ref="R12:R14" si="20">L12*20.89</f>
        <v>868.86159047002752</v>
      </c>
      <c r="S12" s="241">
        <f t="shared" ref="S12:S14" si="21">M12*20.89</f>
        <v>2889.876416174548</v>
      </c>
      <c r="T12" s="241" t="s">
        <v>14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21" customHeight="1" x14ac:dyDescent="0.3">
      <c r="A13" s="2"/>
      <c r="B13" s="132"/>
      <c r="C13" s="243" t="s">
        <v>99</v>
      </c>
      <c r="D13" s="244">
        <f>DEGREES(ATAN(((Z20*101*(12/101)^AA20)/12)))</f>
        <v>27.894432986231788</v>
      </c>
      <c r="E13" s="244">
        <f>AB26</f>
        <v>23.047627676132571</v>
      </c>
      <c r="F13" s="244">
        <f>AB27</f>
        <v>20.937891105481722</v>
      </c>
      <c r="G13" s="244">
        <f>AB30</f>
        <v>17.194890125994032</v>
      </c>
      <c r="H13" s="245" t="s">
        <v>14</v>
      </c>
      <c r="I13" s="244">
        <v>0</v>
      </c>
      <c r="J13" s="244">
        <f t="shared" ref="J13:J14" si="22">IF(D13="NA", "NA", $J$4*TAN(RADIANS(D13)))</f>
        <v>6.3521802015559246</v>
      </c>
      <c r="K13" s="244">
        <f t="shared" si="14"/>
        <v>21.272809896158638</v>
      </c>
      <c r="L13" s="244">
        <f>IF(F13="NA", "NA", $L$4*TAN(RADIANS(F13)))</f>
        <v>38.262081733544846</v>
      </c>
      <c r="M13" s="244">
        <f t="shared" si="16"/>
        <v>123.78159289925037</v>
      </c>
      <c r="N13" s="244" t="s">
        <v>14</v>
      </c>
      <c r="O13" s="244">
        <f t="shared" si="17"/>
        <v>0</v>
      </c>
      <c r="P13" s="244">
        <f t="shared" si="18"/>
        <v>132.69704441050328</v>
      </c>
      <c r="Q13" s="244">
        <f t="shared" si="19"/>
        <v>444.38899873075394</v>
      </c>
      <c r="R13" s="244">
        <f t="shared" si="20"/>
        <v>799.29488741375189</v>
      </c>
      <c r="S13" s="244">
        <f t="shared" si="21"/>
        <v>2585.7974756653402</v>
      </c>
      <c r="T13" s="244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21" customHeight="1" x14ac:dyDescent="0.3">
      <c r="A14" s="2"/>
      <c r="B14" s="132"/>
      <c r="C14" s="246" t="s">
        <v>100</v>
      </c>
      <c r="D14" s="247">
        <f>DEGREES(ATAN(((AE20*101*(12/101)^AF20)/12)))</f>
        <v>26.756859873140712</v>
      </c>
      <c r="E14" s="247">
        <f>AG26</f>
        <v>21.49620480307382</v>
      </c>
      <c r="F14" s="247">
        <f>AG27</f>
        <v>19.254625315639661</v>
      </c>
      <c r="G14" s="247">
        <f>AG30</f>
        <v>15.364783393525956</v>
      </c>
      <c r="H14" s="248" t="s">
        <v>14</v>
      </c>
      <c r="I14" s="247">
        <v>0</v>
      </c>
      <c r="J14" s="247">
        <f t="shared" si="22"/>
        <v>6.0502997812277801</v>
      </c>
      <c r="K14" s="247">
        <f t="shared" si="14"/>
        <v>19.691698048668432</v>
      </c>
      <c r="L14" s="247">
        <f t="shared" si="15"/>
        <v>34.930620774385517</v>
      </c>
      <c r="M14" s="247">
        <f>IF(G14="NA","NA",$M$4*TAN(RADIANS(G14)))</f>
        <v>109.91388941232316</v>
      </c>
      <c r="N14" s="247" t="s">
        <v>14</v>
      </c>
      <c r="O14" s="247">
        <f t="shared" si="17"/>
        <v>0</v>
      </c>
      <c r="P14" s="247">
        <f t="shared" si="18"/>
        <v>126.39076242984834</v>
      </c>
      <c r="Q14" s="247">
        <f t="shared" si="19"/>
        <v>411.35957223668356</v>
      </c>
      <c r="R14" s="247">
        <f t="shared" si="20"/>
        <v>729.70066797691345</v>
      </c>
      <c r="S14" s="247">
        <f t="shared" si="21"/>
        <v>2296.1011498234307</v>
      </c>
      <c r="T14" s="247" t="s">
        <v>14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409"/>
      <c r="K15" s="410"/>
      <c r="L15" s="410"/>
      <c r="M15" s="410"/>
      <c r="N15" s="41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.899999999999999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454" t="s">
        <v>110</v>
      </c>
      <c r="L16" s="455"/>
      <c r="M16" s="455"/>
      <c r="N16" s="456"/>
      <c r="O16" s="2"/>
      <c r="P16" s="386" t="s">
        <v>91</v>
      </c>
      <c r="Q16" s="387"/>
      <c r="R16" s="387"/>
      <c r="S16" s="388"/>
      <c r="T16" s="132"/>
      <c r="U16" s="490" t="s">
        <v>101</v>
      </c>
      <c r="V16" s="491"/>
      <c r="W16" s="491"/>
      <c r="X16" s="492"/>
      <c r="Y16" s="230"/>
      <c r="Z16" s="487" t="s">
        <v>102</v>
      </c>
      <c r="AA16" s="488"/>
      <c r="AB16" s="488"/>
      <c r="AC16" s="489"/>
      <c r="AD16" s="230"/>
      <c r="AE16" s="472" t="s">
        <v>103</v>
      </c>
      <c r="AF16" s="473"/>
      <c r="AG16" s="473"/>
      <c r="AH16" s="474"/>
      <c r="AI16" s="2"/>
    </row>
    <row r="17" spans="1:35" ht="18.899999999999999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455"/>
      <c r="L17" s="455"/>
      <c r="M17" s="455"/>
      <c r="N17" s="456"/>
      <c r="O17" s="2"/>
      <c r="P17" s="387"/>
      <c r="Q17" s="387"/>
      <c r="R17" s="387"/>
      <c r="S17" s="388"/>
      <c r="T17" s="132"/>
      <c r="U17" s="491"/>
      <c r="V17" s="491"/>
      <c r="W17" s="491"/>
      <c r="X17" s="492"/>
      <c r="Y17" s="230"/>
      <c r="Z17" s="488"/>
      <c r="AA17" s="488"/>
      <c r="AB17" s="488"/>
      <c r="AC17" s="489"/>
      <c r="AD17" s="230"/>
      <c r="AE17" s="473"/>
      <c r="AF17" s="473"/>
      <c r="AG17" s="473"/>
      <c r="AH17" s="474"/>
      <c r="AI17" s="2"/>
    </row>
    <row r="18" spans="1:35" ht="18.899999999999999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334" t="s">
        <v>31</v>
      </c>
      <c r="L18" s="335"/>
      <c r="M18" s="175"/>
      <c r="N18" s="165"/>
      <c r="O18" s="2"/>
      <c r="P18" s="334" t="s">
        <v>31</v>
      </c>
      <c r="Q18" s="335"/>
      <c r="R18" s="175"/>
      <c r="S18" s="165"/>
      <c r="T18" s="132"/>
      <c r="U18" s="334" t="s">
        <v>31</v>
      </c>
      <c r="V18" s="335"/>
      <c r="W18" s="175"/>
      <c r="X18" s="165"/>
      <c r="Y18" s="2"/>
      <c r="Z18" s="334" t="s">
        <v>31</v>
      </c>
      <c r="AA18" s="335"/>
      <c r="AB18" s="175"/>
      <c r="AC18" s="165"/>
      <c r="AD18" s="132"/>
      <c r="AE18" s="334" t="s">
        <v>31</v>
      </c>
      <c r="AF18" s="335"/>
      <c r="AG18" s="175"/>
      <c r="AH18" s="165"/>
      <c r="AI18" s="2"/>
    </row>
    <row r="19" spans="1:35" ht="18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94" t="s">
        <v>32</v>
      </c>
      <c r="L19" s="94" t="s">
        <v>33</v>
      </c>
      <c r="M19" s="164"/>
      <c r="N19" s="165"/>
      <c r="O19" s="2"/>
      <c r="P19" s="94" t="s">
        <v>32</v>
      </c>
      <c r="Q19" s="94" t="s">
        <v>33</v>
      </c>
      <c r="R19" s="164"/>
      <c r="S19" s="165"/>
      <c r="T19" s="132"/>
      <c r="U19" s="94" t="s">
        <v>32</v>
      </c>
      <c r="V19" s="94" t="s">
        <v>33</v>
      </c>
      <c r="W19" s="164"/>
      <c r="X19" s="165"/>
      <c r="Y19" s="2"/>
      <c r="Z19" s="94" t="s">
        <v>32</v>
      </c>
      <c r="AA19" s="94" t="s">
        <v>33</v>
      </c>
      <c r="AB19" s="164"/>
      <c r="AC19" s="165"/>
      <c r="AD19" s="132"/>
      <c r="AE19" s="94" t="s">
        <v>32</v>
      </c>
      <c r="AF19" s="94" t="s">
        <v>33</v>
      </c>
      <c r="AG19" s="164"/>
      <c r="AH19" s="165"/>
      <c r="AI19" s="2"/>
    </row>
    <row r="20" spans="1:35" ht="20.100000000000001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526">
        <f>IF($B$5&lt;15,"NA",IF($B$5&lt;=250,(-0.1155919163 * LN($B$5) + 0.9009033321+0.0333333),"NA"))</f>
        <v>0.48203839629287526</v>
      </c>
      <c r="L20" s="526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7+0.02),"NA"))</f>
        <v>0.90690475936146475</v>
      </c>
      <c r="M20" s="164"/>
      <c r="N20" s="176"/>
      <c r="O20" s="2"/>
      <c r="P20" s="526">
        <f>IF($B$5&lt;15,"NA",IF($B$5&lt;=250,(-0.1155919163 * LN($B$5) + 0.9009033321),"NA"))</f>
        <v>0.44870509629287525</v>
      </c>
      <c r="Q20" s="526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7),"NA"))</f>
        <v>0.88690475936146473</v>
      </c>
      <c r="R20" s="164"/>
      <c r="S20" s="176"/>
      <c r="T20" s="132"/>
      <c r="U20" s="526">
        <f>IF($B$5&lt;15,"NA",IF($B$5&lt;=250,(-0.1155919163 * LN($B$5) + 0.9009033321-0.0333333),"NA"))</f>
        <v>0.41537179629287524</v>
      </c>
      <c r="V20" s="526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7-0.02),"NA"))</f>
        <v>0.86690475936146472</v>
      </c>
      <c r="W20" s="164"/>
      <c r="X20" s="176"/>
      <c r="Y20" s="2"/>
      <c r="Z20" s="526">
        <f>IF($B$5&lt;15,"NA",IF($B$5&lt;=250,(-0.1155919163 * LN($B$5) + 0.9009033321-0.0666667),"NA"))</f>
        <v>0.38203839629287528</v>
      </c>
      <c r="AA20" s="526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7-0.04),"NA"))</f>
        <v>0.8469047593614647</v>
      </c>
      <c r="AB20" s="164"/>
      <c r="AC20" s="176"/>
      <c r="AD20" s="132"/>
      <c r="AE20" s="526">
        <f>IF($B$5&lt;15,"NA",IF($B$5&lt;=250,(-0.1155919163 * LN($B$5) + 0.9009033321-0.1),"NA"))</f>
        <v>0.34870509629287527</v>
      </c>
      <c r="AF20" s="526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7-0.06),"NA"))</f>
        <v>0.82690475936146468</v>
      </c>
      <c r="AG20" s="164"/>
      <c r="AH20" s="176"/>
      <c r="AI20" s="2"/>
    </row>
    <row r="21" spans="1:35" ht="18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177" t="s">
        <v>34</v>
      </c>
      <c r="L21" s="96" t="s">
        <v>35</v>
      </c>
      <c r="M21" s="178" t="s">
        <v>36</v>
      </c>
      <c r="N21" s="96" t="s">
        <v>79</v>
      </c>
      <c r="O21" s="2"/>
      <c r="P21" s="177" t="s">
        <v>34</v>
      </c>
      <c r="Q21" s="96" t="s">
        <v>35</v>
      </c>
      <c r="R21" s="178" t="s">
        <v>36</v>
      </c>
      <c r="S21" s="96" t="s">
        <v>79</v>
      </c>
      <c r="T21" s="132"/>
      <c r="U21" s="177" t="s">
        <v>34</v>
      </c>
      <c r="V21" s="96" t="s">
        <v>35</v>
      </c>
      <c r="W21" s="178" t="s">
        <v>36</v>
      </c>
      <c r="X21" s="96" t="s">
        <v>79</v>
      </c>
      <c r="Y21" s="2"/>
      <c r="Z21" s="177" t="s">
        <v>34</v>
      </c>
      <c r="AA21" s="96" t="s">
        <v>35</v>
      </c>
      <c r="AB21" s="178" t="s">
        <v>36</v>
      </c>
      <c r="AC21" s="96" t="s">
        <v>79</v>
      </c>
      <c r="AD21" s="132"/>
      <c r="AE21" s="177" t="s">
        <v>34</v>
      </c>
      <c r="AF21" s="96" t="s">
        <v>35</v>
      </c>
      <c r="AG21" s="178" t="s">
        <v>36</v>
      </c>
      <c r="AH21" s="96" t="s">
        <v>79</v>
      </c>
      <c r="AI21" s="2"/>
    </row>
    <row r="22" spans="1:35" ht="22.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317">
        <v>0</v>
      </c>
      <c r="L22" s="318">
        <v>0</v>
      </c>
      <c r="M22" s="318">
        <v>0</v>
      </c>
      <c r="N22" s="318">
        <f>L22*20.89</f>
        <v>0</v>
      </c>
      <c r="O22" s="2"/>
      <c r="P22" s="228">
        <v>0</v>
      </c>
      <c r="Q22" s="229">
        <v>0</v>
      </c>
      <c r="R22" s="229">
        <v>0</v>
      </c>
      <c r="S22" s="229">
        <f>Q22*20.89</f>
        <v>0</v>
      </c>
      <c r="T22" s="279"/>
      <c r="U22" s="231">
        <v>0</v>
      </c>
      <c r="V22" s="232">
        <v>0</v>
      </c>
      <c r="W22" s="232">
        <v>0</v>
      </c>
      <c r="X22" s="232">
        <f>V22*20.89</f>
        <v>0</v>
      </c>
      <c r="Y22" s="230"/>
      <c r="Z22" s="233">
        <v>0</v>
      </c>
      <c r="AA22" s="234">
        <v>0</v>
      </c>
      <c r="AB22" s="234">
        <v>0</v>
      </c>
      <c r="AC22" s="234">
        <f>AA22*20.89</f>
        <v>0</v>
      </c>
      <c r="AD22" s="279"/>
      <c r="AE22" s="235">
        <v>0</v>
      </c>
      <c r="AF22" s="236">
        <v>0</v>
      </c>
      <c r="AG22" s="236">
        <v>0</v>
      </c>
      <c r="AH22" s="236">
        <f>AF22*20.89</f>
        <v>0</v>
      </c>
      <c r="AI22" s="2"/>
    </row>
    <row r="23" spans="1:35" ht="20.100000000000001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317">
        <v>5</v>
      </c>
      <c r="L23" s="318">
        <f t="shared" ref="L23:L30" si="23">K$20*101*(K23/101)^L$20</f>
        <v>3.1884061423221186</v>
      </c>
      <c r="M23" s="318">
        <f t="shared" ref="M23:M29" si="24">DEGREES(ATAN(L23/K23))</f>
        <v>32.524893100127571</v>
      </c>
      <c r="N23" s="318">
        <f t="shared" ref="N23:N30" si="25">L23*20.89</f>
        <v>66.605804313109061</v>
      </c>
      <c r="O23" s="2"/>
      <c r="P23" s="228">
        <v>5</v>
      </c>
      <c r="Q23" s="229">
        <f t="shared" ref="Q23:Q30" si="26">P$20*101*(P23/101)^Q$20</f>
        <v>3.1518100337683186</v>
      </c>
      <c r="R23" s="229">
        <f t="shared" ref="R23:R29" si="27">DEGREES(ATAN(Q23/P23))</f>
        <v>32.225773505679463</v>
      </c>
      <c r="S23" s="229">
        <f t="shared" ref="S23:S30" si="28">Q23*20.89</f>
        <v>65.841311605420174</v>
      </c>
      <c r="T23" s="279"/>
      <c r="U23" s="231">
        <v>5</v>
      </c>
      <c r="V23" s="232">
        <f t="shared" ref="V23:V30" si="29">U$20*101*(U23/101)^V$20</f>
        <v>3.0984398072236186</v>
      </c>
      <c r="W23" s="232">
        <f t="shared" ref="W23:W29" si="30">DEGREES(ATAN(V23/U23))</f>
        <v>31.785996766254218</v>
      </c>
      <c r="X23" s="232">
        <f t="shared" ref="X23:X30" si="31">V23*20.89</f>
        <v>64.726407572901394</v>
      </c>
      <c r="Y23" s="230"/>
      <c r="Z23" s="233">
        <v>5</v>
      </c>
      <c r="AA23" s="234">
        <f t="shared" ref="AA23:AA30" si="32">Z$20*101*(Z23/101)^AA$20</f>
        <v>3.0263565960793448</v>
      </c>
      <c r="AB23" s="234">
        <f t="shared" ref="AB23:AB29" si="33">DEGREES(ATAN(AA23/Z23))</f>
        <v>31.1853168915436</v>
      </c>
      <c r="AC23" s="234">
        <f t="shared" ref="AC23:AC30" si="34">AA23*20.89</f>
        <v>63.220589292097515</v>
      </c>
      <c r="AD23" s="279"/>
      <c r="AE23" s="235">
        <v>5</v>
      </c>
      <c r="AF23" s="236">
        <f t="shared" ref="AF23:AF30" si="35">AE$20*101*(AE23/101)^AF$20</f>
        <v>2.9334480964520555</v>
      </c>
      <c r="AG23" s="236">
        <f t="shared" ref="AG23:AG29" si="36">DEGREES(ATAN(AF23/AE23))</f>
        <v>30.399706063397037</v>
      </c>
      <c r="AH23" s="236">
        <f t="shared" ref="AH23:AH30" si="37">AF23*20.89</f>
        <v>61.279730734883444</v>
      </c>
      <c r="AI23" s="2"/>
    </row>
    <row r="24" spans="1:35" ht="20.100000000000001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317">
        <v>10</v>
      </c>
      <c r="L24" s="318">
        <f t="shared" si="23"/>
        <v>5.9783202091156271</v>
      </c>
      <c r="M24" s="318">
        <f t="shared" si="24"/>
        <v>30.87233383507488</v>
      </c>
      <c r="N24" s="318">
        <f t="shared" si="25"/>
        <v>124.88710916842545</v>
      </c>
      <c r="O24" s="2"/>
      <c r="P24" s="228">
        <v>10</v>
      </c>
      <c r="Q24" s="229">
        <f t="shared" si="26"/>
        <v>5.8283412204390386</v>
      </c>
      <c r="R24" s="229">
        <f t="shared" si="27"/>
        <v>30.235091652118012</v>
      </c>
      <c r="S24" s="229">
        <f t="shared" si="28"/>
        <v>121.75404809497152</v>
      </c>
      <c r="T24" s="279"/>
      <c r="U24" s="231">
        <v>10</v>
      </c>
      <c r="V24" s="232">
        <f t="shared" si="29"/>
        <v>5.6507669910433282</v>
      </c>
      <c r="W24" s="232">
        <f t="shared" si="30"/>
        <v>29.469779314643429</v>
      </c>
      <c r="X24" s="232">
        <f t="shared" si="31"/>
        <v>118.04452244289513</v>
      </c>
      <c r="Y24" s="230"/>
      <c r="Z24" s="233">
        <v>10</v>
      </c>
      <c r="AA24" s="234">
        <f t="shared" si="32"/>
        <v>5.4433196178258623</v>
      </c>
      <c r="AB24" s="234">
        <f t="shared" si="33"/>
        <v>28.560865343554028</v>
      </c>
      <c r="AC24" s="234">
        <f t="shared" si="34"/>
        <v>113.71094681638226</v>
      </c>
      <c r="AD24" s="279"/>
      <c r="AE24" s="235">
        <v>10</v>
      </c>
      <c r="AF24" s="236">
        <f t="shared" si="35"/>
        <v>5.2035717166320623</v>
      </c>
      <c r="AG24" s="236">
        <f t="shared" si="36"/>
        <v>27.490537921077234</v>
      </c>
      <c r="AH24" s="236">
        <f t="shared" si="37"/>
        <v>108.70261316044379</v>
      </c>
      <c r="AI24" s="2"/>
    </row>
    <row r="25" spans="1:35" ht="20.100000000000001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317">
        <v>25</v>
      </c>
      <c r="L25" s="318">
        <f t="shared" si="23"/>
        <v>13.723751978214381</v>
      </c>
      <c r="M25" s="318">
        <f t="shared" si="24"/>
        <v>28.764588212533457</v>
      </c>
      <c r="N25" s="318">
        <f t="shared" si="25"/>
        <v>286.68917882489842</v>
      </c>
      <c r="O25" s="2"/>
      <c r="P25" s="228">
        <v>25</v>
      </c>
      <c r="Q25" s="229">
        <f t="shared" si="26"/>
        <v>13.136505659420935</v>
      </c>
      <c r="R25" s="229">
        <f t="shared" si="27"/>
        <v>27.720140350790391</v>
      </c>
      <c r="S25" s="229">
        <f t="shared" si="28"/>
        <v>274.42160322530333</v>
      </c>
      <c r="T25" s="279"/>
      <c r="U25" s="231">
        <v>25</v>
      </c>
      <c r="V25" s="232">
        <f t="shared" si="29"/>
        <v>12.504993980883855</v>
      </c>
      <c r="W25" s="232">
        <f t="shared" si="30"/>
        <v>26.574206734320853</v>
      </c>
      <c r="X25" s="232">
        <f t="shared" si="31"/>
        <v>261.22932426066376</v>
      </c>
      <c r="Y25" s="230"/>
      <c r="Z25" s="233">
        <v>25</v>
      </c>
      <c r="AA25" s="234">
        <f t="shared" si="32"/>
        <v>11.827177727273632</v>
      </c>
      <c r="AB25" s="234">
        <f t="shared" si="33"/>
        <v>25.318227604283742</v>
      </c>
      <c r="AC25" s="234">
        <f t="shared" si="34"/>
        <v>247.06974272274618</v>
      </c>
      <c r="AD25" s="279"/>
      <c r="AE25" s="235">
        <v>25</v>
      </c>
      <c r="AF25" s="236">
        <f t="shared" si="35"/>
        <v>11.100947061446938</v>
      </c>
      <c r="AG25" s="236">
        <f t="shared" si="36"/>
        <v>23.943034110304133</v>
      </c>
      <c r="AH25" s="236">
        <f t="shared" si="37"/>
        <v>231.89878411362653</v>
      </c>
      <c r="AI25" s="2"/>
    </row>
    <row r="26" spans="1:35" ht="20.100000000000001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317">
        <v>50</v>
      </c>
      <c r="L26" s="318">
        <f t="shared" si="23"/>
        <v>25.73228758632867</v>
      </c>
      <c r="M26" s="318">
        <f t="shared" si="24"/>
        <v>27.23242296217845</v>
      </c>
      <c r="N26" s="318">
        <f t="shared" si="25"/>
        <v>537.5474876784059</v>
      </c>
      <c r="O26" s="2"/>
      <c r="P26" s="228">
        <v>50</v>
      </c>
      <c r="Q26" s="229">
        <f t="shared" si="26"/>
        <v>24.292085058119248</v>
      </c>
      <c r="R26" s="229">
        <f t="shared" si="27"/>
        <v>25.912414539984063</v>
      </c>
      <c r="S26" s="229">
        <f t="shared" si="28"/>
        <v>507.46165686411109</v>
      </c>
      <c r="T26" s="279"/>
      <c r="U26" s="231">
        <v>50</v>
      </c>
      <c r="V26" s="232">
        <f t="shared" si="29"/>
        <v>22.805931890505871</v>
      </c>
      <c r="W26" s="232">
        <f t="shared" si="30"/>
        <v>24.518612877449982</v>
      </c>
      <c r="X26" s="232">
        <f t="shared" si="31"/>
        <v>476.41591719266768</v>
      </c>
      <c r="Y26" s="230"/>
      <c r="Z26" s="233">
        <v>50</v>
      </c>
      <c r="AA26" s="234">
        <f t="shared" si="32"/>
        <v>21.272809896158638</v>
      </c>
      <c r="AB26" s="234">
        <f t="shared" si="33"/>
        <v>23.047627676132571</v>
      </c>
      <c r="AC26" s="234">
        <f t="shared" si="34"/>
        <v>444.38899873075394</v>
      </c>
      <c r="AD26" s="279"/>
      <c r="AE26" s="235">
        <v>50</v>
      </c>
      <c r="AF26" s="236">
        <f t="shared" si="35"/>
        <v>19.691698048668432</v>
      </c>
      <c r="AG26" s="236">
        <f t="shared" si="36"/>
        <v>21.49620480307382</v>
      </c>
      <c r="AH26" s="236">
        <f t="shared" si="37"/>
        <v>411.35957223668356</v>
      </c>
      <c r="AI26" s="2"/>
    </row>
    <row r="27" spans="1:35" ht="20.100000000000001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317">
        <v>100</v>
      </c>
      <c r="L27" s="318">
        <f t="shared" si="23"/>
        <v>48.248512904972969</v>
      </c>
      <c r="M27" s="318">
        <f t="shared" si="24"/>
        <v>25.756618066993262</v>
      </c>
      <c r="N27" s="318">
        <f t="shared" si="25"/>
        <v>1007.9114345848853</v>
      </c>
      <c r="O27" s="2"/>
      <c r="P27" s="228">
        <v>100</v>
      </c>
      <c r="Q27" s="229">
        <f t="shared" si="26"/>
        <v>44.921032409231493</v>
      </c>
      <c r="R27" s="229">
        <f t="shared" si="27"/>
        <v>24.190108341120954</v>
      </c>
      <c r="S27" s="229">
        <f t="shared" si="28"/>
        <v>938.40036702884595</v>
      </c>
      <c r="T27" s="279"/>
      <c r="U27" s="231">
        <v>100</v>
      </c>
      <c r="V27" s="232">
        <f t="shared" si="29"/>
        <v>41.592225489230614</v>
      </c>
      <c r="W27" s="232">
        <f t="shared" si="30"/>
        <v>22.583513108771893</v>
      </c>
      <c r="X27" s="232">
        <f t="shared" si="31"/>
        <v>868.86159047002752</v>
      </c>
      <c r="Y27" s="230"/>
      <c r="Z27" s="233">
        <v>100</v>
      </c>
      <c r="AA27" s="234">
        <f t="shared" si="32"/>
        <v>38.262081733544846</v>
      </c>
      <c r="AB27" s="234">
        <f t="shared" si="33"/>
        <v>20.937891105481722</v>
      </c>
      <c r="AC27" s="234">
        <f t="shared" si="34"/>
        <v>799.29488741375189</v>
      </c>
      <c r="AD27" s="279"/>
      <c r="AE27" s="235">
        <v>100</v>
      </c>
      <c r="AF27" s="236">
        <f t="shared" si="35"/>
        <v>34.93062077438551</v>
      </c>
      <c r="AG27" s="236">
        <f t="shared" si="36"/>
        <v>19.254625315639661</v>
      </c>
      <c r="AH27" s="236">
        <f t="shared" si="37"/>
        <v>729.70066797691334</v>
      </c>
      <c r="AI27" s="2"/>
    </row>
    <row r="28" spans="1:35" ht="20.100000000000001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317">
        <v>200</v>
      </c>
      <c r="L28" s="318">
        <f t="shared" si="23"/>
        <v>90.466849856681392</v>
      </c>
      <c r="M28" s="318">
        <f t="shared" si="24"/>
        <v>24.338868593909204</v>
      </c>
      <c r="N28" s="318">
        <f t="shared" si="25"/>
        <v>1889.8524935060743</v>
      </c>
      <c r="O28" s="2"/>
      <c r="P28" s="228">
        <v>200</v>
      </c>
      <c r="Q28" s="229">
        <f t="shared" si="26"/>
        <v>83.068174176212779</v>
      </c>
      <c r="R28" s="229">
        <f t="shared" si="27"/>
        <v>22.555109048856966</v>
      </c>
      <c r="S28" s="229">
        <f t="shared" si="28"/>
        <v>1735.2941585410849</v>
      </c>
      <c r="T28" s="279"/>
      <c r="U28" s="231">
        <v>200</v>
      </c>
      <c r="V28" s="232">
        <f t="shared" si="29"/>
        <v>75.853651999511968</v>
      </c>
      <c r="W28" s="232">
        <f t="shared" si="30"/>
        <v>20.770146659777783</v>
      </c>
      <c r="X28" s="232">
        <f t="shared" si="31"/>
        <v>1584.5827902698049</v>
      </c>
      <c r="Y28" s="230"/>
      <c r="Z28" s="233">
        <v>200</v>
      </c>
      <c r="AA28" s="234">
        <f t="shared" si="32"/>
        <v>68.819629646050061</v>
      </c>
      <c r="AB28" s="234">
        <f t="shared" si="33"/>
        <v>18.988245341938846</v>
      </c>
      <c r="AC28" s="234">
        <f t="shared" si="34"/>
        <v>1437.6420633059859</v>
      </c>
      <c r="AD28" s="279"/>
      <c r="AE28" s="235">
        <v>200</v>
      </c>
      <c r="AF28" s="236">
        <f t="shared" si="35"/>
        <v>61.962572484521708</v>
      </c>
      <c r="AG28" s="236">
        <f t="shared" si="36"/>
        <v>17.213653542845737</v>
      </c>
      <c r="AH28" s="236">
        <f t="shared" si="37"/>
        <v>1294.3981392016585</v>
      </c>
      <c r="AI28" s="2"/>
    </row>
    <row r="29" spans="1:35" ht="20.100000000000001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317">
        <v>300</v>
      </c>
      <c r="L29" s="318">
        <f t="shared" si="23"/>
        <v>130.67348357440372</v>
      </c>
      <c r="M29" s="318">
        <f t="shared" si="24"/>
        <v>23.536895266354165</v>
      </c>
      <c r="N29" s="318">
        <f t="shared" si="25"/>
        <v>2729.7690718692938</v>
      </c>
      <c r="O29" s="2"/>
      <c r="P29" s="228">
        <v>300</v>
      </c>
      <c r="Q29" s="229">
        <f t="shared" si="26"/>
        <v>119.01750467529803</v>
      </c>
      <c r="R29" s="229">
        <f t="shared" si="27"/>
        <v>21.639466011997943</v>
      </c>
      <c r="S29" s="229">
        <f t="shared" si="28"/>
        <v>2486.2756726669759</v>
      </c>
      <c r="T29" s="279"/>
      <c r="U29" s="231">
        <v>300</v>
      </c>
      <c r="V29" s="232">
        <f t="shared" si="29"/>
        <v>107.80299966167831</v>
      </c>
      <c r="W29" s="232">
        <f t="shared" si="30"/>
        <v>19.765561761301736</v>
      </c>
      <c r="X29" s="232">
        <f t="shared" si="31"/>
        <v>2252.0046629324602</v>
      </c>
      <c r="Y29" s="230"/>
      <c r="Z29" s="233">
        <v>300</v>
      </c>
      <c r="AA29" s="234">
        <f t="shared" si="32"/>
        <v>97.016333282059421</v>
      </c>
      <c r="AB29" s="234">
        <f t="shared" si="33"/>
        <v>17.920573344830352</v>
      </c>
      <c r="AC29" s="234">
        <f t="shared" si="34"/>
        <v>2026.6712022622214</v>
      </c>
      <c r="AD29" s="279"/>
      <c r="AE29" s="235">
        <v>300</v>
      </c>
      <c r="AF29" s="236">
        <f t="shared" si="35"/>
        <v>86.644328479261361</v>
      </c>
      <c r="AG29" s="236">
        <f t="shared" si="36"/>
        <v>16.109480499466244</v>
      </c>
      <c r="AH29" s="236">
        <f t="shared" si="37"/>
        <v>1810.0000219317699</v>
      </c>
      <c r="AI29" s="2"/>
    </row>
    <row r="30" spans="1:35" ht="20.100000000000001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317">
        <v>400</v>
      </c>
      <c r="L30" s="318">
        <f t="shared" si="23"/>
        <v>169.62700879735894</v>
      </c>
      <c r="M30" s="318">
        <f>DEGREES(ATAN(L30/K30))</f>
        <v>22.980223626821253</v>
      </c>
      <c r="N30" s="318">
        <f t="shared" si="25"/>
        <v>3543.5082137768281</v>
      </c>
      <c r="O30" s="2"/>
      <c r="P30" s="228">
        <v>400</v>
      </c>
      <c r="Q30" s="229">
        <f t="shared" si="26"/>
        <v>153.61003946008088</v>
      </c>
      <c r="R30" s="229">
        <f>DEGREES(ATAN(Q30/P30))</f>
        <v>21.008042668063116</v>
      </c>
      <c r="S30" s="229">
        <f t="shared" si="28"/>
        <v>3208.9137243210898</v>
      </c>
      <c r="T30" s="279"/>
      <c r="U30" s="231">
        <v>400</v>
      </c>
      <c r="V30" s="232">
        <f t="shared" si="29"/>
        <v>138.33778918978209</v>
      </c>
      <c r="W30" s="232">
        <f>DEGREES(ATAN(V30/U30))</f>
        <v>19.077661391109523</v>
      </c>
      <c r="X30" s="232">
        <f t="shared" si="31"/>
        <v>2889.876416174548</v>
      </c>
      <c r="Y30" s="230"/>
      <c r="Z30" s="233">
        <v>400</v>
      </c>
      <c r="AA30" s="234">
        <f t="shared" si="32"/>
        <v>123.78159289925037</v>
      </c>
      <c r="AB30" s="234">
        <f>DEGREES(ATAN(AA30/Z30))</f>
        <v>17.194890125994032</v>
      </c>
      <c r="AC30" s="234">
        <f t="shared" si="34"/>
        <v>2585.7974756653402</v>
      </c>
      <c r="AD30" s="279"/>
      <c r="AE30" s="235">
        <v>400</v>
      </c>
      <c r="AF30" s="236">
        <f t="shared" si="35"/>
        <v>109.91388941232316</v>
      </c>
      <c r="AG30" s="236">
        <f>DEGREES(ATAN(AF30/AE30))</f>
        <v>15.364783393525956</v>
      </c>
      <c r="AH30" s="236">
        <f t="shared" si="37"/>
        <v>2296.1011498234307</v>
      </c>
      <c r="AI30" s="2"/>
    </row>
    <row r="31" spans="1:35" ht="21" customHeight="1" thickBo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32"/>
      <c r="U31" s="2"/>
      <c r="V31" s="2"/>
      <c r="W31" s="2"/>
      <c r="X31" s="2"/>
      <c r="Y31" s="2"/>
      <c r="Z31" s="2"/>
      <c r="AA31" s="2"/>
      <c r="AB31" s="2"/>
      <c r="AC31" s="2"/>
      <c r="AD31" s="132"/>
      <c r="AE31" s="2"/>
      <c r="AF31" s="2"/>
      <c r="AG31" s="2"/>
      <c r="AH31" s="2"/>
      <c r="AI31" s="2"/>
    </row>
    <row r="32" spans="1:35" ht="20.100000000000001" customHeight="1" x14ac:dyDescent="0.3">
      <c r="A32" s="2"/>
      <c r="B32" s="132"/>
      <c r="C32" s="2"/>
      <c r="D32" s="2"/>
      <c r="E32" s="2"/>
      <c r="F32" s="2"/>
      <c r="G32" s="2"/>
      <c r="H32" s="2"/>
      <c r="I32" s="2"/>
      <c r="J32" s="2"/>
      <c r="K32" s="457" t="s">
        <v>111</v>
      </c>
      <c r="L32" s="458"/>
      <c r="M32" s="458"/>
      <c r="N32" s="459"/>
      <c r="O32" s="2"/>
      <c r="P32" s="463" t="s">
        <v>92</v>
      </c>
      <c r="Q32" s="464"/>
      <c r="R32" s="464"/>
      <c r="S32" s="465"/>
      <c r="T32" s="132"/>
      <c r="U32" s="493" t="s">
        <v>106</v>
      </c>
      <c r="V32" s="494"/>
      <c r="W32" s="494"/>
      <c r="X32" s="495"/>
      <c r="Y32" s="132"/>
      <c r="Z32" s="475" t="s">
        <v>105</v>
      </c>
      <c r="AA32" s="476"/>
      <c r="AB32" s="476"/>
      <c r="AC32" s="477"/>
      <c r="AD32" s="132"/>
      <c r="AE32" s="481" t="s">
        <v>104</v>
      </c>
      <c r="AF32" s="482"/>
      <c r="AG32" s="482"/>
      <c r="AH32" s="483"/>
      <c r="AI32" s="2"/>
    </row>
    <row r="33" spans="1:35" ht="22.5" customHeight="1" thickBot="1" x14ac:dyDescent="0.4">
      <c r="A33" s="2"/>
      <c r="B33" s="132"/>
      <c r="C33" s="2"/>
      <c r="D33" s="2"/>
      <c r="E33" s="2"/>
      <c r="F33" s="2"/>
      <c r="G33" s="179"/>
      <c r="H33" s="100"/>
      <c r="I33" s="2"/>
      <c r="J33" s="2"/>
      <c r="K33" s="460"/>
      <c r="L33" s="461"/>
      <c r="M33" s="461"/>
      <c r="N33" s="462"/>
      <c r="O33" s="2"/>
      <c r="P33" s="466"/>
      <c r="Q33" s="467"/>
      <c r="R33" s="467"/>
      <c r="S33" s="468"/>
      <c r="T33" s="132"/>
      <c r="U33" s="496"/>
      <c r="V33" s="497"/>
      <c r="W33" s="497"/>
      <c r="X33" s="498"/>
      <c r="Y33" s="132"/>
      <c r="Z33" s="478"/>
      <c r="AA33" s="479"/>
      <c r="AB33" s="479"/>
      <c r="AC33" s="480"/>
      <c r="AD33" s="132"/>
      <c r="AE33" s="484"/>
      <c r="AF33" s="485"/>
      <c r="AG33" s="485"/>
      <c r="AH33" s="486"/>
      <c r="AI33" s="2"/>
    </row>
    <row r="34" spans="1:35" ht="19.350000000000001" customHeight="1" x14ac:dyDescent="0.3">
      <c r="A34" s="2"/>
      <c r="B34" s="132"/>
      <c r="C34" s="2"/>
      <c r="D34" s="2"/>
      <c r="E34" s="2"/>
      <c r="F34" s="2"/>
      <c r="G34" s="2"/>
      <c r="H34" s="103"/>
      <c r="I34" s="2"/>
      <c r="J34" s="2"/>
      <c r="K34" s="378" t="s">
        <v>31</v>
      </c>
      <c r="L34" s="379"/>
      <c r="M34" s="148"/>
      <c r="N34" s="149"/>
      <c r="O34" s="2"/>
      <c r="P34" s="378" t="s">
        <v>31</v>
      </c>
      <c r="Q34" s="379"/>
      <c r="R34" s="148"/>
      <c r="S34" s="149"/>
      <c r="T34" s="132"/>
      <c r="U34" s="378" t="s">
        <v>31</v>
      </c>
      <c r="V34" s="379"/>
      <c r="W34" s="148"/>
      <c r="X34" s="149"/>
      <c r="Y34" s="2"/>
      <c r="Z34" s="378" t="s">
        <v>31</v>
      </c>
      <c r="AA34" s="379"/>
      <c r="AB34" s="148"/>
      <c r="AC34" s="149"/>
      <c r="AD34" s="132"/>
      <c r="AE34" s="378" t="s">
        <v>31</v>
      </c>
      <c r="AF34" s="379"/>
      <c r="AG34" s="148"/>
      <c r="AH34" s="149"/>
      <c r="AI34" s="2"/>
    </row>
    <row r="35" spans="1:35" ht="19.350000000000001" customHeight="1" x14ac:dyDescent="0.3">
      <c r="A35" s="2"/>
      <c r="B35" s="132"/>
      <c r="C35" s="2"/>
      <c r="D35" s="2"/>
      <c r="E35" s="2"/>
      <c r="F35" s="2"/>
      <c r="G35" s="2"/>
      <c r="H35" s="99"/>
      <c r="I35" s="2"/>
      <c r="J35" s="2"/>
      <c r="K35" s="150" t="s">
        <v>32</v>
      </c>
      <c r="L35" s="94" t="s">
        <v>33</v>
      </c>
      <c r="M35" s="132"/>
      <c r="N35" s="149"/>
      <c r="O35" s="2"/>
      <c r="P35" s="150" t="s">
        <v>32</v>
      </c>
      <c r="Q35" s="94" t="s">
        <v>33</v>
      </c>
      <c r="R35" s="132"/>
      <c r="S35" s="149"/>
      <c r="T35" s="132"/>
      <c r="U35" s="150" t="s">
        <v>32</v>
      </c>
      <c r="V35" s="94" t="s">
        <v>33</v>
      </c>
      <c r="W35" s="132"/>
      <c r="X35" s="149"/>
      <c r="Y35" s="2"/>
      <c r="Z35" s="150" t="s">
        <v>32</v>
      </c>
      <c r="AA35" s="94" t="s">
        <v>33</v>
      </c>
      <c r="AB35" s="132"/>
      <c r="AC35" s="149"/>
      <c r="AD35" s="132"/>
      <c r="AE35" s="150" t="s">
        <v>32</v>
      </c>
      <c r="AF35" s="94" t="s">
        <v>33</v>
      </c>
      <c r="AG35" s="132"/>
      <c r="AH35" s="149"/>
      <c r="AI35" s="2"/>
    </row>
    <row r="36" spans="1:35" ht="19.350000000000001" customHeight="1" x14ac:dyDescent="0.3">
      <c r="A36" s="2"/>
      <c r="B36" s="132"/>
      <c r="C36" s="2"/>
      <c r="D36" s="2"/>
      <c r="E36" s="2"/>
      <c r="F36" s="2"/>
      <c r="G36" s="2"/>
      <c r="H36" s="99"/>
      <c r="I36" s="2"/>
      <c r="J36" s="2"/>
      <c r="K36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+0.02)))</f>
        <v>0.246752452280142</v>
      </c>
      <c r="L36" s="526">
        <f>IF($B$5&lt;15,"NA",IF($B$5&lt;=250,(1.07-0.0083*$B$5+0.0000836*($B$5)^2-0.0000003027*($B$5)^3+0.000000000376*$B$5^4+0.0533333),"NA"))</f>
        <v>0.88184580000000001</v>
      </c>
      <c r="M36" s="132"/>
      <c r="N36" s="153"/>
      <c r="O36" s="2"/>
      <c r="P36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)))</f>
        <v>0.22675245228014201</v>
      </c>
      <c r="Q36" s="526">
        <f>IF($B$5&lt;15,"NA",IF($B$5&lt;=250,(1.07-0.0083*$B$5+0.0000836*($B$5)^2-0.0000003027*($B$5)^3+0.000000000376*$B$5^4),"NA"))</f>
        <v>0.82851249999999999</v>
      </c>
      <c r="R36" s="132"/>
      <c r="S36" s="153"/>
      <c r="T36" s="132"/>
      <c r="U36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-0.02)))</f>
        <v>0.20675245228014202</v>
      </c>
      <c r="V36" s="526">
        <f>IF($B$5&lt;15,"NA",IF($B$5&lt;=250,(1.07-0.0083*$B$5+0.0000836*($B$5)^2-0.0000003027*($B$5)^3+0.000000000376*$B$5^4-0.0533333),"NA"))</f>
        <v>0.77517919999999996</v>
      </c>
      <c r="W36" s="132"/>
      <c r="X36" s="153"/>
      <c r="Y36" s="2"/>
      <c r="Z36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-0.04)))</f>
        <v>0.18675245228014201</v>
      </c>
      <c r="AA36" s="526">
        <f>IF($B$5&lt;15,"NA",IF($B$5&lt;=250,(1.07-0.0083*$B$5+0.0000836*($B$5)^2-0.0000003027*($B$5)^3+0.000000000376*$B$5^4-0.10666666667),"NA"))</f>
        <v>0.72184583332999996</v>
      </c>
      <c r="AB36" s="132"/>
      <c r="AC36" s="153"/>
      <c r="AD36" s="132"/>
      <c r="AE36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-0.06)))</f>
        <v>0.16675245228014202</v>
      </c>
      <c r="AF36" s="526">
        <f>IF($B$5&lt;15,"NA",IF($B$5&lt;=250,(1.07-0.0083*$B$5+0.0000836*($B$5)^2-0.0000003027*($B$5)^3+0.000000000376*$B$5^4-0.16),"NA"))</f>
        <v>0.66851249999999995</v>
      </c>
      <c r="AG36" s="132"/>
      <c r="AH36" s="153"/>
      <c r="AI36" s="2"/>
    </row>
    <row r="37" spans="1:35" ht="21.9" customHeight="1" x14ac:dyDescent="0.55000000000000004">
      <c r="A37" s="2"/>
      <c r="B37" s="132"/>
      <c r="C37" s="2"/>
      <c r="D37" s="2"/>
      <c r="E37" s="2"/>
      <c r="F37" s="2"/>
      <c r="G37" s="2"/>
      <c r="H37" s="167"/>
      <c r="I37" s="168"/>
      <c r="J37" s="168"/>
      <c r="K37" s="151" t="s">
        <v>34</v>
      </c>
      <c r="L37" s="96" t="s">
        <v>35</v>
      </c>
      <c r="M37" s="97" t="s">
        <v>36</v>
      </c>
      <c r="N37" s="152" t="s">
        <v>79</v>
      </c>
      <c r="O37" s="2"/>
      <c r="P37" s="151" t="s">
        <v>34</v>
      </c>
      <c r="Q37" s="96" t="s">
        <v>35</v>
      </c>
      <c r="R37" s="97" t="s">
        <v>36</v>
      </c>
      <c r="S37" s="152" t="s">
        <v>79</v>
      </c>
      <c r="T37" s="132"/>
      <c r="U37" s="151" t="s">
        <v>34</v>
      </c>
      <c r="V37" s="96" t="s">
        <v>35</v>
      </c>
      <c r="W37" s="97" t="s">
        <v>36</v>
      </c>
      <c r="X37" s="152" t="s">
        <v>79</v>
      </c>
      <c r="Y37" s="2"/>
      <c r="Z37" s="151" t="s">
        <v>34</v>
      </c>
      <c r="AA37" s="96" t="s">
        <v>35</v>
      </c>
      <c r="AB37" s="97" t="s">
        <v>36</v>
      </c>
      <c r="AC37" s="152" t="s">
        <v>79</v>
      </c>
      <c r="AD37" s="132"/>
      <c r="AE37" s="151" t="s">
        <v>34</v>
      </c>
      <c r="AF37" s="96" t="s">
        <v>35</v>
      </c>
      <c r="AG37" s="97" t="s">
        <v>36</v>
      </c>
      <c r="AH37" s="152" t="s">
        <v>79</v>
      </c>
      <c r="AI37" s="2"/>
    </row>
    <row r="38" spans="1:35" ht="21.9" customHeight="1" x14ac:dyDescent="0.55000000000000004">
      <c r="A38" s="2"/>
      <c r="B38" s="132"/>
      <c r="C38" s="2"/>
      <c r="D38" s="2"/>
      <c r="E38" s="2"/>
      <c r="F38" s="2"/>
      <c r="G38" s="2"/>
      <c r="H38" s="167"/>
      <c r="I38" s="168"/>
      <c r="J38" s="168"/>
      <c r="K38" s="319">
        <v>0</v>
      </c>
      <c r="L38" s="320">
        <v>0</v>
      </c>
      <c r="M38" s="320">
        <v>0</v>
      </c>
      <c r="N38" s="321">
        <f>L38*20.89</f>
        <v>0</v>
      </c>
      <c r="O38" s="2"/>
      <c r="P38" s="253">
        <v>0</v>
      </c>
      <c r="Q38" s="254">
        <v>0</v>
      </c>
      <c r="R38" s="254">
        <v>0</v>
      </c>
      <c r="S38" s="255">
        <f>Q38*20.89</f>
        <v>0</v>
      </c>
      <c r="T38" s="256"/>
      <c r="U38" s="257">
        <v>0</v>
      </c>
      <c r="V38" s="258">
        <v>0</v>
      </c>
      <c r="W38" s="258">
        <v>0</v>
      </c>
      <c r="X38" s="259">
        <f>V38*20.89</f>
        <v>0</v>
      </c>
      <c r="Y38" s="260"/>
      <c r="Z38" s="261">
        <v>0</v>
      </c>
      <c r="AA38" s="262">
        <v>0</v>
      </c>
      <c r="AB38" s="262">
        <v>0</v>
      </c>
      <c r="AC38" s="263">
        <f>AA38*20.89</f>
        <v>0</v>
      </c>
      <c r="AD38" s="256"/>
      <c r="AE38" s="264">
        <v>0</v>
      </c>
      <c r="AF38" s="265">
        <v>0</v>
      </c>
      <c r="AG38" s="265">
        <v>0</v>
      </c>
      <c r="AH38" s="266">
        <f>AF38*20.89</f>
        <v>0</v>
      </c>
      <c r="AI38" s="2"/>
    </row>
    <row r="39" spans="1:35" ht="21.9" customHeight="1" x14ac:dyDescent="0.55000000000000004">
      <c r="A39" s="2"/>
      <c r="B39" s="132"/>
      <c r="C39" s="2"/>
      <c r="D39" s="2"/>
      <c r="E39" s="2"/>
      <c r="F39" s="2"/>
      <c r="G39" s="2"/>
      <c r="H39" s="167"/>
      <c r="I39" s="168"/>
      <c r="J39" s="168"/>
      <c r="K39" s="319">
        <v>5</v>
      </c>
      <c r="L39" s="320">
        <f t="shared" ref="L39:L47" si="38">K$36*101*(K39/101)^L$36</f>
        <v>1.7598037085768663</v>
      </c>
      <c r="M39" s="320">
        <f t="shared" ref="M39:M41" si="39">DEGREES(ATAN(L39/K39))</f>
        <v>19.390067128389532</v>
      </c>
      <c r="N39" s="321">
        <f t="shared" ref="N39:N47" si="40">L39*20.89</f>
        <v>36.762299472170739</v>
      </c>
      <c r="O39" s="2"/>
      <c r="P39" s="253">
        <v>5</v>
      </c>
      <c r="Q39" s="254">
        <f t="shared" ref="Q39:Q47" si="41">P$36*101*(P39/101)^Q$36</f>
        <v>1.8983375565371832</v>
      </c>
      <c r="R39" s="254">
        <f t="shared" ref="R39:R47" si="42">DEGREES(ATAN(Q39/P39))</f>
        <v>20.790142723893222</v>
      </c>
      <c r="S39" s="255">
        <f t="shared" ref="S39:S47" si="43">Q39*20.89</f>
        <v>39.65627155606176</v>
      </c>
      <c r="T39" s="256"/>
      <c r="U39" s="257">
        <v>5</v>
      </c>
      <c r="V39" s="258">
        <f t="shared" ref="V39:V47" si="44">U$36*101*(U39/101)^V$36</f>
        <v>2.0318461150037672</v>
      </c>
      <c r="W39" s="258">
        <f t="shared" ref="W39:W47" si="45">DEGREES(ATAN(V39/U39))</f>
        <v>22.115311401040262</v>
      </c>
      <c r="X39" s="259">
        <f t="shared" ref="X39:X47" si="46">V39*20.89</f>
        <v>42.445265342428698</v>
      </c>
      <c r="Y39" s="260"/>
      <c r="Z39" s="261">
        <v>5</v>
      </c>
      <c r="AA39" s="262">
        <f t="shared" ref="AA39:AA47" si="47">Z$36*101*(Z39/101)^AA$36</f>
        <v>2.1543945414459613</v>
      </c>
      <c r="AB39" s="262">
        <f t="shared" ref="AB39:AB47" si="48">DEGREES(ATAN(AA39/Z39))</f>
        <v>23.310190816943138</v>
      </c>
      <c r="AC39" s="263">
        <f t="shared" ref="AC39:AC47" si="49">AA39*20.89</f>
        <v>45.00530197080613</v>
      </c>
      <c r="AD39" s="256"/>
      <c r="AE39" s="264">
        <v>5</v>
      </c>
      <c r="AF39" s="265">
        <f t="shared" ref="AF39:AF47" si="50">AE$36*101*(AE39/101)^AF$36</f>
        <v>2.2581349671055095</v>
      </c>
      <c r="AG39" s="265">
        <f t="shared" ref="AG39:AG47" si="51">DEGREES(ATAN(AF39/AE39))</f>
        <v>24.305219810087316</v>
      </c>
      <c r="AH39" s="266">
        <f t="shared" ref="AH39:AH47" si="52">AF39*20.89</f>
        <v>47.172439462834099</v>
      </c>
      <c r="AI39" s="2"/>
    </row>
    <row r="40" spans="1:35" ht="21.9" customHeight="1" x14ac:dyDescent="0.55000000000000004">
      <c r="A40" s="2"/>
      <c r="B40" s="132"/>
      <c r="C40" s="2"/>
      <c r="D40" s="2"/>
      <c r="E40" s="2"/>
      <c r="F40" s="2"/>
      <c r="G40" s="2"/>
      <c r="H40" s="167"/>
      <c r="I40" s="168"/>
      <c r="J40" s="168"/>
      <c r="K40" s="319">
        <v>10</v>
      </c>
      <c r="L40" s="320">
        <f t="shared" si="38"/>
        <v>3.2428455598432318</v>
      </c>
      <c r="M40" s="320">
        <f t="shared" si="39"/>
        <v>17.967078020157071</v>
      </c>
      <c r="N40" s="321">
        <f t="shared" si="40"/>
        <v>67.743043745125107</v>
      </c>
      <c r="O40" s="2"/>
      <c r="P40" s="253">
        <v>10</v>
      </c>
      <c r="Q40" s="254">
        <f t="shared" si="41"/>
        <v>3.371169228786941</v>
      </c>
      <c r="R40" s="254">
        <f t="shared" si="42"/>
        <v>18.629832204021536</v>
      </c>
      <c r="S40" s="255">
        <f t="shared" si="43"/>
        <v>70.423725189359203</v>
      </c>
      <c r="T40" s="256"/>
      <c r="U40" s="257">
        <v>10</v>
      </c>
      <c r="V40" s="258">
        <f t="shared" si="44"/>
        <v>3.4773067542143603</v>
      </c>
      <c r="W40" s="258">
        <f t="shared" si="45"/>
        <v>19.17413119879906</v>
      </c>
      <c r="X40" s="259">
        <f t="shared" si="46"/>
        <v>72.64093809553799</v>
      </c>
      <c r="Y40" s="260"/>
      <c r="Z40" s="261">
        <v>10</v>
      </c>
      <c r="AA40" s="262">
        <f t="shared" si="47"/>
        <v>3.5532231921429749</v>
      </c>
      <c r="AB40" s="262">
        <f t="shared" si="48"/>
        <v>19.561261299747454</v>
      </c>
      <c r="AC40" s="263">
        <f t="shared" si="49"/>
        <v>74.226832483866744</v>
      </c>
      <c r="AD40" s="256"/>
      <c r="AE40" s="264">
        <v>10</v>
      </c>
      <c r="AF40" s="265">
        <f t="shared" si="50"/>
        <v>3.5891549734022647</v>
      </c>
      <c r="AG40" s="265">
        <f t="shared" si="51"/>
        <v>19.743849008561778</v>
      </c>
      <c r="AH40" s="266">
        <f t="shared" si="52"/>
        <v>74.977447394373314</v>
      </c>
      <c r="AI40" s="2"/>
    </row>
    <row r="41" spans="1:35" ht="21.9" customHeight="1" x14ac:dyDescent="0.55000000000000004">
      <c r="A41" s="2"/>
      <c r="B41" s="132"/>
      <c r="C41" s="251"/>
      <c r="D41" s="406" t="s">
        <v>44</v>
      </c>
      <c r="E41" s="407"/>
      <c r="F41" s="407"/>
      <c r="G41" s="2"/>
      <c r="H41" s="167"/>
      <c r="I41" s="168"/>
      <c r="J41" s="168"/>
      <c r="K41" s="319">
        <v>25</v>
      </c>
      <c r="L41" s="320">
        <f t="shared" si="38"/>
        <v>7.2752511664046775</v>
      </c>
      <c r="M41" s="320">
        <f t="shared" si="39"/>
        <v>16.22552656646711</v>
      </c>
      <c r="N41" s="321">
        <f t="shared" si="40"/>
        <v>151.97999686619372</v>
      </c>
      <c r="O41" s="2"/>
      <c r="P41" s="253">
        <v>25</v>
      </c>
      <c r="Q41" s="254">
        <f t="shared" si="41"/>
        <v>7.2024263430590985</v>
      </c>
      <c r="R41" s="254">
        <f t="shared" si="42"/>
        <v>16.071535265283661</v>
      </c>
      <c r="S41" s="255">
        <f t="shared" si="43"/>
        <v>150.45868630650457</v>
      </c>
      <c r="T41" s="256"/>
      <c r="U41" s="257">
        <v>25</v>
      </c>
      <c r="V41" s="258">
        <f t="shared" si="44"/>
        <v>7.0748595338089499</v>
      </c>
      <c r="W41" s="258">
        <f t="shared" si="45"/>
        <v>15.801215012487594</v>
      </c>
      <c r="X41" s="259">
        <f t="shared" si="46"/>
        <v>147.79381566126898</v>
      </c>
      <c r="Y41" s="260"/>
      <c r="Z41" s="261">
        <v>25</v>
      </c>
      <c r="AA41" s="262">
        <f t="shared" si="47"/>
        <v>6.8845225263032752</v>
      </c>
      <c r="AB41" s="262">
        <f t="shared" si="48"/>
        <v>15.396538892476439</v>
      </c>
      <c r="AC41" s="263">
        <f t="shared" si="49"/>
        <v>143.81767557447543</v>
      </c>
      <c r="AD41" s="256"/>
      <c r="AE41" s="264">
        <v>25</v>
      </c>
      <c r="AF41" s="265">
        <f t="shared" si="50"/>
        <v>6.622471238993163</v>
      </c>
      <c r="AG41" s="265">
        <f t="shared" si="51"/>
        <v>14.836811712106316</v>
      </c>
      <c r="AH41" s="266">
        <f t="shared" si="52"/>
        <v>138.34342418256719</v>
      </c>
      <c r="AI41" s="2"/>
    </row>
    <row r="42" spans="1:35" ht="21.9" customHeight="1" x14ac:dyDescent="0.55000000000000004">
      <c r="A42" s="2"/>
      <c r="B42" s="132"/>
      <c r="C42" s="169"/>
      <c r="D42" s="169"/>
      <c r="E42" s="161"/>
      <c r="F42" s="161"/>
      <c r="G42" s="2"/>
      <c r="H42" s="167"/>
      <c r="I42" s="168"/>
      <c r="J42" s="168"/>
      <c r="K42" s="319">
        <v>50</v>
      </c>
      <c r="L42" s="320">
        <f t="shared" si="38"/>
        <v>13.40633380117076</v>
      </c>
      <c r="M42" s="320">
        <f>DEGREES(ATAN(L42/K42))</f>
        <v>15.009487441812796</v>
      </c>
      <c r="N42" s="321">
        <f t="shared" si="40"/>
        <v>280.05831310645721</v>
      </c>
      <c r="O42" s="2"/>
      <c r="P42" s="253">
        <v>50</v>
      </c>
      <c r="Q42" s="254">
        <f t="shared" si="41"/>
        <v>12.790453403143058</v>
      </c>
      <c r="R42" s="254">
        <f>DEGREES(ATAN(Q42/P42))</f>
        <v>14.349069321079517</v>
      </c>
      <c r="S42" s="255">
        <f t="shared" si="43"/>
        <v>267.19257159165846</v>
      </c>
      <c r="T42" s="256"/>
      <c r="U42" s="257">
        <v>50</v>
      </c>
      <c r="V42" s="258">
        <f t="shared" si="44"/>
        <v>12.107933105940997</v>
      </c>
      <c r="W42" s="258">
        <f t="shared" si="45"/>
        <v>13.612621990743079</v>
      </c>
      <c r="X42" s="259">
        <f t="shared" si="46"/>
        <v>252.93472258310743</v>
      </c>
      <c r="Y42" s="260"/>
      <c r="Z42" s="261">
        <v>50</v>
      </c>
      <c r="AA42" s="262">
        <f t="shared" si="47"/>
        <v>11.354579969773434</v>
      </c>
      <c r="AB42" s="262">
        <f t="shared" si="48"/>
        <v>12.79439753439396</v>
      </c>
      <c r="AC42" s="263">
        <f t="shared" si="49"/>
        <v>237.19717556856705</v>
      </c>
      <c r="AD42" s="256"/>
      <c r="AE42" s="264">
        <v>50</v>
      </c>
      <c r="AF42" s="265">
        <f t="shared" si="50"/>
        <v>10.525976493828935</v>
      </c>
      <c r="AG42" s="265">
        <f t="shared" si="51"/>
        <v>11.888285735922342</v>
      </c>
      <c r="AH42" s="266">
        <f t="shared" si="52"/>
        <v>219.88764895608645</v>
      </c>
      <c r="AI42" s="2"/>
    </row>
    <row r="43" spans="1:35" ht="21.9" customHeight="1" x14ac:dyDescent="0.55000000000000004">
      <c r="A43" s="2"/>
      <c r="B43" s="132"/>
      <c r="C43" s="169"/>
      <c r="D43" s="169"/>
      <c r="E43" s="161"/>
      <c r="F43" s="161"/>
      <c r="G43" s="2"/>
      <c r="H43" s="167"/>
      <c r="I43" s="168"/>
      <c r="J43" s="168"/>
      <c r="K43" s="319">
        <v>100</v>
      </c>
      <c r="L43" s="320">
        <f t="shared" si="38"/>
        <v>24.704272316859882</v>
      </c>
      <c r="M43" s="320">
        <f t="shared" ref="M43:M47" si="53">DEGREES(ATAN(L43/K43))</f>
        <v>13.876660384650597</v>
      </c>
      <c r="N43" s="321">
        <f t="shared" si="40"/>
        <v>516.07224869920299</v>
      </c>
      <c r="O43" s="2"/>
      <c r="P43" s="253">
        <v>100</v>
      </c>
      <c r="Q43" s="254">
        <f t="shared" si="41"/>
        <v>22.713970329683306</v>
      </c>
      <c r="R43" s="254">
        <f t="shared" si="42"/>
        <v>12.79701849194776</v>
      </c>
      <c r="S43" s="255">
        <f t="shared" si="43"/>
        <v>474.49484018708426</v>
      </c>
      <c r="T43" s="256"/>
      <c r="U43" s="257">
        <v>100</v>
      </c>
      <c r="V43" s="258">
        <f t="shared" si="44"/>
        <v>20.721548378079909</v>
      </c>
      <c r="W43" s="258">
        <f t="shared" si="45"/>
        <v>11.706891419076142</v>
      </c>
      <c r="X43" s="259">
        <f t="shared" si="46"/>
        <v>432.87314561808932</v>
      </c>
      <c r="Y43" s="260"/>
      <c r="Z43" s="261">
        <v>100</v>
      </c>
      <c r="AA43" s="262">
        <f t="shared" si="47"/>
        <v>18.727004784630818</v>
      </c>
      <c r="AB43" s="262">
        <f t="shared" si="48"/>
        <v>10.606926920918063</v>
      </c>
      <c r="AC43" s="263">
        <f t="shared" si="49"/>
        <v>391.20712995093783</v>
      </c>
      <c r="AD43" s="256"/>
      <c r="AE43" s="264">
        <v>100</v>
      </c>
      <c r="AF43" s="265">
        <f t="shared" si="50"/>
        <v>16.730337837674625</v>
      </c>
      <c r="AG43" s="265">
        <f t="shared" si="51"/>
        <v>9.4978134626469384</v>
      </c>
      <c r="AH43" s="266">
        <f t="shared" si="52"/>
        <v>349.49675742902292</v>
      </c>
      <c r="AI43" s="2"/>
    </row>
    <row r="44" spans="1:35" ht="21.9" customHeight="1" x14ac:dyDescent="0.55000000000000004">
      <c r="A44" s="2"/>
      <c r="B44" s="132"/>
      <c r="C44" s="169"/>
      <c r="D44" s="169"/>
      <c r="E44" s="161"/>
      <c r="F44" s="161"/>
      <c r="G44" s="2"/>
      <c r="H44" s="167"/>
      <c r="I44" s="168"/>
      <c r="J44" s="168"/>
      <c r="K44" s="319">
        <v>200</v>
      </c>
      <c r="L44" s="320">
        <f t="shared" si="38"/>
        <v>45.523338427711877</v>
      </c>
      <c r="M44" s="320">
        <f t="shared" si="53"/>
        <v>12.823004443414034</v>
      </c>
      <c r="N44" s="321">
        <f t="shared" si="40"/>
        <v>950.98253975490115</v>
      </c>
      <c r="O44" s="2"/>
      <c r="P44" s="253">
        <v>200</v>
      </c>
      <c r="Q44" s="254">
        <f t="shared" si="41"/>
        <v>40.336681732561026</v>
      </c>
      <c r="R44" s="254">
        <f t="shared" si="42"/>
        <v>11.40264489018862</v>
      </c>
      <c r="S44" s="255">
        <f t="shared" si="43"/>
        <v>842.63328139319981</v>
      </c>
      <c r="T44" s="256"/>
      <c r="U44" s="257">
        <v>200</v>
      </c>
      <c r="V44" s="258">
        <f t="shared" si="44"/>
        <v>35.462912078232499</v>
      </c>
      <c r="W44" s="258">
        <f t="shared" si="45"/>
        <v>10.054868643598089</v>
      </c>
      <c r="X44" s="259">
        <f t="shared" si="46"/>
        <v>740.82023331427695</v>
      </c>
      <c r="Y44" s="260"/>
      <c r="Z44" s="261">
        <v>200</v>
      </c>
      <c r="AA44" s="262">
        <f t="shared" si="47"/>
        <v>30.886277531812862</v>
      </c>
      <c r="AB44" s="262">
        <f t="shared" si="48"/>
        <v>8.778915512587286</v>
      </c>
      <c r="AC44" s="263">
        <f t="shared" si="49"/>
        <v>645.21433763957066</v>
      </c>
      <c r="AD44" s="256"/>
      <c r="AE44" s="264">
        <v>200</v>
      </c>
      <c r="AF44" s="265">
        <f t="shared" si="50"/>
        <v>26.591756529840886</v>
      </c>
      <c r="AG44" s="265">
        <f t="shared" si="51"/>
        <v>7.5735570116590987</v>
      </c>
      <c r="AH44" s="266">
        <f t="shared" si="52"/>
        <v>555.50179390837616</v>
      </c>
      <c r="AI44" s="2"/>
    </row>
    <row r="45" spans="1:35" ht="21.9" customHeight="1" x14ac:dyDescent="0.3">
      <c r="A45" s="2"/>
      <c r="B45" s="132"/>
      <c r="C45" s="169"/>
      <c r="D45" s="99"/>
      <c r="E45" s="99"/>
      <c r="F45" s="469" t="s">
        <v>66</v>
      </c>
      <c r="G45" s="470"/>
      <c r="H45" s="132"/>
      <c r="I45" s="132"/>
      <c r="J45" s="132"/>
      <c r="K45" s="319">
        <v>300</v>
      </c>
      <c r="L45" s="320">
        <f t="shared" si="38"/>
        <v>65.090774704268938</v>
      </c>
      <c r="M45" s="320">
        <f t="shared" si="53"/>
        <v>12.241680961637915</v>
      </c>
      <c r="N45" s="321">
        <f t="shared" si="40"/>
        <v>1359.7462835721781</v>
      </c>
      <c r="O45" s="2"/>
      <c r="P45" s="253">
        <v>300</v>
      </c>
      <c r="Q45" s="254">
        <f t="shared" si="41"/>
        <v>56.440906153863658</v>
      </c>
      <c r="R45" s="254">
        <f t="shared" si="42"/>
        <v>10.654873324622878</v>
      </c>
      <c r="S45" s="255">
        <f t="shared" si="43"/>
        <v>1179.0505295542118</v>
      </c>
      <c r="T45" s="256"/>
      <c r="U45" s="257">
        <v>300</v>
      </c>
      <c r="V45" s="258">
        <f t="shared" si="44"/>
        <v>48.559776214655464</v>
      </c>
      <c r="W45" s="258">
        <f t="shared" si="45"/>
        <v>9.1944872877213069</v>
      </c>
      <c r="X45" s="259">
        <f t="shared" si="46"/>
        <v>1014.4137251241527</v>
      </c>
      <c r="Y45" s="260"/>
      <c r="Z45" s="261">
        <v>300</v>
      </c>
      <c r="AA45" s="262">
        <f t="shared" si="47"/>
        <v>41.388178281245203</v>
      </c>
      <c r="AB45" s="262">
        <f t="shared" si="48"/>
        <v>7.8549753263363753</v>
      </c>
      <c r="AC45" s="263">
        <f t="shared" si="49"/>
        <v>864.59904429521237</v>
      </c>
      <c r="AD45" s="256"/>
      <c r="AE45" s="264">
        <v>300</v>
      </c>
      <c r="AF45" s="265">
        <f t="shared" si="50"/>
        <v>34.871147076603997</v>
      </c>
      <c r="AG45" s="265">
        <f t="shared" si="51"/>
        <v>6.630145210737207</v>
      </c>
      <c r="AH45" s="266">
        <f t="shared" si="52"/>
        <v>728.45826243025749</v>
      </c>
      <c r="AI45" s="2"/>
    </row>
    <row r="46" spans="1:35" ht="21.9" customHeight="1" x14ac:dyDescent="0.55000000000000004">
      <c r="A46" s="2"/>
      <c r="B46" s="132"/>
      <c r="C46" s="169"/>
      <c r="D46" s="404" t="s">
        <v>38</v>
      </c>
      <c r="E46" s="405"/>
      <c r="F46" s="101" t="s">
        <v>39</v>
      </c>
      <c r="G46" s="102" t="s">
        <v>40</v>
      </c>
      <c r="H46" s="167"/>
      <c r="I46" s="168"/>
      <c r="J46" s="168"/>
      <c r="K46" s="319">
        <v>400</v>
      </c>
      <c r="L46" s="320">
        <f t="shared" si="38"/>
        <v>83.887285366007688</v>
      </c>
      <c r="M46" s="320">
        <f t="shared" si="53"/>
        <v>11.844314992278878</v>
      </c>
      <c r="N46" s="321">
        <f t="shared" si="40"/>
        <v>1752.4053912959007</v>
      </c>
      <c r="O46" s="2"/>
      <c r="P46" s="253">
        <v>400</v>
      </c>
      <c r="Q46" s="254">
        <f t="shared" si="41"/>
        <v>71.632033923529761</v>
      </c>
      <c r="R46" s="254">
        <f t="shared" si="42"/>
        <v>10.152912409270872</v>
      </c>
      <c r="S46" s="255">
        <f t="shared" si="43"/>
        <v>1496.3931886625367</v>
      </c>
      <c r="T46" s="256"/>
      <c r="U46" s="257">
        <v>400</v>
      </c>
      <c r="V46" s="258">
        <f t="shared" si="44"/>
        <v>60.691320461303349</v>
      </c>
      <c r="W46" s="258">
        <f t="shared" si="45"/>
        <v>8.6275863114181881</v>
      </c>
      <c r="X46" s="259">
        <f t="shared" si="46"/>
        <v>1267.841684436627</v>
      </c>
      <c r="Y46" s="260"/>
      <c r="Z46" s="261">
        <v>400</v>
      </c>
      <c r="AA46" s="262">
        <f t="shared" si="47"/>
        <v>50.940454746670504</v>
      </c>
      <c r="AB46" s="262">
        <f t="shared" si="48"/>
        <v>7.2576154963970154</v>
      </c>
      <c r="AC46" s="263">
        <f t="shared" si="49"/>
        <v>1064.1460996579469</v>
      </c>
      <c r="AD46" s="256"/>
      <c r="AE46" s="264">
        <v>400</v>
      </c>
      <c r="AF46" s="265">
        <f t="shared" si="50"/>
        <v>42.265824049887762</v>
      </c>
      <c r="AG46" s="265">
        <f t="shared" si="51"/>
        <v>6.0317516193874123</v>
      </c>
      <c r="AH46" s="266">
        <f t="shared" si="52"/>
        <v>882.93306440215542</v>
      </c>
      <c r="AI46" s="2"/>
    </row>
    <row r="47" spans="1:35" ht="21.9" customHeight="1" thickBot="1" x14ac:dyDescent="0.6">
      <c r="A47" s="2"/>
      <c r="B47" s="132"/>
      <c r="C47" s="169"/>
      <c r="D47" s="404" t="s">
        <v>67</v>
      </c>
      <c r="E47" s="405"/>
      <c r="F47" s="104">
        <v>15</v>
      </c>
      <c r="G47" s="105">
        <v>250</v>
      </c>
      <c r="H47" s="167"/>
      <c r="I47" s="168"/>
      <c r="J47" s="168"/>
      <c r="K47" s="322">
        <v>700</v>
      </c>
      <c r="L47" s="323">
        <f t="shared" si="38"/>
        <v>137.40996313959135</v>
      </c>
      <c r="M47" s="323">
        <f t="shared" si="53"/>
        <v>11.105944532898707</v>
      </c>
      <c r="N47" s="324">
        <f t="shared" si="40"/>
        <v>2870.4941299860634</v>
      </c>
      <c r="O47" s="2"/>
      <c r="P47" s="267">
        <v>700</v>
      </c>
      <c r="Q47" s="268">
        <f t="shared" si="41"/>
        <v>113.88521447631219</v>
      </c>
      <c r="R47" s="268">
        <f t="shared" si="42"/>
        <v>9.2406686380083709</v>
      </c>
      <c r="S47" s="269">
        <f t="shared" si="43"/>
        <v>2379.0621304101614</v>
      </c>
      <c r="T47" s="256"/>
      <c r="U47" s="270">
        <v>700</v>
      </c>
      <c r="V47" s="271">
        <f t="shared" si="44"/>
        <v>93.653632472764158</v>
      </c>
      <c r="W47" s="271">
        <f t="shared" si="45"/>
        <v>7.6204007280176782</v>
      </c>
      <c r="X47" s="272">
        <f t="shared" si="46"/>
        <v>1956.4243823560432</v>
      </c>
      <c r="Y47" s="260"/>
      <c r="Z47" s="273">
        <v>700</v>
      </c>
      <c r="AA47" s="274">
        <f t="shared" si="47"/>
        <v>76.295481885204509</v>
      </c>
      <c r="AB47" s="274">
        <f t="shared" si="48"/>
        <v>6.2203160948257166</v>
      </c>
      <c r="AC47" s="275">
        <f t="shared" si="49"/>
        <v>1593.8126165819222</v>
      </c>
      <c r="AD47" s="256"/>
      <c r="AE47" s="276">
        <v>700</v>
      </c>
      <c r="AF47" s="277">
        <f t="shared" si="50"/>
        <v>61.44171284824759</v>
      </c>
      <c r="AG47" s="277">
        <f t="shared" si="51"/>
        <v>5.0162169086076673</v>
      </c>
      <c r="AH47" s="278">
        <f t="shared" si="52"/>
        <v>1283.5173813998922</v>
      </c>
      <c r="AI47" s="2"/>
    </row>
    <row r="48" spans="1:35" ht="21.9" customHeight="1" x14ac:dyDescent="0.55000000000000004">
      <c r="A48" s="2"/>
      <c r="B48" s="132"/>
      <c r="C48" s="169"/>
      <c r="D48" s="169"/>
      <c r="E48" s="161"/>
      <c r="F48" s="161"/>
      <c r="G48" s="2"/>
      <c r="H48" s="167"/>
      <c r="I48" s="168"/>
      <c r="J48" s="168"/>
      <c r="K48" s="133"/>
      <c r="L48" s="132"/>
      <c r="M48" s="132"/>
      <c r="N48" s="132"/>
      <c r="O48" s="132"/>
      <c r="P48" s="132"/>
      <c r="Q48" s="13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21.9" customHeight="1" x14ac:dyDescent="0.55000000000000004">
      <c r="A49" s="2"/>
      <c r="B49" s="132"/>
      <c r="C49" s="169"/>
      <c r="D49" s="169"/>
      <c r="E49" s="161"/>
      <c r="F49" s="161"/>
      <c r="G49" s="2"/>
      <c r="H49" s="167"/>
      <c r="I49" s="168"/>
      <c r="J49" s="168"/>
      <c r="K49" s="133"/>
      <c r="L49" s="132"/>
      <c r="M49" s="132"/>
      <c r="N49" s="132"/>
      <c r="O49" s="132"/>
      <c r="P49" s="132"/>
      <c r="Q49" s="13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idden="1" x14ac:dyDescent="0.3"/>
    <row r="51" spans="1:35" ht="18" hidden="1" x14ac:dyDescent="0.35">
      <c r="B51" s="397"/>
      <c r="C51" s="398"/>
      <c r="D51" s="398"/>
      <c r="E51" s="398"/>
      <c r="F51" s="398"/>
      <c r="G51" s="399"/>
    </row>
    <row r="52" spans="1:35" hidden="1" x14ac:dyDescent="0.3"/>
    <row r="53" spans="1:35" hidden="1" x14ac:dyDescent="0.3"/>
    <row r="54" spans="1:35" hidden="1" x14ac:dyDescent="0.3"/>
    <row r="55" spans="1:35" hidden="1" x14ac:dyDescent="0.3">
      <c r="B55" s="106"/>
      <c r="C55" s="106"/>
      <c r="D55" s="106"/>
      <c r="E55" s="106"/>
    </row>
    <row r="56" spans="1:35" hidden="1" x14ac:dyDescent="0.3">
      <c r="B56" s="107"/>
      <c r="C56" s="108"/>
      <c r="E56" s="108"/>
    </row>
    <row r="57" spans="1:35" hidden="1" x14ac:dyDescent="0.3">
      <c r="B57" s="107"/>
      <c r="C57" s="108"/>
      <c r="E57" s="108"/>
    </row>
    <row r="58" spans="1:35" hidden="1" x14ac:dyDescent="0.3">
      <c r="B58" s="107"/>
      <c r="C58" s="108"/>
      <c r="E58" s="108"/>
    </row>
    <row r="59" spans="1:35" hidden="1" x14ac:dyDescent="0.3">
      <c r="B59" s="107"/>
      <c r="C59" s="108"/>
      <c r="E59" s="108"/>
    </row>
    <row r="60" spans="1:35" hidden="1" x14ac:dyDescent="0.3">
      <c r="B60" s="107"/>
      <c r="C60" s="108"/>
      <c r="E60" s="108"/>
    </row>
    <row r="61" spans="1:35" hidden="1" x14ac:dyDescent="0.3">
      <c r="B61" s="107"/>
      <c r="C61" s="108"/>
      <c r="E61" s="108"/>
    </row>
    <row r="62" spans="1:35" hidden="1" x14ac:dyDescent="0.3">
      <c r="B62" s="107"/>
      <c r="C62" s="108"/>
      <c r="E62" s="108"/>
    </row>
    <row r="63" spans="1:35" hidden="1" x14ac:dyDescent="0.3">
      <c r="B63" s="107"/>
      <c r="C63" s="108"/>
      <c r="E63" s="108"/>
    </row>
    <row r="64" spans="1:35" hidden="1" x14ac:dyDescent="0.3">
      <c r="B64" s="107"/>
      <c r="C64" s="108"/>
      <c r="E64" s="108"/>
    </row>
    <row r="65" spans="2:12" hidden="1" x14ac:dyDescent="0.3">
      <c r="B65" s="107"/>
      <c r="C65" s="108"/>
      <c r="E65" s="108"/>
    </row>
    <row r="66" spans="2:12" hidden="1" x14ac:dyDescent="0.3">
      <c r="B66" s="107"/>
      <c r="C66" s="108"/>
      <c r="E66" s="108"/>
    </row>
    <row r="67" spans="2:12" hidden="1" x14ac:dyDescent="0.3"/>
    <row r="68" spans="2:12" hidden="1" x14ac:dyDescent="0.3"/>
    <row r="69" spans="2:12" hidden="1" x14ac:dyDescent="0.3">
      <c r="B69" s="109"/>
      <c r="C69" s="110"/>
      <c r="D69" s="111"/>
      <c r="E69" s="110"/>
    </row>
    <row r="70" spans="2:12" hidden="1" x14ac:dyDescent="0.3">
      <c r="B70" s="112"/>
    </row>
    <row r="71" spans="2:12" hidden="1" x14ac:dyDescent="0.3"/>
    <row r="72" spans="2:12" ht="18" hidden="1" x14ac:dyDescent="0.35">
      <c r="B72" s="397"/>
      <c r="C72" s="398"/>
      <c r="D72" s="398"/>
      <c r="E72" s="398"/>
      <c r="F72" s="398"/>
      <c r="G72" s="399"/>
    </row>
    <row r="73" spans="2:12" hidden="1" x14ac:dyDescent="0.3">
      <c r="B73" s="113"/>
      <c r="C73" s="114"/>
    </row>
    <row r="74" spans="2:12" hidden="1" x14ac:dyDescent="0.3">
      <c r="B74" s="115"/>
    </row>
    <row r="75" spans="2:12" hidden="1" x14ac:dyDescent="0.3">
      <c r="B75" s="115"/>
    </row>
    <row r="76" spans="2:12" hidden="1" x14ac:dyDescent="0.3">
      <c r="B76" s="115"/>
      <c r="L76" s="85">
        <f>0.5*(0.0023+0.004)</f>
        <v>3.15E-3</v>
      </c>
    </row>
    <row r="77" spans="2:12" hidden="1" x14ac:dyDescent="0.3">
      <c r="B77" s="115"/>
    </row>
    <row r="78" spans="2:12" hidden="1" x14ac:dyDescent="0.3">
      <c r="B78" s="115"/>
    </row>
    <row r="79" spans="2:12" hidden="1" x14ac:dyDescent="0.3">
      <c r="B79" s="115"/>
    </row>
    <row r="80" spans="2:12" hidden="1" x14ac:dyDescent="0.3">
      <c r="B80" s="115"/>
    </row>
    <row r="81" spans="2:9" hidden="1" x14ac:dyDescent="0.3">
      <c r="B81" s="115"/>
    </row>
    <row r="82" spans="2:9" hidden="1" x14ac:dyDescent="0.3">
      <c r="B82" s="115"/>
    </row>
    <row r="83" spans="2:9" hidden="1" x14ac:dyDescent="0.3">
      <c r="B83" s="115"/>
    </row>
    <row r="84" spans="2:9" hidden="1" x14ac:dyDescent="0.3">
      <c r="B84" s="115"/>
    </row>
    <row r="85" spans="2:9" hidden="1" x14ac:dyDescent="0.3"/>
    <row r="86" spans="2:9" ht="15.6" hidden="1" customHeight="1" x14ac:dyDescent="0.3">
      <c r="B86" s="85"/>
      <c r="I86" s="85"/>
    </row>
    <row r="87" spans="2:9" hidden="1" x14ac:dyDescent="0.3">
      <c r="B87" s="85"/>
      <c r="I87" s="85"/>
    </row>
    <row r="88" spans="2:9" hidden="1" x14ac:dyDescent="0.3">
      <c r="B88" s="85"/>
      <c r="I88" s="85"/>
    </row>
    <row r="89" spans="2:9" ht="18" hidden="1" x14ac:dyDescent="0.35">
      <c r="B89" s="397"/>
      <c r="C89" s="398"/>
      <c r="D89" s="398"/>
      <c r="E89" s="398"/>
      <c r="F89" s="398"/>
      <c r="G89" s="399"/>
      <c r="I89" s="85"/>
    </row>
    <row r="90" spans="2:9" hidden="1" x14ac:dyDescent="0.3">
      <c r="B90" s="109"/>
      <c r="I90" s="85"/>
    </row>
    <row r="91" spans="2:9" hidden="1" x14ac:dyDescent="0.3">
      <c r="B91" s="117"/>
      <c r="I91" s="85"/>
    </row>
    <row r="92" spans="2:9" hidden="1" x14ac:dyDescent="0.3">
      <c r="B92" s="85"/>
      <c r="I92" s="85"/>
    </row>
    <row r="93" spans="2:9" hidden="1" x14ac:dyDescent="0.3">
      <c r="B93" s="85"/>
      <c r="I93" s="85"/>
    </row>
    <row r="94" spans="2:9" hidden="1" x14ac:dyDescent="0.3">
      <c r="B94" s="160"/>
      <c r="C94" s="401"/>
      <c r="D94" s="401"/>
      <c r="E94" s="118"/>
      <c r="F94" s="401"/>
      <c r="G94" s="401"/>
      <c r="I94" s="85"/>
    </row>
    <row r="95" spans="2:9" hidden="1" x14ac:dyDescent="0.3">
      <c r="B95" s="119"/>
      <c r="C95" s="120"/>
      <c r="D95" s="120"/>
      <c r="E95" s="120"/>
      <c r="F95" s="120"/>
      <c r="G95" s="120"/>
      <c r="I95" s="85"/>
    </row>
    <row r="96" spans="2:9" hidden="1" x14ac:dyDescent="0.3">
      <c r="D96" s="85"/>
      <c r="E96" s="121"/>
      <c r="G96" s="85"/>
      <c r="I96" s="85"/>
    </row>
    <row r="97" spans="2:9" hidden="1" x14ac:dyDescent="0.3">
      <c r="D97" s="85"/>
      <c r="E97" s="121"/>
      <c r="G97" s="85"/>
      <c r="I97" s="85"/>
    </row>
    <row r="98" spans="2:9" hidden="1" x14ac:dyDescent="0.3">
      <c r="D98" s="85"/>
      <c r="E98" s="121"/>
      <c r="G98" s="85"/>
      <c r="I98" s="85"/>
    </row>
    <row r="99" spans="2:9" hidden="1" x14ac:dyDescent="0.3">
      <c r="D99" s="85"/>
      <c r="E99" s="121"/>
      <c r="G99" s="85"/>
      <c r="I99" s="85"/>
    </row>
    <row r="100" spans="2:9" hidden="1" x14ac:dyDescent="0.3">
      <c r="D100" s="85"/>
      <c r="E100" s="121"/>
      <c r="G100" s="85"/>
      <c r="I100" s="85"/>
    </row>
    <row r="101" spans="2:9" hidden="1" x14ac:dyDescent="0.3">
      <c r="B101" s="122"/>
      <c r="D101" s="85"/>
      <c r="E101" s="121"/>
      <c r="G101" s="85"/>
      <c r="I101" s="85"/>
    </row>
    <row r="102" spans="2:9" hidden="1" x14ac:dyDescent="0.3">
      <c r="B102" s="122"/>
      <c r="D102" s="85"/>
      <c r="E102" s="121"/>
      <c r="G102" s="85"/>
      <c r="I102" s="85"/>
    </row>
    <row r="103" spans="2:9" hidden="1" x14ac:dyDescent="0.3">
      <c r="B103" s="122"/>
      <c r="D103" s="85"/>
      <c r="E103" s="121"/>
      <c r="G103" s="85"/>
      <c r="I103" s="85"/>
    </row>
    <row r="104" spans="2:9" hidden="1" x14ac:dyDescent="0.3">
      <c r="B104" s="122"/>
      <c r="D104" s="85"/>
      <c r="E104" s="121"/>
      <c r="G104" s="85"/>
      <c r="I104" s="85"/>
    </row>
    <row r="105" spans="2:9" hidden="1" x14ac:dyDescent="0.3">
      <c r="B105" s="122"/>
      <c r="D105" s="85"/>
      <c r="E105" s="121"/>
      <c r="G105" s="85"/>
      <c r="I105" s="85"/>
    </row>
    <row r="106" spans="2:9" hidden="1" x14ac:dyDescent="0.3">
      <c r="B106" s="123"/>
      <c r="D106" s="85"/>
      <c r="E106" s="120"/>
      <c r="G106" s="85"/>
      <c r="I106" s="85"/>
    </row>
    <row r="107" spans="2:9" hidden="1" x14ac:dyDescent="0.3">
      <c r="B107" s="85"/>
      <c r="I107" s="85"/>
    </row>
    <row r="108" spans="2:9" hidden="1" x14ac:dyDescent="0.3">
      <c r="B108" s="85"/>
      <c r="C108" s="85"/>
      <c r="D108" s="85"/>
      <c r="E108" s="85"/>
      <c r="F108" s="85"/>
      <c r="G108" s="85"/>
      <c r="I108" s="85"/>
    </row>
    <row r="109" spans="2:9" hidden="1" x14ac:dyDescent="0.3">
      <c r="B109" s="85"/>
      <c r="I109" s="85"/>
    </row>
    <row r="110" spans="2:9" hidden="1" x14ac:dyDescent="0.3">
      <c r="B110" s="85"/>
      <c r="I110" s="85"/>
    </row>
    <row r="111" spans="2:9" hidden="1" x14ac:dyDescent="0.3">
      <c r="B111" s="85"/>
      <c r="I111" s="85"/>
    </row>
    <row r="112" spans="2:9" hidden="1" x14ac:dyDescent="0.3">
      <c r="I112" s="85"/>
    </row>
    <row r="113" spans="2:9" hidden="1" x14ac:dyDescent="0.3">
      <c r="I113" s="85"/>
    </row>
    <row r="114" spans="2:9" hidden="1" x14ac:dyDescent="0.3">
      <c r="I114" s="85"/>
    </row>
    <row r="115" spans="2:9" hidden="1" x14ac:dyDescent="0.3">
      <c r="I115" s="85"/>
    </row>
    <row r="116" spans="2:9" hidden="1" x14ac:dyDescent="0.3">
      <c r="I116" s="85"/>
    </row>
    <row r="117" spans="2:9" hidden="1" x14ac:dyDescent="0.3">
      <c r="I117" s="85"/>
    </row>
    <row r="118" spans="2:9" hidden="1" x14ac:dyDescent="0.3">
      <c r="I118" s="85"/>
    </row>
    <row r="119" spans="2:9" hidden="1" x14ac:dyDescent="0.3">
      <c r="I119" s="85"/>
    </row>
    <row r="120" spans="2:9" hidden="1" x14ac:dyDescent="0.3">
      <c r="I120" s="85"/>
    </row>
    <row r="121" spans="2:9" hidden="1" x14ac:dyDescent="0.3"/>
    <row r="122" spans="2:9" hidden="1" x14ac:dyDescent="0.3">
      <c r="B122" s="109"/>
      <c r="C122" s="110"/>
      <c r="D122" s="111"/>
      <c r="E122" s="110"/>
    </row>
    <row r="123" spans="2:9" hidden="1" x14ac:dyDescent="0.3">
      <c r="B123" s="112"/>
    </row>
    <row r="124" spans="2:9" hidden="1" x14ac:dyDescent="0.3"/>
    <row r="125" spans="2:9" ht="18" hidden="1" x14ac:dyDescent="0.35">
      <c r="B125" s="397"/>
      <c r="C125" s="398"/>
      <c r="D125" s="398"/>
      <c r="E125" s="398"/>
      <c r="F125" s="398"/>
      <c r="G125" s="399"/>
    </row>
    <row r="126" spans="2:9" hidden="1" x14ac:dyDescent="0.3">
      <c r="B126" s="113"/>
      <c r="C126" s="114"/>
    </row>
    <row r="127" spans="2:9" hidden="1" x14ac:dyDescent="0.3">
      <c r="B127" s="115"/>
    </row>
    <row r="128" spans="2:9" hidden="1" x14ac:dyDescent="0.3">
      <c r="B128" s="115"/>
    </row>
    <row r="129" spans="2:2" hidden="1" x14ac:dyDescent="0.3">
      <c r="B129" s="115"/>
    </row>
    <row r="130" spans="2:2" hidden="1" x14ac:dyDescent="0.3">
      <c r="B130" s="115"/>
    </row>
    <row r="131" spans="2:2" hidden="1" x14ac:dyDescent="0.3">
      <c r="B131" s="115"/>
    </row>
    <row r="132" spans="2:2" hidden="1" x14ac:dyDescent="0.3">
      <c r="B132" s="115"/>
    </row>
    <row r="133" spans="2:2" hidden="1" x14ac:dyDescent="0.3">
      <c r="B133" s="115"/>
    </row>
    <row r="134" spans="2:2" hidden="1" x14ac:dyDescent="0.3">
      <c r="B134" s="115"/>
    </row>
    <row r="135" spans="2:2" hidden="1" x14ac:dyDescent="0.3">
      <c r="B135" s="115"/>
    </row>
    <row r="136" spans="2:2" hidden="1" x14ac:dyDescent="0.3">
      <c r="B136" s="115"/>
    </row>
    <row r="137" spans="2:2" hidden="1" x14ac:dyDescent="0.3">
      <c r="B137" s="115"/>
    </row>
    <row r="138" spans="2:2" hidden="1" x14ac:dyDescent="0.3"/>
  </sheetData>
  <sheetProtection algorithmName="SHA-512" hashValue="1g74IeixYRxBmYhGAyB4GneBC15nZOn8a8emK/DSxCqmDWlgfMmy+JKVNOHA85ZgPuCA/zFKnv1r2ie2cucwdQ==" saltValue="O3byJngqxnuAhSXVlnnYAg==" spinCount="100000" sheet="1" objects="1" scenarios="1" selectLockedCells="1"/>
  <mergeCells count="36">
    <mergeCell ref="AE34:AF34"/>
    <mergeCell ref="W5:AC11"/>
    <mergeCell ref="AE16:AH17"/>
    <mergeCell ref="Z18:AA18"/>
    <mergeCell ref="AE18:AF18"/>
    <mergeCell ref="Z32:AC33"/>
    <mergeCell ref="AE32:AH33"/>
    <mergeCell ref="Z16:AC17"/>
    <mergeCell ref="Z34:AA34"/>
    <mergeCell ref="U16:X17"/>
    <mergeCell ref="U18:V18"/>
    <mergeCell ref="U32:X33"/>
    <mergeCell ref="U34:V34"/>
    <mergeCell ref="B2:T2"/>
    <mergeCell ref="J15:N15"/>
    <mergeCell ref="D3:H3"/>
    <mergeCell ref="I3:N3"/>
    <mergeCell ref="O3:T3"/>
    <mergeCell ref="P16:S17"/>
    <mergeCell ref="P32:S33"/>
    <mergeCell ref="F45:G45"/>
    <mergeCell ref="D46:E46"/>
    <mergeCell ref="D47:E47"/>
    <mergeCell ref="D41:F41"/>
    <mergeCell ref="P18:Q18"/>
    <mergeCell ref="P34:Q34"/>
    <mergeCell ref="K16:N17"/>
    <mergeCell ref="K18:L18"/>
    <mergeCell ref="K32:N33"/>
    <mergeCell ref="K34:L34"/>
    <mergeCell ref="B125:G125"/>
    <mergeCell ref="B51:G51"/>
    <mergeCell ref="B72:G72"/>
    <mergeCell ref="B89:G89"/>
    <mergeCell ref="C94:D94"/>
    <mergeCell ref="F94:G94"/>
  </mergeCells>
  <phoneticPr fontId="28" type="noConversion"/>
  <hyperlinks>
    <hyperlink ref="D41" r:id="rId1" xr:uid="{2B6650A2-26BB-4A9B-AE1C-568FF9577380}"/>
  </hyperlinks>
  <pageMargins left="0.7" right="0.7" top="0.75" bottom="0.75" header="0.3" footer="0.3"/>
  <pageSetup orientation="portrait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E9A4-DD4E-472E-8F3A-CF0BCA974BE6}">
  <sheetPr codeName="Sheet2"/>
  <dimension ref="A1:AI189"/>
  <sheetViews>
    <sheetView zoomScale="70" zoomScaleNormal="70" workbookViewId="0">
      <selection activeCell="C5" sqref="C5"/>
    </sheetView>
  </sheetViews>
  <sheetFormatPr defaultColWidth="8.88671875" defaultRowHeight="14.4" x14ac:dyDescent="0.3"/>
  <cols>
    <col min="1" max="1" width="1.88671875" style="3" customWidth="1"/>
    <col min="2" max="2" width="10.109375" style="3" customWidth="1"/>
    <col min="3" max="3" width="11.109375" style="3" customWidth="1"/>
    <col min="4" max="4" width="23.88671875" style="3" customWidth="1"/>
    <col min="5" max="35" width="11.6640625" style="3" customWidth="1"/>
    <col min="36" max="16384" width="8.88671875" style="3"/>
  </cols>
  <sheetData>
    <row r="1" spans="1:35" ht="30" customHeight="1" x14ac:dyDescent="0.3">
      <c r="A1" s="2"/>
      <c r="B1" s="124"/>
      <c r="C1" s="124"/>
      <c r="D1" s="124"/>
      <c r="E1" s="124"/>
      <c r="F1" s="124" t="s">
        <v>113</v>
      </c>
      <c r="G1" s="124"/>
      <c r="H1" s="124"/>
      <c r="I1" s="124"/>
      <c r="J1" s="124"/>
      <c r="K1" s="124"/>
      <c r="L1" s="124"/>
      <c r="M1" s="124"/>
      <c r="N1" s="124"/>
      <c r="O1" s="124"/>
      <c r="P1" s="125"/>
      <c r="Q1" s="125"/>
      <c r="R1" s="125"/>
      <c r="S1" s="125"/>
      <c r="T1" s="125"/>
      <c r="U1" s="125"/>
      <c r="V1" s="132"/>
      <c r="W1" s="154" t="s">
        <v>80</v>
      </c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ht="19.5" customHeight="1" x14ac:dyDescent="0.4">
      <c r="A2" s="2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</row>
    <row r="3" spans="1:35" ht="18.75" customHeight="1" x14ac:dyDescent="0.4">
      <c r="A3" s="2"/>
      <c r="B3" s="446" t="s">
        <v>0</v>
      </c>
      <c r="C3" s="447"/>
      <c r="D3" s="126"/>
      <c r="E3" s="448" t="s">
        <v>1</v>
      </c>
      <c r="F3" s="449"/>
      <c r="G3" s="449"/>
      <c r="H3" s="449"/>
      <c r="I3" s="450"/>
      <c r="J3" s="451" t="s">
        <v>2</v>
      </c>
      <c r="K3" s="452"/>
      <c r="L3" s="452"/>
      <c r="M3" s="452"/>
      <c r="N3" s="452"/>
      <c r="O3" s="453"/>
      <c r="P3" s="451" t="s">
        <v>3</v>
      </c>
      <c r="Q3" s="452"/>
      <c r="R3" s="452"/>
      <c r="S3" s="452"/>
      <c r="T3" s="452"/>
      <c r="U3" s="453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</row>
    <row r="4" spans="1:35" ht="17.25" customHeight="1" x14ac:dyDescent="0.3">
      <c r="A4" s="2"/>
      <c r="B4" s="127" t="s">
        <v>4</v>
      </c>
      <c r="C4" s="127" t="s">
        <v>5</v>
      </c>
      <c r="D4" s="128" t="s">
        <v>7</v>
      </c>
      <c r="E4" s="129" t="s">
        <v>8</v>
      </c>
      <c r="F4" s="130" t="s">
        <v>9</v>
      </c>
      <c r="G4" s="129" t="s">
        <v>10</v>
      </c>
      <c r="H4" s="130" t="s">
        <v>11</v>
      </c>
      <c r="I4" s="130" t="s">
        <v>12</v>
      </c>
      <c r="J4" s="131">
        <v>0</v>
      </c>
      <c r="K4" s="131">
        <v>12</v>
      </c>
      <c r="L4" s="131">
        <v>50</v>
      </c>
      <c r="M4" s="131">
        <v>100</v>
      </c>
      <c r="N4" s="131">
        <v>400</v>
      </c>
      <c r="O4" s="131">
        <v>700</v>
      </c>
      <c r="P4" s="131">
        <v>0</v>
      </c>
      <c r="Q4" s="131">
        <f>K4*20.89</f>
        <v>250.68</v>
      </c>
      <c r="R4" s="131">
        <f t="shared" ref="R4:U14" si="0">L4*20.89</f>
        <v>1044.5</v>
      </c>
      <c r="S4" s="131">
        <f t="shared" si="0"/>
        <v>2089</v>
      </c>
      <c r="T4" s="131">
        <f t="shared" si="0"/>
        <v>8356</v>
      </c>
      <c r="U4" s="131">
        <f t="shared" si="0"/>
        <v>14623</v>
      </c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</row>
    <row r="5" spans="1:35" ht="21" customHeight="1" x14ac:dyDescent="0.35">
      <c r="A5" s="2"/>
      <c r="B5" s="1">
        <v>69</v>
      </c>
      <c r="C5" s="1">
        <v>50</v>
      </c>
      <c r="D5" s="333" t="s">
        <v>112</v>
      </c>
      <c r="E5" s="307" t="s">
        <v>14</v>
      </c>
      <c r="F5" s="308">
        <f>IF(($C$5&lt;=20),(F6+(3.6/3)),IF(($C$5&lt;25),(F6+(3.3/3)),IF(($C$5&lt;45),(F6+(3/3)),IF($C$5=25,(F6+(3/3)),IF($C$5=45,(F6+(3/3)),IF(($C$5&lt;50),(F6+(2.7/3)),IF($C$5=50,F6+(2.4/3),(F6+(2.4/3)))))))))</f>
        <v>16.152229599999998</v>
      </c>
      <c r="G5" s="308">
        <f>IF(($C$5&lt;=20),(G6+(3.6/3)),IF(($C$5&lt;25),(G6+(3.3/3)),IF(($C$5&lt;45),(G6+(3/3)),IF($C$5=25,(G6+(3/3)),IF($C$5=45,(G6+(3/3)),IF(($C$5&lt;50),(G6+(2.1/3)),IF($C$5=50,G6+(2.4/3),(G6+(2.4/3)))))))))</f>
        <v>14.8140642511</v>
      </c>
      <c r="H5" s="308">
        <f>IF(($C$5&lt;=20),(H6+(4.2/3)),IF(($C$5&lt;25),(H6+(4.35/3)),IF(($C$5&lt;45),(H6+(4.5/3)),IF($C$5=25,(H6+(4.5/3)),IF($C$5=45,(H6+(4.5/3)),IF(($C$5&lt;50),(H6+(3.45/3)),IF($C$5=50,H6+(2.4/3),(H6+(2.4/3)))))))))</f>
        <v>12.968950510000001</v>
      </c>
      <c r="I5" s="308">
        <f>IF(($C$5&lt;=20),(I6+(3.9/3)),IF(($C$5&lt;25),(I6+(3.6/3)),IF(($C$5&lt;45),(I6+(3.3/3)),IF($C$5=25,(I6+(3.3/3)),IF($C$5=45,(I6+(3.3/3)),IF(($C$5&lt;50),(I6+(2.4/3)),IF($C$5=50,I6+(2.4/3),(I6+(2.4/3)))))))))</f>
        <v>9.7940667999999995</v>
      </c>
      <c r="J5" s="308">
        <v>0</v>
      </c>
      <c r="K5" s="309" t="s">
        <v>14</v>
      </c>
      <c r="L5" s="308">
        <f t="shared" ref="L5" si="1">IF(F5="NA", "NA", $L$4*TAN(RADIANS(F5)))</f>
        <v>14.481147563101507</v>
      </c>
      <c r="M5" s="308">
        <f t="shared" ref="M5" si="2">IF(G5="NA", "NA", $M$4*TAN(RADIANS(G5)))</f>
        <v>26.447401681041093</v>
      </c>
      <c r="N5" s="308">
        <f t="shared" ref="N5" si="3">IF(H5="NA", "NA", $N$4*TAN(RADIANS(H5)))</f>
        <v>92.118984985150519</v>
      </c>
      <c r="O5" s="308">
        <f t="shared" ref="O5" si="4">IF(I5="NA", "NA", $O$4*TAN(RADIANS(I5)))</f>
        <v>120.83634583297794</v>
      </c>
      <c r="P5" s="328">
        <v>0</v>
      </c>
      <c r="Q5" s="310" t="s">
        <v>14</v>
      </c>
      <c r="R5" s="310">
        <f t="shared" ref="R5" si="5">L5*20.89</f>
        <v>302.51117259319051</v>
      </c>
      <c r="S5" s="310">
        <f t="shared" ref="S5" si="6">M5*20.89</f>
        <v>552.4862211169484</v>
      </c>
      <c r="T5" s="310">
        <f t="shared" ref="T5" si="7">N5*20.89</f>
        <v>1924.3655963397944</v>
      </c>
      <c r="U5" s="310">
        <f t="shared" ref="U5" si="8">O5*20.89</f>
        <v>2524.2712644509093</v>
      </c>
      <c r="V5" s="132"/>
      <c r="W5" s="395" t="s">
        <v>81</v>
      </c>
      <c r="X5" s="396"/>
      <c r="Y5" s="396"/>
      <c r="Z5" s="396"/>
      <c r="AA5" s="396"/>
      <c r="AB5" s="396"/>
      <c r="AC5" s="396"/>
      <c r="AD5" s="132"/>
      <c r="AE5" s="132"/>
      <c r="AF5" s="132"/>
      <c r="AG5" s="132"/>
      <c r="AH5" s="132"/>
      <c r="AI5" s="132"/>
    </row>
    <row r="6" spans="1:35" ht="21" customHeight="1" x14ac:dyDescent="0.35">
      <c r="A6" s="2"/>
      <c r="B6" s="163"/>
      <c r="C6" s="163"/>
      <c r="D6" s="249" t="s">
        <v>13</v>
      </c>
      <c r="E6" s="181" t="s">
        <v>14</v>
      </c>
      <c r="F6" s="182">
        <f>IF(C5&lt;21,E18,IF(C5=21,((4*E18+E20)/5),IF(C5=22,((3*E18+2*E20)/5),IF(C5=23,((2*E18+3*E20)/5),IF(C5=24,((E18+4*E20)/5),IF(C5=46,((4*E20+E23)/5),IF(C5=47,((3*E20+2*E23)/5),IF(C5=48,((2*E20+3*E23)/5),IF(C5=49,((E20+4*E23)/5),IF(C5&gt;49,E23,E20))))))))))</f>
        <v>15.352229599999998</v>
      </c>
      <c r="G6" s="182">
        <f>IF(C5&lt;21,F18,IF(C5=21,((4*F18+F20)/5),IF(C5=22,((3*F18+2*F20)/5),IF(C5=23,((2*F18+3*F20)/5),IF(C5=24,((F18+4*F20)/5),IF(C5=46,((4*F20+F23)/5),IF(C5=47,((3*F20+2*F23)/5),IF(C5=48,((2*F20+3*F23)/5),IF(C5=49,((F20+4*F23)/5),IF(C5&gt;49,F23,F20))))))))))</f>
        <v>14.014064251099999</v>
      </c>
      <c r="H6" s="182">
        <f>IF(C5&lt;21,G18,IF(C5=21,((4*G18+G20)/5),IF(C5=22,((3*G18+2*G20)/5),IF(C5=23,((2*G18+3*G20)/5),IF(C5=24,((G18+4*G20)/5),IF(C5=46,((4*G20+G23)/5),IF(C5=47,((3*G20+2*G23)/5),IF(C5=48,((2*G20+3*G23)/5),IF(C5=49,((G20+4*G23)/5),IF(C5&gt;49,G23,G20))))))))))</f>
        <v>12.16895051</v>
      </c>
      <c r="I6" s="182">
        <f>IF(C5&lt;21,H18,IF(C5=21,((4*H18+H20)/5),IF(C5=22,((3*H18+2*H20)/5),IF(C5=23,((2*H18+3*H20)/5),IF(C5=24,((H18+4*H20)/5),IF(C5=46,((4*H20+H23)/5),IF(C5=47,((3*H20+2*H23)/5),IF(C5=48,((2*H20+3*H23)/5),IF(C5=49,((H20+4*H23)/5),IF(C5&gt;49,H23,H20))))))))))</f>
        <v>8.9940667999999988</v>
      </c>
      <c r="J6" s="184">
        <v>0</v>
      </c>
      <c r="K6" s="183" t="s">
        <v>14</v>
      </c>
      <c r="L6" s="184">
        <f>IF(F6="NA", "NA", L4*TAN(RADIANS(F6)))</f>
        <v>13.727454439878848</v>
      </c>
      <c r="M6" s="184">
        <f>IF(G6="NA", "NA", M4*TAN(RADIANS(G6)))</f>
        <v>24.95887456470534</v>
      </c>
      <c r="N6" s="184">
        <f>IF(H6="NA", "NA", N4*TAN(RADIANS(H6)))</f>
        <v>86.256188500657984</v>
      </c>
      <c r="O6" s="184">
        <f>IF(I6="NA", "NA", O4*TAN(RADIANS(I6)))</f>
        <v>110.79480333297641</v>
      </c>
      <c r="P6" s="329">
        <v>0</v>
      </c>
      <c r="Q6" s="185" t="s">
        <v>14</v>
      </c>
      <c r="R6" s="185">
        <f>L6*20.89</f>
        <v>286.76652324906917</v>
      </c>
      <c r="S6" s="185">
        <f>M6*20.89</f>
        <v>521.39088965669453</v>
      </c>
      <c r="T6" s="185">
        <f>N6*20.89</f>
        <v>1801.8917777787453</v>
      </c>
      <c r="U6" s="185">
        <f>O6*20.89</f>
        <v>2314.5034416258773</v>
      </c>
      <c r="V6" s="132"/>
      <c r="W6" s="395"/>
      <c r="X6" s="396"/>
      <c r="Y6" s="396"/>
      <c r="Z6" s="396"/>
      <c r="AA6" s="396"/>
      <c r="AB6" s="396"/>
      <c r="AC6" s="396"/>
      <c r="AD6" s="132"/>
      <c r="AE6" s="132"/>
      <c r="AF6" s="132"/>
      <c r="AG6" s="132"/>
      <c r="AH6" s="132"/>
      <c r="AI6" s="132"/>
    </row>
    <row r="7" spans="1:35" ht="21" customHeight="1" x14ac:dyDescent="0.35">
      <c r="A7" s="2"/>
      <c r="B7" s="163"/>
      <c r="C7" s="163"/>
      <c r="D7" s="281" t="s">
        <v>95</v>
      </c>
      <c r="E7" s="187" t="s">
        <v>14</v>
      </c>
      <c r="F7" s="188">
        <f>IF(($C$5&lt;=20),(F6-(3.6/3)),IF(($C$5&lt;25),(F6-(3.3/3)),IF(($C$5&lt;45),(F6-(3/3)),IF($C$5=25,(F6-(3/3)),IF($C$5=45,(F6-(3/3)),IF(($C$5&lt;50),(F6-(2.7/3)),IF($C$5=50,F6-(2.4/3),(F6-(2.4/3)))))))))</f>
        <v>14.552229599999997</v>
      </c>
      <c r="G7" s="188">
        <f>IF(($C$5&lt;=20),(G6-(3.6/3)),IF(($C$5&lt;25),(G6-(3.3/3)),IF(($C$5&lt;45),(G6-(3/3)),IF($C$5=25,(G6-(3/3)),IF($C$5=45,(G6-(3/3)),IF(($C$5&lt;50),(G6-(2.1/3)),IF($C$5=50,G6-(2.4/3),(G6-(2.4/3)))))))))</f>
        <v>13.214064251099998</v>
      </c>
      <c r="H7" s="188">
        <f>IF(($C$5&lt;=20),(H6-(4.2/3)),IF(($C$5&lt;25),(H6-(4.35/3)),IF(($C$5&lt;45),(H6-(4.5/3)),IF($C$5=25,(H6-(4.5/3)),IF($C$5=45,(H6-(4.5/3)),IF(($C$5&lt;50),(H6-(3.45/3)),IF($C$5=50,H6-(2.4/3),(H6-(2.4/3)))))))))</f>
        <v>11.368950509999999</v>
      </c>
      <c r="I7" s="188">
        <f>IF(($C$5&lt;=20),(I6-(3.9/3)),IF(($C$5&lt;25),(I6-(3.6/3)),IF(($C$5&lt;45),(I6-(3.3/3)),IF($C$5=25,(I6-(3.3/3)),IF($C$5=45,(I6-(3.3/3)),IF(($C$5&lt;50),(I6-(2.4/3)),IF($C$5=50,I6-(2.4/3),(I6-(2.4/3)))))))))</f>
        <v>8.1940667999999981</v>
      </c>
      <c r="J7" s="190">
        <v>0</v>
      </c>
      <c r="K7" s="189" t="s">
        <v>14</v>
      </c>
      <c r="L7" s="190">
        <f t="shared" ref="L7:L9" si="9">IF(F7="NA", "NA", $L$4*TAN(RADIANS(F7)))</f>
        <v>12.979518079941133</v>
      </c>
      <c r="M7" s="190">
        <f t="shared" ref="M7:M10" si="10">IF(G7="NA", "NA", $M$4*TAN(RADIANS(G7)))</f>
        <v>23.480686873107558</v>
      </c>
      <c r="N7" s="190">
        <f t="shared" ref="N7:N9" si="11">IF(H7="NA", "NA", $N$4*TAN(RADIANS(H7)))</f>
        <v>80.428593009901149</v>
      </c>
      <c r="O7" s="190">
        <f t="shared" ref="O7:O9" si="12">IF(I7="NA", "NA", $O$4*TAN(RADIANS(I7)))</f>
        <v>100.79754908804027</v>
      </c>
      <c r="P7" s="330">
        <v>0</v>
      </c>
      <c r="Q7" s="191" t="s">
        <v>14</v>
      </c>
      <c r="R7" s="191">
        <f t="shared" si="0"/>
        <v>271.14213268997031</v>
      </c>
      <c r="S7" s="191">
        <f t="shared" si="0"/>
        <v>490.51154877921692</v>
      </c>
      <c r="T7" s="191">
        <f t="shared" si="0"/>
        <v>1680.1533079768351</v>
      </c>
      <c r="U7" s="191">
        <f t="shared" si="0"/>
        <v>2105.6608004491613</v>
      </c>
      <c r="V7" s="132"/>
      <c r="W7" s="396"/>
      <c r="X7" s="396"/>
      <c r="Y7" s="396"/>
      <c r="Z7" s="396"/>
      <c r="AA7" s="396"/>
      <c r="AB7" s="396"/>
      <c r="AC7" s="396"/>
      <c r="AD7" s="132"/>
      <c r="AE7" s="132"/>
      <c r="AF7" s="132"/>
      <c r="AG7" s="132"/>
      <c r="AH7" s="132"/>
      <c r="AI7" s="132"/>
    </row>
    <row r="8" spans="1:35" ht="21" customHeight="1" x14ac:dyDescent="0.35">
      <c r="A8" s="2"/>
      <c r="B8" s="163"/>
      <c r="C8" s="163"/>
      <c r="D8" s="282" t="s">
        <v>96</v>
      </c>
      <c r="E8" s="193" t="s">
        <v>14</v>
      </c>
      <c r="F8" s="194">
        <f>IF(($C$5&lt;=20),(F6-(2*3.6/3)),IF(($C$5&lt;25),(F6-(2*3.3/3)),IF(($C$5&lt;45),(F6-(2*3/3)),IF($C$5=25,(F6-(2*3/3)),IF($C$5=45,(F6-(2*3/3)),IF(($C$5&lt;50),(F6-(2*2.7/3)),IF($C$5=50,F6-(2*2.4/3),(F6-(2*2.4/3)))))))))</f>
        <v>13.752229599999998</v>
      </c>
      <c r="G8" s="194">
        <f t="shared" ref="G8:G9" si="13">IF(($C$5&lt;=20),(G7-(3.6/3)),IF(($C$5&lt;25),(G7-(3.3/3)),IF(($C$5&lt;45),(G7-(3/3)),IF($C$5=25,(G7-(3/3)),IF($C$5=45,(G7-(3/3)),IF(($C$5&lt;50),(G7-(2.1/3)),IF($C$5=50,G7-(2.4/3),(G7-(2.4/3)))))))))</f>
        <v>12.414064251099997</v>
      </c>
      <c r="H8" s="194">
        <f>IF(($C$5&lt;=20),(H7-(4.2/3)),IF(($C$5&lt;25),(H7-(4.35/3)),IF(($C$5&lt;45),(H7-(4.5/3)),IF($C$5=25,(H7-(4.5/3)),IF($C$5=45,(H7-(4.5/3)),IF(($C$5&lt;50),(H7-(3.45/3)),IF($C$5=50,H7-(2.4/3),(H7-(2.4/3)))))))))</f>
        <v>10.568950509999999</v>
      </c>
      <c r="I8" s="194">
        <f t="shared" ref="I8:I9" si="14">IF(($C$5&lt;=20),(I7-(3.9/3)),IF(($C$5&lt;25),(I7-(3.6/3)),IF(($C$5&lt;45),(I7-(3.3/3)),IF($C$5=25,(I7-(3.3/3)),IF($C$5=45,(I7-(3.3/3)),IF(($C$5&lt;50),(I7-(2.4/3)),IF($C$5=50,I7-(2.4/3),(I7-(2.4/3)))))))))</f>
        <v>7.3940667999999983</v>
      </c>
      <c r="J8" s="196">
        <v>0</v>
      </c>
      <c r="K8" s="195" t="s">
        <v>14</v>
      </c>
      <c r="L8" s="196">
        <f t="shared" si="9"/>
        <v>12.236984377040811</v>
      </c>
      <c r="M8" s="196">
        <f>IF(G8="NA", "NA", $M$4*TAN(RADIANS(G8)))</f>
        <v>22.012160676777683</v>
      </c>
      <c r="N8" s="196">
        <f t="shared" si="11"/>
        <v>74.633629828225324</v>
      </c>
      <c r="O8" s="196">
        <f t="shared" si="12"/>
        <v>90.840417148917155</v>
      </c>
      <c r="P8" s="331">
        <v>0</v>
      </c>
      <c r="Q8" s="197" t="s">
        <v>14</v>
      </c>
      <c r="R8" s="197">
        <f t="shared" si="0"/>
        <v>255.63060363638255</v>
      </c>
      <c r="S8" s="197">
        <f t="shared" si="0"/>
        <v>459.83403653788582</v>
      </c>
      <c r="T8" s="197">
        <f t="shared" si="0"/>
        <v>1559.096527111627</v>
      </c>
      <c r="U8" s="197">
        <f t="shared" si="0"/>
        <v>1897.6563142408795</v>
      </c>
      <c r="V8" s="132"/>
      <c r="W8" s="396"/>
      <c r="X8" s="396"/>
      <c r="Y8" s="396"/>
      <c r="Z8" s="396"/>
      <c r="AA8" s="396"/>
      <c r="AB8" s="396"/>
      <c r="AC8" s="396"/>
      <c r="AD8" s="132"/>
      <c r="AE8" s="132"/>
      <c r="AF8" s="132"/>
      <c r="AG8" s="132"/>
      <c r="AH8" s="132"/>
      <c r="AI8" s="132"/>
    </row>
    <row r="9" spans="1:35" ht="21" customHeight="1" x14ac:dyDescent="0.35">
      <c r="A9" s="2"/>
      <c r="B9" s="163"/>
      <c r="C9" s="163"/>
      <c r="D9" s="283" t="s">
        <v>97</v>
      </c>
      <c r="E9" s="199" t="s">
        <v>14</v>
      </c>
      <c r="F9" s="200">
        <f>IF(($C$5&lt;=20),(F6-(3.6)),IF(($C$5&lt;25),(F6-(3.3)),IF(($C$5&lt;45),(F6-(3)),IF($C$5=25,(F6-(3)),IF($C$5=45,(F6-(3)),IF(($C$5&lt;50),(F6-(2.7)),IF($C$5=50,F6-(2.4),(F6-(2.4)))))))))</f>
        <v>12.952229599999997</v>
      </c>
      <c r="G9" s="200">
        <f t="shared" si="13"/>
        <v>11.614064251099997</v>
      </c>
      <c r="H9" s="200">
        <f>IF(($C$5&lt;=20),(H8-(4.2/3)),IF(($C$5&lt;25),(H8-(4.35/3)),IF(($C$5&lt;45),(H8-(4.5/3)),IF($C$5=25,(H8-(4.5/3)),IF($C$5=45,(H8-(4.5/3)),IF(($C$5&lt;50),(H8-(3.45/3)),IF($C$5=50,H8-(2.4/3),(H8-(2.4/3)))))))))</f>
        <v>9.768950509999998</v>
      </c>
      <c r="I9" s="200">
        <f t="shared" si="14"/>
        <v>6.5940667999999985</v>
      </c>
      <c r="J9" s="202">
        <v>0</v>
      </c>
      <c r="K9" s="201" t="s">
        <v>14</v>
      </c>
      <c r="L9" s="202">
        <f t="shared" si="9"/>
        <v>11.499508507355584</v>
      </c>
      <c r="M9" s="202">
        <f t="shared" si="10"/>
        <v>20.552634368612598</v>
      </c>
      <c r="N9" s="202">
        <f t="shared" si="11"/>
        <v>68.868784276973443</v>
      </c>
      <c r="O9" s="202">
        <f t="shared" si="12"/>
        <v>80.919306117536621</v>
      </c>
      <c r="P9" s="332">
        <v>0</v>
      </c>
      <c r="Q9" s="203" t="s">
        <v>14</v>
      </c>
      <c r="R9" s="203">
        <f t="shared" si="0"/>
        <v>240.22473271865815</v>
      </c>
      <c r="S9" s="203">
        <f t="shared" si="0"/>
        <v>429.34453196031717</v>
      </c>
      <c r="T9" s="203">
        <f t="shared" si="0"/>
        <v>1438.6689035459754</v>
      </c>
      <c r="U9" s="203">
        <f>O9*20.89</f>
        <v>1690.4043047953401</v>
      </c>
      <c r="V9" s="132"/>
      <c r="W9" s="396"/>
      <c r="X9" s="396"/>
      <c r="Y9" s="396"/>
      <c r="Z9" s="396"/>
      <c r="AA9" s="396"/>
      <c r="AB9" s="396"/>
      <c r="AC9" s="396"/>
      <c r="AD9" s="132"/>
      <c r="AE9" s="132"/>
      <c r="AF9" s="132"/>
      <c r="AG9" s="132"/>
      <c r="AH9" s="132"/>
      <c r="AI9" s="132"/>
    </row>
    <row r="10" spans="1:35" ht="21" customHeight="1" x14ac:dyDescent="0.35">
      <c r="A10" s="2"/>
      <c r="B10" s="163"/>
      <c r="C10" s="163"/>
      <c r="D10" s="325" t="s">
        <v>109</v>
      </c>
      <c r="E10" s="326">
        <f>IF(($C$5&lt;=20),(E11+(1.3/3)),IF(($C$5&lt;25),(E11+(2.15/3)),IF(($C$5&lt;45),(E11+(3/3)),IF($C$5=25,(E11+(3/3)),IF($C$5=45,(E11+(3/3)),IF(($C$5&lt;50),(E11+(4.05/3)),IF($C$5=50,E11+(5.1/3),(E11+(5.1/3)))))))))</f>
        <v>30.446317131085447</v>
      </c>
      <c r="F10" s="326">
        <f>IF(($C$5&lt;=20),(F11+(0.63/3)),IF(($C$5&lt;25),(F11+(2.27/3)),IF(($C$5&lt;45),(F11+(3.9/3)),IF($C$5=25,(F11+(3.9/3)),IF($C$5=45,(F11+(3.9/3)),IF(($C$5&lt;50),(F11+(4.05/3)),IF($C$5=50,F11+(4.2/3),(F11+(4.2/3)))))))))</f>
        <v>26.349602545614115</v>
      </c>
      <c r="G10" s="326">
        <f>IF(($C$5&lt;=20),(G11+(0.63/3)),IF(($C$5&lt;25),(G11+(1.8/3)),IF(($C$5&lt;45),(G11+(3/3)),IF($C$5=25,(G11+(3/3)),IF($C$5=45,(G11+(3/3)),IF(($C$5&lt;50),(G11+(3.6/3)),IF($C$5=50,G11+(4.2/3),(G11+(4.2/3)))))))))</f>
        <v>23.421448234644668</v>
      </c>
      <c r="H10" s="326">
        <f>IF(($C$5&lt;=20),(H11+(1.2/3)),IF(($C$5&lt;25),(H11+(2.1/3)),IF(($C$5&lt;45),(H11+(3/3)),IF($C$5=25,(H11+(3/3)),IF($C$5=45,(H11+(3/3)),IF(($C$5&lt;50),(H11+(3.45/3)),IF($C$5=50,H11+(3.9/3),(H11+(3.9/3)))))))))</f>
        <v>20.568293254271929</v>
      </c>
      <c r="I10" s="327" t="s">
        <v>14</v>
      </c>
      <c r="J10" s="326">
        <v>0</v>
      </c>
      <c r="K10" s="326">
        <f>IF(E10="NA", "NA", $K$4*TAN(RADIANS(E10)))</f>
        <v>7.0534040945753427</v>
      </c>
      <c r="L10" s="326">
        <f>IF(F10="NA", "NA", $L$4*TAN(RADIANS(F10)))</f>
        <v>24.765421935663916</v>
      </c>
      <c r="M10" s="326">
        <f t="shared" si="10"/>
        <v>43.318315695395135</v>
      </c>
      <c r="N10" s="326">
        <f t="shared" ref="N10" si="15">IF(H10="NA","NA",$N$4*TAN(RADIANS(H10)))</f>
        <v>150.09753971340308</v>
      </c>
      <c r="O10" s="326" t="s">
        <v>14</v>
      </c>
      <c r="P10" s="326">
        <f t="shared" ref="P10" si="16">J10*20.89</f>
        <v>0</v>
      </c>
      <c r="Q10" s="326">
        <f t="shared" ref="Q10" si="17">K10*20.89</f>
        <v>147.3456115356789</v>
      </c>
      <c r="R10" s="326">
        <f t="shared" ref="R10" si="18">L10*20.89</f>
        <v>517.34966423601918</v>
      </c>
      <c r="S10" s="326">
        <f t="shared" ref="S10" si="19">M10*20.89</f>
        <v>904.91961487680442</v>
      </c>
      <c r="T10" s="326">
        <f t="shared" ref="T10" si="20">N10*20.89</f>
        <v>3135.5376046129904</v>
      </c>
      <c r="U10" s="326" t="s">
        <v>14</v>
      </c>
      <c r="V10" s="132"/>
      <c r="W10" s="396"/>
      <c r="X10" s="396"/>
      <c r="Y10" s="396"/>
      <c r="Z10" s="396"/>
      <c r="AA10" s="396"/>
      <c r="AB10" s="396"/>
      <c r="AC10" s="396"/>
      <c r="AD10" s="132"/>
      <c r="AE10" s="132"/>
      <c r="AF10" s="132"/>
      <c r="AG10" s="132"/>
      <c r="AH10" s="132"/>
      <c r="AI10" s="132"/>
    </row>
    <row r="11" spans="1:35" ht="21" customHeight="1" x14ac:dyDescent="0.35">
      <c r="A11" s="2"/>
      <c r="B11" s="163"/>
      <c r="C11" s="163"/>
      <c r="D11" s="284" t="s">
        <v>15</v>
      </c>
      <c r="E11" s="238">
        <f>IF(C5&lt;21,D27,IF(C5=21,((4*D27+D29)/5),IF(C5=22,((3*D27+2*D29)/5),IF(C5=23,((2*D27+3*D29)/5),IF(C5=24,((D27+4*D29)/5),IF(C5=46,((4*D29+D31)/5),IF(C5=47,((3*D29+2*D31)/5),IF(C5=48,((2*D29+3*D31)/5),IF(C5=49,((D29+4*D31)/5),IF(C5&gt;49,D31,D29))))))))))</f>
        <v>28.746317131085448</v>
      </c>
      <c r="F11" s="238">
        <f>IF(C5&lt;21,E27,IF(C5=21,((4*E27+E29)/5),IF(C5=22,((3*E27+2*E29)/5),IF(C5=23,((2*E27+3*E29)/5),IF(C5=24,((E27+4*E29)/5),IF(C5=46,((4*E29+E31)/5),IF(C5=47,((3*E29+2*E31)/5),IF(C5=48,((2*E29+3*E31)/5),IF(C5=49,((E29+4*E31)/5),IF(C5&gt;49,E31,E29))))))))))</f>
        <v>24.949602545614116</v>
      </c>
      <c r="G11" s="238">
        <f>IF(C5&lt;21,F27,IF(C5=21,((4*F27+F29)/5),IF(C5=22,((3*F27+2*F29)/5),IF(C5=23,((2*F27+3*F29)/5),IF(C5=24,((F27+4*F29)/5),IF(C5=46,((4*F29+F31)/5),IF(C5=47,((3*F29+2*F31)/5),IF(C5=48,((2*F29+3*F31)/5),IF(C5=49,((F29+4*F31)/5),IF(C5&gt;49,F31,F29))))))))))</f>
        <v>22.021448234644669</v>
      </c>
      <c r="H11" s="238">
        <f>IF(C5&lt;21,G27,IF(C5=21,((4*G27+G29)/5),IF(C5=22,((3*G27+2*G29)/5),IF(C5=23,((2*G27+3*G29)/5),IF(C5=24,((G27+4*G29)/5),IF(C5=46,((4*G29+G31)/5),IF(C5=47,((3*G29+2*G31)/5),IF(C5=48,((2*G29+3*G31)/5),IF(C5=49,((G29+4*G31)/5),IF(C5&gt;49,G31,G29))))))))))</f>
        <v>19.268293254271928</v>
      </c>
      <c r="I11" s="239" t="s">
        <v>14</v>
      </c>
      <c r="J11" s="238">
        <v>0</v>
      </c>
      <c r="K11" s="238">
        <f>IF(E11="NA", "NA", $K$4*TAN(RADIANS(E11)))</f>
        <v>6.5824219772685009</v>
      </c>
      <c r="L11" s="238">
        <f>IF(F11="NA", "NA", $L$4*TAN(RADIANS(F11)))</f>
        <v>23.261861618608894</v>
      </c>
      <c r="M11" s="238">
        <f>IF(G11="NA", "NA", $M$4*TAN(RADIANS(G11)))</f>
        <v>40.446174062559223</v>
      </c>
      <c r="N11" s="238">
        <f>IF(H11="NA","NA",$N$4*TAN(RADIANS(H11)))</f>
        <v>139.829554914694</v>
      </c>
      <c r="O11" s="238" t="s">
        <v>14</v>
      </c>
      <c r="P11" s="238">
        <f>J11*20.89</f>
        <v>0</v>
      </c>
      <c r="Q11" s="238">
        <f t="shared" ref="Q11:Q14" si="21">K11*20.89</f>
        <v>137.50679510513899</v>
      </c>
      <c r="R11" s="238">
        <f t="shared" si="0"/>
        <v>485.9402892127398</v>
      </c>
      <c r="S11" s="238">
        <f t="shared" si="0"/>
        <v>844.92057616686213</v>
      </c>
      <c r="T11" s="238">
        <f t="shared" si="0"/>
        <v>2921.0394021679576</v>
      </c>
      <c r="U11" s="238" t="s">
        <v>14</v>
      </c>
      <c r="V11" s="132"/>
      <c r="W11" s="396"/>
      <c r="X11" s="396"/>
      <c r="Y11" s="396"/>
      <c r="Z11" s="396"/>
      <c r="AA11" s="396"/>
      <c r="AB11" s="396"/>
      <c r="AC11" s="396"/>
      <c r="AD11" s="132"/>
      <c r="AE11" s="132"/>
      <c r="AF11" s="132"/>
      <c r="AG11" s="132"/>
      <c r="AH11" s="132"/>
      <c r="AI11" s="132"/>
    </row>
    <row r="12" spans="1:35" ht="21" customHeight="1" x14ac:dyDescent="0.35">
      <c r="A12" s="2"/>
      <c r="B12" s="163"/>
      <c r="C12" s="163"/>
      <c r="D12" s="240" t="s">
        <v>98</v>
      </c>
      <c r="E12" s="241">
        <f>IF(($C$5&lt;=20),(E11-(1.3/3)),IF(($C$5&lt;25),(E11-(2.15/3)),IF(($C$5&lt;45),(E11-(3/3)),IF($C$5=25,(E11-(3/3)),IF($C$5=45,(E11-(3/3)),IF(($C$5&lt;50),(E11-(4.05/3)),IF($C$5=50,E11-(5.1/3),(E11-(5.1/3)))))))))</f>
        <v>27.046317131085448</v>
      </c>
      <c r="F12" s="241">
        <f>IF(($C$5&lt;=20),(F11-(0.63/3)),IF(($C$5&lt;25),(F11-(2.27/3)),IF(($C$5&lt;45),(F11-(3.9/3)),IF($C$5=25,(F11-(3.9/3)),IF($C$5=45,(F11-(3.9/3)),IF(($C$5&lt;50),(F11-(4.05/3)),IF($C$5=50,F11-(4.2/3),(F11-(4.2/3)))))))))</f>
        <v>23.549602545614118</v>
      </c>
      <c r="G12" s="241">
        <f>IF(($C$5&lt;=20),(G11-(0.63/3)),IF(($C$5&lt;25),(G11-(1.8/3)),IF(($C$5&lt;45),(G11-(3/3)),IF($C$5=25,(G11-(3/3)),IF($C$5=45,(G11-(3/3)),IF(($C$5&lt;50),(G11-(3.6/3)),IF($C$5=50,G11-(4.2/3),(G11-(4.2/3)))))))))</f>
        <v>20.621448234644671</v>
      </c>
      <c r="H12" s="241">
        <f>IF(($C$5&lt;=20),(H11-(1.2/3)),IF(($C$5&lt;25),(H11-(2.1/3)),IF(($C$5&lt;45),(H11-(3/3)),IF($C$5=25,(H11-(3/3)),IF($C$5=45,(H11-(3/3)),IF(($C$5&lt;50),(H11-(3.45/3)),IF($C$5=50,H11-(3.9/3),(H11-(3.9/3)))))))))</f>
        <v>17.968293254271927</v>
      </c>
      <c r="I12" s="242" t="s">
        <v>14</v>
      </c>
      <c r="J12" s="241">
        <v>0</v>
      </c>
      <c r="K12" s="241">
        <f t="shared" ref="K12:K14" si="22">IF(E12="NA", "NA", $K$4*TAN(RADIANS(E12)))</f>
        <v>6.1265295113023726</v>
      </c>
      <c r="L12" s="241">
        <f>IF(F12="NA", "NA", $L$4*TAN(RADIANS(F12)))</f>
        <v>21.792108332294113</v>
      </c>
      <c r="M12" s="241">
        <f t="shared" ref="M12:M14" si="23">IF(G12="NA", "NA", $M$4*TAN(RADIANS(G12)))</f>
        <v>37.630257925336061</v>
      </c>
      <c r="N12" s="241">
        <f t="shared" ref="N12:N13" si="24">IF(H12="NA","NA",$N$4*TAN(RADIANS(H12)))</f>
        <v>129.7231985673919</v>
      </c>
      <c r="O12" s="241" t="s">
        <v>14</v>
      </c>
      <c r="P12" s="241">
        <f t="shared" ref="P12:P14" si="25">J12*20.89</f>
        <v>0</v>
      </c>
      <c r="Q12" s="241">
        <f t="shared" si="21"/>
        <v>127.98320149110657</v>
      </c>
      <c r="R12" s="241">
        <f t="shared" si="0"/>
        <v>455.23714306162401</v>
      </c>
      <c r="S12" s="241">
        <f t="shared" si="0"/>
        <v>786.09608806027029</v>
      </c>
      <c r="T12" s="241">
        <f t="shared" si="0"/>
        <v>2709.9176180728168</v>
      </c>
      <c r="U12" s="241" t="s">
        <v>14</v>
      </c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</row>
    <row r="13" spans="1:35" ht="21" customHeight="1" x14ac:dyDescent="0.35">
      <c r="A13" s="2"/>
      <c r="B13" s="163"/>
      <c r="C13" s="163"/>
      <c r="D13" s="243" t="s">
        <v>99</v>
      </c>
      <c r="E13" s="244">
        <f>IF(($C$5&lt;=20),(E11-(2*1.3/3)),IF(($C$5&lt;25),(E11-(2*2.15/3)),IF(($C$5&lt;45),(E11-(2*3/3)),IF($C$5=25,(E11-(2*3/3)),IF($C$5=45,(E11-(2*3/3)),IF(($C$5&lt;50),(E11-(2*4.05/3)),IF($C$5=50,E11-(2*5.1/3),(E11-(2*5.1/3)))))))))</f>
        <v>25.346317131085449</v>
      </c>
      <c r="F13" s="244">
        <f t="shared" ref="F13:F14" si="26">IF(($C$5&lt;=20),(F12-(0.63/3)),IF(($C$5&lt;25),(F12-(2.27/3)),IF(($C$5&lt;45),(F12-(3.9/3)),IF($C$5=25,(F12-(3.9/3)),IF($C$5=45,(F12-(3.9/3)),IF(($C$5&lt;50),(F12-(4.05/3)),IF($C$5=50,F12-(4.2/3),(F12-(4.2/3)))))))))</f>
        <v>22.149602545614119</v>
      </c>
      <c r="G13" s="244">
        <f t="shared" ref="G13:G14" si="27">IF(($C$5&lt;=20),(G12-(0.63/3)),IF(($C$5&lt;25),(G12-(1.8/3)),IF(($C$5&lt;45),(G12-(3/3)),IF($C$5=25,(G12-(3/3)),IF($C$5=45,(G12-(3/3)),IF(($C$5&lt;50),(G12-(3.6/3)),IF($C$5=50,G12-(4.2/3),(G12-(4.2/3)))))))))</f>
        <v>19.221448234644672</v>
      </c>
      <c r="H13" s="244">
        <f>IF(($C$5&lt;=20),(H11-(2*1.2/3)),IF(($C$5&lt;25),(H11-(2*2.1/3)),IF(($C$5&lt;45),(H11-(2*3/3)),IF($C$5=25,(H11-(2*3/3)),IF($C$5=45,(H11-(2*3/3)),IF(($C$5&lt;50),(H11-(2*3.45/3)),IF($C$5=50,H11-(2*3.9/3),(H11-(2*3.9/3)))))))))</f>
        <v>16.668293254271926</v>
      </c>
      <c r="I13" s="245" t="s">
        <v>14</v>
      </c>
      <c r="J13" s="244">
        <v>0</v>
      </c>
      <c r="K13" s="244">
        <f t="shared" si="22"/>
        <v>5.6842467318931202</v>
      </c>
      <c r="L13" s="244">
        <f t="shared" ref="L13:L14" si="28">IF(F13="NA", "NA", $L$4*TAN(RADIANS(F13)))</f>
        <v>20.353335943412048</v>
      </c>
      <c r="M13" s="244">
        <f>IF(G13="NA", "NA", $M$4*TAN(RADIANS(G13)))</f>
        <v>34.865663715744439</v>
      </c>
      <c r="N13" s="244">
        <f t="shared" si="24"/>
        <v>119.7645124647092</v>
      </c>
      <c r="O13" s="244" t="s">
        <v>14</v>
      </c>
      <c r="P13" s="244">
        <f t="shared" si="25"/>
        <v>0</v>
      </c>
      <c r="Q13" s="244">
        <f t="shared" si="21"/>
        <v>118.74391422924728</v>
      </c>
      <c r="R13" s="244">
        <f t="shared" si="0"/>
        <v>425.18118785787772</v>
      </c>
      <c r="S13" s="244">
        <f t="shared" si="0"/>
        <v>728.3437150219014</v>
      </c>
      <c r="T13" s="244">
        <f t="shared" si="0"/>
        <v>2501.880665387775</v>
      </c>
      <c r="U13" s="244" t="s">
        <v>14</v>
      </c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</row>
    <row r="14" spans="1:35" ht="21" customHeight="1" x14ac:dyDescent="0.35">
      <c r="A14" s="2"/>
      <c r="B14" s="163"/>
      <c r="C14" s="163"/>
      <c r="D14" s="246" t="s">
        <v>100</v>
      </c>
      <c r="E14" s="247">
        <f>IF(($C$5&lt;=20),(E11-(1.3)),IF(($C$5&lt;25),(E11-(2.15)),IF(($C$5&lt;45),(E11-(3)),IF($C$5=25,(E11-(3)),IF($C$5=45,(E11-(3)),IF(($C$5&lt;50),(E11-(4.05)),IF($C$5=50,E11-(5.1),(E11-(5.1)))))))))</f>
        <v>23.646317131085446</v>
      </c>
      <c r="F14" s="247">
        <f t="shared" si="26"/>
        <v>20.74960254561412</v>
      </c>
      <c r="G14" s="247">
        <f t="shared" si="27"/>
        <v>17.821448234644674</v>
      </c>
      <c r="H14" s="247">
        <f>IF(($C$5&lt;=20),(H11-(1.2)),IF(($C$5&lt;25),(H11-(2.1)),IF(($C$5&lt;45),(H11-(3)),IF($C$5=25,(H11-(3)),IF($C$5=45,(H11-(3)),IF(($C$5&lt;50),(H11-(3.45)),IF($C$5=50,H11-(3.9),(H11-(3.9)))))))))</f>
        <v>15.368293254271927</v>
      </c>
      <c r="I14" s="248" t="s">
        <v>14</v>
      </c>
      <c r="J14" s="247">
        <v>0</v>
      </c>
      <c r="K14" s="247">
        <f t="shared" si="22"/>
        <v>5.2542273938636042</v>
      </c>
      <c r="L14" s="247">
        <f t="shared" si="28"/>
        <v>18.942908805545962</v>
      </c>
      <c r="M14" s="247">
        <f t="shared" si="23"/>
        <v>32.147785569076866</v>
      </c>
      <c r="N14" s="247">
        <f>IF(H14="NA","NA",$N$4*TAN(RADIANS(H14)))</f>
        <v>109.94024347981622</v>
      </c>
      <c r="O14" s="247" t="s">
        <v>14</v>
      </c>
      <c r="P14" s="247">
        <f t="shared" si="25"/>
        <v>0</v>
      </c>
      <c r="Q14" s="247">
        <f t="shared" si="21"/>
        <v>109.76081025781069</v>
      </c>
      <c r="R14" s="247">
        <f t="shared" si="0"/>
        <v>395.71736494785517</v>
      </c>
      <c r="S14" s="247">
        <f t="shared" si="0"/>
        <v>671.56724053801577</v>
      </c>
      <c r="T14" s="247">
        <f t="shared" si="0"/>
        <v>2296.6516862933609</v>
      </c>
      <c r="U14" s="247" t="s">
        <v>14</v>
      </c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</row>
    <row r="15" spans="1:35" ht="21" hidden="1" x14ac:dyDescent="0.4">
      <c r="A15" s="2"/>
      <c r="E15" s="163"/>
      <c r="F15" s="163"/>
      <c r="G15" s="163"/>
      <c r="H15" s="163"/>
      <c r="I15" s="163"/>
      <c r="P15" s="2"/>
      <c r="Q15" s="4"/>
      <c r="AD15" s="132"/>
      <c r="AE15" s="132"/>
      <c r="AF15" s="132"/>
      <c r="AG15" s="132"/>
      <c r="AH15" s="132"/>
      <c r="AI15" s="132"/>
    </row>
    <row r="16" spans="1:35" ht="18" hidden="1" x14ac:dyDescent="0.35">
      <c r="A16" s="2"/>
      <c r="B16" s="408" t="s">
        <v>16</v>
      </c>
      <c r="C16" s="408"/>
      <c r="D16" s="408"/>
      <c r="E16" s="408"/>
      <c r="F16" s="408"/>
      <c r="G16" s="408"/>
      <c r="H16" s="408"/>
      <c r="K16" s="440" t="s">
        <v>16</v>
      </c>
      <c r="L16" s="440"/>
      <c r="M16" s="440"/>
      <c r="N16" s="440"/>
      <c r="O16" s="440"/>
      <c r="P16" s="2"/>
      <c r="Q16" s="441" t="s">
        <v>17</v>
      </c>
      <c r="R16" s="442"/>
      <c r="S16" s="442"/>
      <c r="T16" s="443"/>
      <c r="AD16" s="132"/>
      <c r="AE16" s="132"/>
      <c r="AF16" s="132"/>
      <c r="AG16" s="132"/>
      <c r="AH16" s="132"/>
      <c r="AI16" s="132"/>
    </row>
    <row r="17" spans="1:35" ht="18" hidden="1" x14ac:dyDescent="0.35">
      <c r="A17" s="2"/>
      <c r="B17" s="444" t="s">
        <v>18</v>
      </c>
      <c r="C17" s="5">
        <f>B5</f>
        <v>69</v>
      </c>
      <c r="D17" s="5" t="s">
        <v>14</v>
      </c>
      <c r="E17" s="6">
        <f>L19+M19*C17+N19*(C17)^2</f>
        <v>22.3981722149415</v>
      </c>
      <c r="F17" s="6">
        <f>L20+M20*C17+N20*(C17)^2</f>
        <v>21.412408736202398</v>
      </c>
      <c r="G17" s="6">
        <f>L21+M21*C17+N21*(C17)^2</f>
        <v>20.445819272259602</v>
      </c>
      <c r="H17" s="7">
        <f>L22+M22*C17+N22*(C17)^2+O22*(C17)^3</f>
        <v>19.887101714773149</v>
      </c>
      <c r="K17" s="8" t="s">
        <v>18</v>
      </c>
      <c r="L17" s="9" t="s">
        <v>19</v>
      </c>
      <c r="M17" s="9" t="s">
        <v>20</v>
      </c>
      <c r="N17" s="9" t="s">
        <v>21</v>
      </c>
      <c r="O17" s="9" t="s">
        <v>21</v>
      </c>
      <c r="P17" s="2"/>
      <c r="Q17" s="8" t="s">
        <v>18</v>
      </c>
      <c r="R17" s="10" t="s">
        <v>19</v>
      </c>
      <c r="S17" s="11" t="s">
        <v>20</v>
      </c>
      <c r="T17" s="11" t="s">
        <v>21</v>
      </c>
      <c r="U17" s="11" t="s">
        <v>27</v>
      </c>
      <c r="AD17" s="132"/>
      <c r="AE17" s="132"/>
      <c r="AF17" s="132"/>
      <c r="AG17" s="132"/>
      <c r="AH17" s="132"/>
      <c r="AI17" s="132"/>
    </row>
    <row r="18" spans="1:35" ht="18" hidden="1" x14ac:dyDescent="0.4">
      <c r="A18" s="2"/>
      <c r="B18" s="435"/>
      <c r="C18" s="12">
        <f>C17</f>
        <v>69</v>
      </c>
      <c r="D18" s="12" t="s">
        <v>14</v>
      </c>
      <c r="E18" s="13">
        <f>IF(C18&lt;25,"NA",IF(C18&lt;81,E17,"NA"))</f>
        <v>22.3981722149415</v>
      </c>
      <c r="F18" s="13">
        <f>IF(C18&lt;25,"NA",IF(C18&lt;81,F17,"NA"))</f>
        <v>21.412408736202398</v>
      </c>
      <c r="G18" s="13">
        <f>IF(C18&lt;25,"NA",IF(C18&lt;81,G17,"NA"))</f>
        <v>20.445819272259602</v>
      </c>
      <c r="H18" s="14">
        <f>IF(C18&lt;25,"NA",IF(C18&lt;81,H17,"NA"))</f>
        <v>19.887101714773149</v>
      </c>
      <c r="K18" s="15" t="s">
        <v>22</v>
      </c>
      <c r="L18" s="16"/>
      <c r="M18" s="16" t="s">
        <v>23</v>
      </c>
      <c r="N18" s="16" t="s">
        <v>24</v>
      </c>
      <c r="O18" s="16" t="s">
        <v>28</v>
      </c>
      <c r="P18" s="2"/>
      <c r="Q18" s="15" t="s">
        <v>22</v>
      </c>
      <c r="R18" s="17"/>
      <c r="S18" s="18" t="s">
        <v>23</v>
      </c>
      <c r="T18" s="18" t="s">
        <v>24</v>
      </c>
      <c r="U18" s="18" t="s">
        <v>28</v>
      </c>
      <c r="AD18" s="132"/>
      <c r="AE18" s="132"/>
      <c r="AF18" s="132"/>
      <c r="AG18" s="132"/>
      <c r="AH18" s="132"/>
      <c r="AI18" s="132"/>
    </row>
    <row r="19" spans="1:35" hidden="1" x14ac:dyDescent="0.3">
      <c r="A19" s="2"/>
      <c r="B19" s="436" t="s">
        <v>25</v>
      </c>
      <c r="C19" s="19">
        <f>B5</f>
        <v>69</v>
      </c>
      <c r="D19" s="19" t="s">
        <v>14</v>
      </c>
      <c r="E19" s="20">
        <f>J26+K26*C19+L26*(C19)^2+M26*(C19)^3</f>
        <v>19.363315133965621</v>
      </c>
      <c r="F19" s="20">
        <f>J27+K27*C19+L27*(C19)^2+M27*(C19)^3+N27*(C19)^4+O27*(C19)^5</f>
        <v>17.486817097727744</v>
      </c>
      <c r="G19" s="20">
        <f>J28+K28*C19+L28*(C19)^2+M28*(C19)^3+N28*(C19)^4+O28*(C19)^5+P28*(C19)^6</f>
        <v>15.412786731742408</v>
      </c>
      <c r="H19" s="21">
        <f>J29+K29*C19+L29*(C19)^2+M29*(C19)^3+N29*(C19)^4+O29*(C19)^5</f>
        <v>12.944316697363234</v>
      </c>
      <c r="K19" s="22">
        <v>50</v>
      </c>
      <c r="L19" s="23">
        <v>38.033086709999999</v>
      </c>
      <c r="M19" s="24">
        <v>-0.2605941973</v>
      </c>
      <c r="N19" s="25">
        <v>4.9277150149999998E-4</v>
      </c>
      <c r="P19" s="2"/>
      <c r="Q19" s="26">
        <v>12</v>
      </c>
      <c r="R19" s="27">
        <v>35.406075280000003</v>
      </c>
      <c r="S19" s="28">
        <v>-7.1986118880000005E-2</v>
      </c>
      <c r="T19" s="29">
        <v>2.3364568279999999E-4</v>
      </c>
      <c r="U19" s="29">
        <v>0</v>
      </c>
      <c r="V19" s="93"/>
      <c r="AD19" s="132"/>
      <c r="AE19" s="132"/>
      <c r="AF19" s="132"/>
      <c r="AG19" s="132"/>
      <c r="AH19" s="132"/>
      <c r="AI19" s="132"/>
    </row>
    <row r="20" spans="1:35" hidden="1" x14ac:dyDescent="0.3">
      <c r="A20" s="2"/>
      <c r="B20" s="437"/>
      <c r="C20" s="30">
        <f>C19</f>
        <v>69</v>
      </c>
      <c r="D20" s="30" t="s">
        <v>14</v>
      </c>
      <c r="E20" s="31">
        <f>IF(C20&lt;35,"NA",IF(C20&lt;=131,E19,"NA"))</f>
        <v>19.363315133965621</v>
      </c>
      <c r="F20" s="31">
        <f>IF(C20&lt;35,"NA",IF(C20&lt;=131,F19,"NA"))</f>
        <v>17.486817097727744</v>
      </c>
      <c r="G20" s="31">
        <f>IF(C20&lt;35,"NA",IF(C20&lt;=131,G19,"NA"))</f>
        <v>15.412786731742408</v>
      </c>
      <c r="H20" s="32">
        <f>IF(C20&lt;35,"NA",IF(C20&lt;=131,H19,"NA"))</f>
        <v>12.944316697363234</v>
      </c>
      <c r="K20" s="33">
        <v>100</v>
      </c>
      <c r="L20" s="34">
        <v>37.803024729999997</v>
      </c>
      <c r="M20" s="35">
        <v>-0.27287084909999998</v>
      </c>
      <c r="N20" s="36">
        <v>5.1196651839999999E-4</v>
      </c>
      <c r="P20" s="2"/>
      <c r="Q20" s="26">
        <v>50</v>
      </c>
      <c r="R20" s="27">
        <v>33.934800000000003</v>
      </c>
      <c r="S20" s="28">
        <v>-7.234071551E-2</v>
      </c>
      <c r="T20" s="29">
        <v>2.1144580809999999E-4</v>
      </c>
      <c r="U20" s="29">
        <v>0</v>
      </c>
      <c r="AD20" s="132"/>
      <c r="AE20" s="132"/>
      <c r="AF20" s="132"/>
      <c r="AG20" s="132"/>
      <c r="AH20" s="132"/>
      <c r="AI20" s="132"/>
    </row>
    <row r="21" spans="1:35" hidden="1" x14ac:dyDescent="0.3">
      <c r="A21" s="2"/>
      <c r="B21" s="438" t="s">
        <v>26</v>
      </c>
      <c r="C21" s="41">
        <f>B5</f>
        <v>69</v>
      </c>
      <c r="D21" s="41" t="s">
        <v>14</v>
      </c>
      <c r="E21" s="42">
        <f>L33+M33*C21+N33*(C21)^2+O33*(C21)^3</f>
        <v>15.352229599999998</v>
      </c>
      <c r="F21" s="42">
        <f>L34+M34*$C21+N34*($C21)^2+O34*($C21)^3</f>
        <v>14.014064251099999</v>
      </c>
      <c r="G21" s="42">
        <f>L35+M35*C21+N35*(C21)^2+O35*(C21)^3</f>
        <v>12.16895051</v>
      </c>
      <c r="H21" s="43">
        <f>L36+M36*C21+N36*(C21)^2+O36*(C21)^3</f>
        <v>8.9940667999999988</v>
      </c>
      <c r="K21" s="44">
        <v>400</v>
      </c>
      <c r="L21" s="45">
        <v>38.32356411</v>
      </c>
      <c r="M21" s="38">
        <v>-0.31898651680000001</v>
      </c>
      <c r="N21" s="46">
        <v>8.679531236E-4</v>
      </c>
      <c r="P21" s="2"/>
      <c r="Q21" s="37">
        <v>100</v>
      </c>
      <c r="R21" s="38">
        <v>33.978889160000001</v>
      </c>
      <c r="S21" s="39">
        <v>-8.7667032820000004E-2</v>
      </c>
      <c r="T21" s="40">
        <v>2.7418913529999998E-4</v>
      </c>
      <c r="U21" s="29">
        <v>0</v>
      </c>
      <c r="AD21" s="132"/>
      <c r="AE21" s="132"/>
      <c r="AF21" s="132"/>
      <c r="AG21" s="132"/>
      <c r="AH21" s="132"/>
      <c r="AI21" s="132"/>
    </row>
    <row r="22" spans="1:35" ht="13.5" hidden="1" customHeight="1" x14ac:dyDescent="0.3">
      <c r="A22" s="2"/>
      <c r="B22" s="445"/>
      <c r="C22" s="51">
        <f>C21</f>
        <v>69</v>
      </c>
      <c r="D22" s="51" t="s">
        <v>14</v>
      </c>
      <c r="E22" s="52">
        <f>L40+M40*$C22</f>
        <v>10.545500000000001</v>
      </c>
      <c r="F22" s="52">
        <f>L41+M41*$C22</f>
        <v>9.3760999999999992</v>
      </c>
      <c r="G22" s="52">
        <f>L42+M42*$C22</f>
        <v>7.5307999999999993</v>
      </c>
      <c r="H22" s="53">
        <f>L43+M43*$C22</f>
        <v>5.5907</v>
      </c>
      <c r="K22" s="54">
        <v>700</v>
      </c>
      <c r="L22" s="55">
        <v>39.095295100000001</v>
      </c>
      <c r="M22" s="48">
        <v>-0.43707049380000002</v>
      </c>
      <c r="N22" s="56">
        <v>3.4175760939999999E-3</v>
      </c>
      <c r="O22" s="157">
        <v>-1.6198670650000001E-5</v>
      </c>
      <c r="P22" s="2"/>
      <c r="Q22" s="47">
        <v>400</v>
      </c>
      <c r="R22" s="48">
        <v>33.433427129999998</v>
      </c>
      <c r="S22" s="49">
        <v>-9.4975937659999995E-2</v>
      </c>
      <c r="T22" s="50">
        <v>1.5747615449999999E-4</v>
      </c>
      <c r="U22" s="29">
        <v>0</v>
      </c>
      <c r="AD22" s="132"/>
      <c r="AE22" s="132"/>
      <c r="AF22" s="132"/>
      <c r="AG22" s="132"/>
      <c r="AH22" s="132"/>
      <c r="AI22" s="132"/>
    </row>
    <row r="23" spans="1:35" hidden="1" x14ac:dyDescent="0.3">
      <c r="A23" s="2"/>
      <c r="B23" s="439"/>
      <c r="C23" s="57">
        <f>B5</f>
        <v>69</v>
      </c>
      <c r="D23" s="57" t="s">
        <v>14</v>
      </c>
      <c r="E23" s="58">
        <f>IF(C23&lt;45,"NA",IF(C23&lt;120,E21,IF(C23&lt;=300,E22,"NA")))</f>
        <v>15.352229599999998</v>
      </c>
      <c r="F23" s="58">
        <f>IF(C23&lt;45,"NA",IF(C23&lt;120,F21,IF(C23&lt;=300,F22,"NA")))</f>
        <v>14.014064251099999</v>
      </c>
      <c r="G23" s="58">
        <f>IF(C23&lt;45,"NA",IF(C23&lt;120,G21,IF(C23&lt;=300,G22,"NA")))</f>
        <v>12.16895051</v>
      </c>
      <c r="H23" s="59">
        <f>IF(C23&lt;45,"NA",IF(C23&lt;120,H21,IF(C23&lt;=300,H22,"NA")))</f>
        <v>8.9940667999999988</v>
      </c>
      <c r="P23" s="2"/>
      <c r="AD23" s="132"/>
      <c r="AE23" s="132"/>
      <c r="AF23" s="132"/>
      <c r="AG23" s="132"/>
      <c r="AH23" s="132"/>
      <c r="AI23" s="132"/>
    </row>
    <row r="24" spans="1:35" ht="18" hidden="1" x14ac:dyDescent="0.35">
      <c r="A24" s="2"/>
      <c r="I24" s="60" t="s">
        <v>25</v>
      </c>
      <c r="J24" s="61" t="s">
        <v>19</v>
      </c>
      <c r="K24" s="61" t="s">
        <v>20</v>
      </c>
      <c r="L24" s="61" t="s">
        <v>21</v>
      </c>
      <c r="M24" s="61" t="s">
        <v>27</v>
      </c>
      <c r="N24" s="61" t="s">
        <v>27</v>
      </c>
      <c r="O24" s="61" t="s">
        <v>27</v>
      </c>
      <c r="P24" s="61" t="s">
        <v>27</v>
      </c>
      <c r="Q24" s="60" t="s">
        <v>25</v>
      </c>
      <c r="R24" s="62" t="s">
        <v>19</v>
      </c>
      <c r="S24" s="63" t="s">
        <v>20</v>
      </c>
      <c r="T24" s="63" t="s">
        <v>21</v>
      </c>
      <c r="U24" s="63" t="s">
        <v>27</v>
      </c>
      <c r="AD24" s="132"/>
      <c r="AE24" s="132"/>
      <c r="AF24" s="132"/>
      <c r="AG24" s="132"/>
      <c r="AH24" s="132"/>
      <c r="AI24" s="132"/>
    </row>
    <row r="25" spans="1:35" ht="18.600000000000001" hidden="1" x14ac:dyDescent="0.4">
      <c r="A25" s="2"/>
      <c r="B25" s="397" t="s">
        <v>17</v>
      </c>
      <c r="C25" s="398"/>
      <c r="D25" s="398"/>
      <c r="E25" s="398"/>
      <c r="F25" s="398"/>
      <c r="G25" s="398"/>
      <c r="H25" s="399"/>
      <c r="I25" s="64" t="s">
        <v>22</v>
      </c>
      <c r="J25" s="61"/>
      <c r="K25" s="61" t="s">
        <v>23</v>
      </c>
      <c r="L25" s="61" t="s">
        <v>24</v>
      </c>
      <c r="M25" s="61" t="s">
        <v>28</v>
      </c>
      <c r="N25" s="61" t="s">
        <v>62</v>
      </c>
      <c r="O25" s="61" t="s">
        <v>63</v>
      </c>
      <c r="P25" s="61" t="s">
        <v>82</v>
      </c>
      <c r="Q25" s="64" t="s">
        <v>22</v>
      </c>
      <c r="R25" s="62"/>
      <c r="S25" s="63" t="s">
        <v>23</v>
      </c>
      <c r="T25" s="63" t="s">
        <v>24</v>
      </c>
      <c r="U25" s="63" t="s">
        <v>28</v>
      </c>
      <c r="AD25" s="132"/>
      <c r="AE25" s="132"/>
      <c r="AF25" s="132"/>
      <c r="AG25" s="132"/>
      <c r="AH25" s="132"/>
      <c r="AI25" s="132"/>
    </row>
    <row r="26" spans="1:35" hidden="1" x14ac:dyDescent="0.3">
      <c r="A26" s="2"/>
      <c r="B26" s="434" t="s">
        <v>18</v>
      </c>
      <c r="C26" s="65">
        <f>B5</f>
        <v>69</v>
      </c>
      <c r="D26" s="66">
        <f>R19+S19*(C26)+T19*(C26)^2</f>
        <v>31.551420173090801</v>
      </c>
      <c r="E26" s="66">
        <f>R20+S20*(C26)+T20*(C26)^2</f>
        <v>29.949984122174101</v>
      </c>
      <c r="F26" s="66">
        <f>R21+S21*(C26)+T21*(C26)^2</f>
        <v>29.235278368583302</v>
      </c>
      <c r="G26" s="66">
        <f>R22+S22*(C26)+T22*(C26)^2+U22*(C26)^3</f>
        <v>27.629831403034498</v>
      </c>
      <c r="H26" s="67" t="s">
        <v>14</v>
      </c>
      <c r="I26" s="22">
        <v>50</v>
      </c>
      <c r="J26" s="68">
        <v>32.008962449999999</v>
      </c>
      <c r="K26" s="69">
        <v>-5.1561604470000001E-2</v>
      </c>
      <c r="L26" s="69">
        <v>-3.096033389E-3</v>
      </c>
      <c r="M26" s="69">
        <v>1.7205977180000002E-5</v>
      </c>
      <c r="P26" s="2"/>
      <c r="Q26" s="26">
        <v>12</v>
      </c>
      <c r="R26" s="27">
        <v>35.621955309999997</v>
      </c>
      <c r="S26" s="28">
        <v>-7.6736341390000004E-2</v>
      </c>
      <c r="T26" s="29">
        <v>-7.0530895469999994E-5</v>
      </c>
      <c r="U26" s="156">
        <v>1.2535158759999999E-6</v>
      </c>
      <c r="V26" s="93"/>
      <c r="AD26" s="132"/>
      <c r="AE26" s="132"/>
      <c r="AF26" s="132"/>
      <c r="AG26" s="132"/>
      <c r="AH26" s="132"/>
      <c r="AI26" s="132"/>
    </row>
    <row r="27" spans="1:35" hidden="1" x14ac:dyDescent="0.3">
      <c r="A27" s="2"/>
      <c r="B27" s="435"/>
      <c r="C27" s="12">
        <f>C26</f>
        <v>69</v>
      </c>
      <c r="D27" s="13">
        <f>IF(C27&lt;25,"NA",IF(C27&lt;81,D26,"NA"))</f>
        <v>31.551420173090801</v>
      </c>
      <c r="E27" s="13">
        <f>IF(C27&lt;25,"NA",IF(C27&lt;81,E26,"NA"))</f>
        <v>29.949984122174101</v>
      </c>
      <c r="F27" s="13">
        <f>IF(C27&lt;25,"NA",IF(C27&lt;81,F26,"NA"))</f>
        <v>29.235278368583302</v>
      </c>
      <c r="G27" s="13">
        <f>IF(C27&lt;25,"NA",IF(C27&lt;81,G26,"NA"))</f>
        <v>27.629831403034498</v>
      </c>
      <c r="H27" s="14" t="s">
        <v>14</v>
      </c>
      <c r="I27" s="33">
        <v>100</v>
      </c>
      <c r="J27" s="70">
        <v>42.846793499999997</v>
      </c>
      <c r="K27" s="71">
        <v>-0.95247491269999995</v>
      </c>
      <c r="L27" s="71">
        <v>2.099823411E-2</v>
      </c>
      <c r="M27" s="71">
        <v>-2.9366059069999999E-4</v>
      </c>
      <c r="N27" s="86">
        <v>1.9564796509999998E-6</v>
      </c>
      <c r="O27" s="86">
        <v>-4.7885319059999996E-9</v>
      </c>
      <c r="P27" s="2"/>
      <c r="Q27" s="26">
        <v>50</v>
      </c>
      <c r="R27" s="27">
        <v>33.789955640000002</v>
      </c>
      <c r="S27" s="28">
        <v>-9.4482599269999995E-2</v>
      </c>
      <c r="T27" s="29">
        <v>2.0438564179999999E-4</v>
      </c>
      <c r="AD27" s="132"/>
      <c r="AE27" s="132"/>
      <c r="AF27" s="132"/>
      <c r="AG27" s="132"/>
      <c r="AH27" s="132"/>
      <c r="AI27" s="132"/>
    </row>
    <row r="28" spans="1:35" hidden="1" x14ac:dyDescent="0.3">
      <c r="A28" s="2"/>
      <c r="B28" s="436" t="s">
        <v>25</v>
      </c>
      <c r="C28" s="19">
        <f>B5</f>
        <v>69</v>
      </c>
      <c r="D28" s="20">
        <f>R26+S26*(C28)+T26*(C28)^2+U26*(B5)^3</f>
        <v>30.403141407666208</v>
      </c>
      <c r="E28" s="20">
        <f>R27+S27*(C28)+T27*(C28)^2</f>
        <v>28.243736330979804</v>
      </c>
      <c r="F28" s="20">
        <f>R28+S28*(C28)+T28*(C28)^2</f>
        <v>26.379600997068</v>
      </c>
      <c r="G28" s="20">
        <f>R29+S29*(C28)+T29*(C28)^2</f>
        <v>23.701908889324098</v>
      </c>
      <c r="H28" s="21" t="s">
        <v>14</v>
      </c>
      <c r="I28" s="44">
        <v>400</v>
      </c>
      <c r="J28" s="158">
        <v>47.345950649999999</v>
      </c>
      <c r="K28" s="159">
        <v>-1.5287339520000001</v>
      </c>
      <c r="L28" s="159">
        <v>4.0686569999999998E-2</v>
      </c>
      <c r="M28" s="159">
        <v>-6.4303825950000001E-4</v>
      </c>
      <c r="N28" s="159">
        <v>5.3513928050000002E-6</v>
      </c>
      <c r="O28" s="159">
        <v>-2.158603094E-8</v>
      </c>
      <c r="P28" s="159">
        <v>3.2850220479999997E-11</v>
      </c>
      <c r="Q28" s="37">
        <v>100</v>
      </c>
      <c r="R28" s="38">
        <v>32.607030330000001</v>
      </c>
      <c r="S28" s="39">
        <v>-0.10782350340000001</v>
      </c>
      <c r="T28" s="72">
        <v>2.5465078799999998E-4</v>
      </c>
      <c r="AD28" s="132"/>
      <c r="AE28" s="132"/>
      <c r="AF28" s="132"/>
      <c r="AG28" s="132"/>
      <c r="AH28" s="132"/>
      <c r="AI28" s="132"/>
    </row>
    <row r="29" spans="1:35" hidden="1" x14ac:dyDescent="0.3">
      <c r="A29" s="2"/>
      <c r="B29" s="437"/>
      <c r="C29" s="30">
        <f>C28</f>
        <v>69</v>
      </c>
      <c r="D29" s="31">
        <f>IF(C29&lt;35,"NA",IF(C29&lt;=131,D28,"NA"))</f>
        <v>30.403141407666208</v>
      </c>
      <c r="E29" s="31">
        <f>IF(C29&lt;35,"NA",IF(C29&lt;=131,E28,"NA"))</f>
        <v>28.243736330979804</v>
      </c>
      <c r="F29" s="31">
        <f>IF(C29&lt;35,"NA",IF(C29&lt;=131,F28,"NA"))</f>
        <v>26.379600997068</v>
      </c>
      <c r="G29" s="31">
        <f>IF(C29&lt;35,"NA",IF(C29&lt;=131,G28,"NA"))</f>
        <v>23.701908889324098</v>
      </c>
      <c r="H29" s="32" t="s">
        <v>14</v>
      </c>
      <c r="I29" s="54">
        <v>700</v>
      </c>
      <c r="J29" s="74">
        <v>38.358431019999998</v>
      </c>
      <c r="K29" s="75">
        <v>-0.95417449909999996</v>
      </c>
      <c r="L29" s="75">
        <v>1.9693885059999999E-2</v>
      </c>
      <c r="M29" s="75">
        <v>-2.6045865530000001E-4</v>
      </c>
      <c r="N29" s="86">
        <v>1.7128802039999999E-6</v>
      </c>
      <c r="O29" s="86">
        <v>-4.2209583000000002E-9</v>
      </c>
      <c r="P29" s="2"/>
      <c r="Q29" s="47">
        <v>400</v>
      </c>
      <c r="R29" s="48">
        <v>31.80820121</v>
      </c>
      <c r="S29" s="49">
        <v>-0.14648675559999999</v>
      </c>
      <c r="T29" s="73">
        <v>4.203515681E-4</v>
      </c>
      <c r="AD29" s="132"/>
      <c r="AE29" s="132"/>
      <c r="AF29" s="132"/>
      <c r="AG29" s="132"/>
      <c r="AH29" s="132"/>
      <c r="AI29" s="132"/>
    </row>
    <row r="30" spans="1:35" hidden="1" x14ac:dyDescent="0.3">
      <c r="A30" s="2"/>
      <c r="B30" s="438" t="s">
        <v>26</v>
      </c>
      <c r="C30" s="51">
        <f>B5</f>
        <v>69</v>
      </c>
      <c r="D30" s="52">
        <f>R33+S33*(C30)+T33*(C30)^2+U33*(C30)^3+V33*(C30)^4+W33*(C30)^5</f>
        <v>28.746317131085448</v>
      </c>
      <c r="E30" s="52">
        <f>R34+S34*(C30)+T34*(C30)^2+U34*(C30)^3+V34*(C30)^4+W34*(C30)^5</f>
        <v>24.949602545614116</v>
      </c>
      <c r="F30" s="52">
        <f>R35+S35*(C30)+T35*(C30)^2+U35*(C30)^3+V35*(C30)^4+W35*(C30)^5</f>
        <v>22.021448234644669</v>
      </c>
      <c r="G30" s="52">
        <f>R36+S36*(C30)+T36*(C30)^2+U36*(C30)^3+V36*(C30)^4+W36*(C30)^5</f>
        <v>19.268293254271928</v>
      </c>
      <c r="H30" s="53" t="s">
        <v>14</v>
      </c>
      <c r="K30" s="76" t="s">
        <v>29</v>
      </c>
      <c r="L30" s="77"/>
      <c r="M30" s="77"/>
      <c r="N30" s="77"/>
      <c r="O30" s="77"/>
      <c r="P30" s="2"/>
      <c r="AD30" s="132"/>
      <c r="AE30" s="132"/>
      <c r="AF30" s="132"/>
      <c r="AG30" s="132"/>
      <c r="AH30" s="132"/>
      <c r="AI30" s="132"/>
    </row>
    <row r="31" spans="1:35" ht="18" hidden="1" x14ac:dyDescent="0.35">
      <c r="A31" s="2"/>
      <c r="B31" s="439"/>
      <c r="C31" s="57">
        <f>C30</f>
        <v>69</v>
      </c>
      <c r="D31" s="58">
        <f>IF(C31&lt;45,"NA",IF(C31&lt;=300,D30,"NA"))</f>
        <v>28.746317131085448</v>
      </c>
      <c r="E31" s="58">
        <f>IF(C31&lt;45,"NA",IF(C31&lt;=300,E30,"NA"))</f>
        <v>24.949602545614116</v>
      </c>
      <c r="F31" s="58">
        <f>IF(C31&lt;45,"NA",IF(C31&lt;=300,F30,"NA"))</f>
        <v>22.021448234644669</v>
      </c>
      <c r="G31" s="58">
        <f>IF(C31&lt;45,"NA",IF(C31&lt;=300,G30,"NA"))</f>
        <v>19.268293254271928</v>
      </c>
      <c r="H31" s="59" t="s">
        <v>14</v>
      </c>
      <c r="K31" s="78" t="s">
        <v>26</v>
      </c>
      <c r="L31" s="79" t="s">
        <v>19</v>
      </c>
      <c r="M31" s="79" t="s">
        <v>20</v>
      </c>
      <c r="N31" s="79" t="s">
        <v>21</v>
      </c>
      <c r="O31" s="79" t="s">
        <v>27</v>
      </c>
      <c r="P31" s="2"/>
      <c r="Q31" s="78" t="s">
        <v>26</v>
      </c>
      <c r="R31" s="80" t="s">
        <v>19</v>
      </c>
      <c r="S31" s="81" t="s">
        <v>20</v>
      </c>
      <c r="T31" s="81" t="s">
        <v>21</v>
      </c>
      <c r="U31" s="81" t="s">
        <v>27</v>
      </c>
      <c r="V31" s="81" t="s">
        <v>64</v>
      </c>
      <c r="W31" s="81" t="s">
        <v>65</v>
      </c>
      <c r="AD31" s="132"/>
      <c r="AE31" s="132"/>
      <c r="AF31" s="132"/>
      <c r="AG31" s="132"/>
      <c r="AH31" s="132"/>
      <c r="AI31" s="132"/>
    </row>
    <row r="32" spans="1:35" ht="18" hidden="1" x14ac:dyDescent="0.4">
      <c r="A32" s="2"/>
      <c r="K32" s="82" t="s">
        <v>22</v>
      </c>
      <c r="L32" s="79"/>
      <c r="M32" s="79" t="s">
        <v>23</v>
      </c>
      <c r="N32" s="79" t="s">
        <v>24</v>
      </c>
      <c r="O32" s="79" t="s">
        <v>28</v>
      </c>
      <c r="P32" s="2"/>
      <c r="Q32" s="82" t="s">
        <v>22</v>
      </c>
      <c r="R32" s="80"/>
      <c r="S32" s="81" t="s">
        <v>23</v>
      </c>
      <c r="T32" s="81" t="s">
        <v>24</v>
      </c>
      <c r="U32" s="81" t="s">
        <v>28</v>
      </c>
      <c r="V32" s="81" t="s">
        <v>62</v>
      </c>
      <c r="W32" s="81" t="s">
        <v>63</v>
      </c>
      <c r="AD32" s="132"/>
      <c r="AE32" s="132"/>
      <c r="AF32" s="132"/>
      <c r="AG32" s="132"/>
      <c r="AH32" s="132"/>
      <c r="AI32" s="132"/>
    </row>
    <row r="33" spans="1:35" ht="17.25" hidden="1" customHeight="1" x14ac:dyDescent="0.3">
      <c r="A33" s="2"/>
      <c r="K33" s="83">
        <v>50</v>
      </c>
      <c r="L33" s="84">
        <v>33.44</v>
      </c>
      <c r="M33" s="85">
        <v>-0.31</v>
      </c>
      <c r="N33" s="86">
        <v>3.8999999999999999E-4</v>
      </c>
      <c r="O33" s="87">
        <v>4.4000000000000002E-6</v>
      </c>
      <c r="P33" s="2"/>
      <c r="Q33" s="88">
        <v>12</v>
      </c>
      <c r="R33" s="89">
        <v>35.642353880000002</v>
      </c>
      <c r="S33" s="28">
        <v>-0.11425207749999999</v>
      </c>
      <c r="T33" s="29">
        <v>2.238184592E-4</v>
      </c>
      <c r="U33" s="90">
        <v>-2.381763838E-7</v>
      </c>
      <c r="V33" s="90">
        <v>0</v>
      </c>
      <c r="W33" s="90">
        <v>0</v>
      </c>
      <c r="X33" s="84"/>
      <c r="AD33" s="132"/>
      <c r="AE33" s="132"/>
      <c r="AF33" s="132"/>
      <c r="AG33" s="132"/>
      <c r="AH33" s="132"/>
      <c r="AI33" s="132"/>
    </row>
    <row r="34" spans="1:35" hidden="1" x14ac:dyDescent="0.3">
      <c r="A34" s="2"/>
      <c r="C34" s="413" t="s">
        <v>78</v>
      </c>
      <c r="D34" s="414"/>
      <c r="E34" s="414"/>
      <c r="G34" s="413" t="s">
        <v>77</v>
      </c>
      <c r="H34" s="414"/>
      <c r="I34" s="414"/>
      <c r="K34" s="83">
        <v>100</v>
      </c>
      <c r="L34" s="84">
        <v>30.65</v>
      </c>
      <c r="M34" s="85">
        <v>-0.25040000000000001</v>
      </c>
      <c r="N34" s="86">
        <v>-4.2053000000000001E-4</v>
      </c>
      <c r="O34" s="87">
        <v>8.0478999999999996E-6</v>
      </c>
      <c r="P34" s="2"/>
      <c r="Q34" s="88">
        <v>50</v>
      </c>
      <c r="R34" s="89">
        <v>34.759863250000002</v>
      </c>
      <c r="S34" s="28">
        <v>-0.24065530630000001</v>
      </c>
      <c r="T34" s="29">
        <v>2.0315981500000002E-3</v>
      </c>
      <c r="U34" s="90">
        <v>-1.0439104369999999E-5</v>
      </c>
      <c r="V34" s="90">
        <v>2.6104614510000001E-8</v>
      </c>
      <c r="W34" s="90">
        <v>-2.5485473889999999E-11</v>
      </c>
      <c r="AD34" s="132"/>
      <c r="AE34" s="132"/>
      <c r="AF34" s="132"/>
      <c r="AG34" s="132"/>
      <c r="AH34" s="132"/>
      <c r="AI34" s="132"/>
    </row>
    <row r="35" spans="1:35" hidden="1" x14ac:dyDescent="0.3">
      <c r="A35" s="2"/>
      <c r="D35" s="3" t="s">
        <v>32</v>
      </c>
      <c r="E35" s="3" t="s">
        <v>33</v>
      </c>
      <c r="H35" s="3" t="s">
        <v>32</v>
      </c>
      <c r="I35" s="3" t="s">
        <v>33</v>
      </c>
      <c r="K35" s="83">
        <v>400</v>
      </c>
      <c r="L35" s="84">
        <v>29.42</v>
      </c>
      <c r="M35" s="85">
        <v>-0.26650000000000001</v>
      </c>
      <c r="N35" s="86">
        <v>-3.4000000000000002E-4</v>
      </c>
      <c r="O35" s="87">
        <v>8.3899999999999993E-6</v>
      </c>
      <c r="P35" s="2"/>
      <c r="Q35" s="88">
        <v>100</v>
      </c>
      <c r="R35" s="45">
        <v>32.96766865</v>
      </c>
      <c r="S35" s="39">
        <v>-0.25454966759999997</v>
      </c>
      <c r="T35" s="72">
        <v>1.7867971039999999E-3</v>
      </c>
      <c r="U35" s="91">
        <v>-6.3067128199999996E-6</v>
      </c>
      <c r="V35" s="91">
        <v>8.0547308450000003E-9</v>
      </c>
      <c r="W35" s="91">
        <v>0</v>
      </c>
      <c r="AD35" s="132"/>
      <c r="AE35" s="132"/>
      <c r="AF35" s="132"/>
      <c r="AG35" s="132"/>
      <c r="AH35" s="132"/>
      <c r="AI35" s="132"/>
    </row>
    <row r="36" spans="1:35" hidden="1" x14ac:dyDescent="0.3">
      <c r="A36" s="2"/>
      <c r="C36" s="3" t="s">
        <v>74</v>
      </c>
      <c r="D36" s="3">
        <f>IF(B5&lt;25,"NA",IF(B5&lt;76,(2.2*B5^(-0.393)),"NA"))</f>
        <v>0.41663426851440316</v>
      </c>
      <c r="E36" s="3">
        <f>IF(B5&lt;25,"NA",IF(B5&lt;76,(1.31*B5^(-0.0842)),"NA"))</f>
        <v>0.91714964483166617</v>
      </c>
      <c r="G36" s="3" t="s">
        <v>74</v>
      </c>
      <c r="H36" s="3">
        <f>IF(B5&lt;25,"NA",IF(B5&lt;76,(0.864343*B5^(-0.10357015)),"NA"))</f>
        <v>0.55748892349567569</v>
      </c>
      <c r="I36" s="3">
        <f>IF(B5&lt;25,"NA",IF(B5&lt;76,(1.0957355*B5^(-0.0338365698)),"NA"))</f>
        <v>0.94947905020686252</v>
      </c>
      <c r="K36" s="83">
        <v>700</v>
      </c>
      <c r="L36" s="84">
        <v>40.49</v>
      </c>
      <c r="M36" s="85">
        <v>-0.8</v>
      </c>
      <c r="N36" s="86">
        <v>6.0000000000000001E-3</v>
      </c>
      <c r="O36" s="87">
        <v>-1.4800000000000001E-5</v>
      </c>
      <c r="P36" s="2"/>
      <c r="Q36" s="88">
        <v>400</v>
      </c>
      <c r="R36" s="55">
        <v>32.01931476</v>
      </c>
      <c r="S36" s="49">
        <v>-0.29080876979999998</v>
      </c>
      <c r="T36" s="73">
        <v>1.9356442050000001E-3</v>
      </c>
      <c r="U36" s="92">
        <v>-6.30856158E-6</v>
      </c>
      <c r="V36" s="92">
        <v>7.5704720750000005E-9</v>
      </c>
      <c r="W36" s="92">
        <v>0</v>
      </c>
      <c r="AD36" s="132"/>
      <c r="AE36" s="132"/>
      <c r="AF36" s="132"/>
      <c r="AG36" s="132"/>
      <c r="AH36" s="132"/>
      <c r="AI36" s="132"/>
    </row>
    <row r="37" spans="1:35" hidden="1" x14ac:dyDescent="0.3">
      <c r="A37" s="2"/>
      <c r="C37" s="3" t="s">
        <v>75</v>
      </c>
      <c r="D37" s="3">
        <f>IF(B5&lt;35,"NA",IF(B5&lt;126,(8.83*B5^(-0.795)),"NA"))</f>
        <v>0.30484261360122739</v>
      </c>
      <c r="E37" s="3">
        <f>IF(B5&lt;35,"NA",IF(B5&lt;126,(1.07*B5^(-0.0452)),"NA"))</f>
        <v>0.8836246014472523</v>
      </c>
      <c r="G37" s="3" t="s">
        <v>75</v>
      </c>
      <c r="H37" s="3">
        <f>IF(B5&lt;35,"NA",IF(B5&lt;126,(-0.075+0.91*B5^(-0.12)),"NA"))</f>
        <v>0.47249417313554826</v>
      </c>
      <c r="I37" s="3">
        <f>IF(B5&lt;35,"NA",IF(B5&lt;126,(1.109514*B5^(-0.04726674)),"NA"))</f>
        <v>0.9082729592181934</v>
      </c>
      <c r="K37" s="76" t="s">
        <v>30</v>
      </c>
      <c r="L37" s="77"/>
      <c r="M37" s="77"/>
      <c r="P37" s="2"/>
      <c r="R37" s="98"/>
      <c r="AD37" s="132"/>
      <c r="AE37" s="132"/>
      <c r="AF37" s="132"/>
      <c r="AG37" s="132"/>
      <c r="AH37" s="132"/>
      <c r="AI37" s="132"/>
    </row>
    <row r="38" spans="1:35" ht="18" hidden="1" x14ac:dyDescent="0.35">
      <c r="A38" s="2"/>
      <c r="C38" s="3" t="s">
        <v>76</v>
      </c>
      <c r="D38" s="3">
        <f>IF(B5&lt;45,"NA",IF(B5&lt;301,(5.23*B5^(-0.729)),"NA"))</f>
        <v>0.23877051806501198</v>
      </c>
      <c r="E38" s="3">
        <f>IF(B5&lt;45,"NA",IF(B5&lt;301,(1.257-0.00938*B5+0.0000574*B5^2-0.0000000991*B5^3),"NA"))</f>
        <v>0.85050615809999996</v>
      </c>
      <c r="G38" s="3" t="s">
        <v>76</v>
      </c>
      <c r="H38" s="3">
        <f>IF(B5&lt;45,"NA",IF(B5&lt;301,(-0.064+2.37*B5^(-0.376)),"NA"))</f>
        <v>0.4183264603431941</v>
      </c>
      <c r="I38" s="3">
        <f>IF(B5&lt;45,"NA",IF(B5&lt;301,(0.9928997224-0.00184977*B5+0.0000050692391*B5^2),"NA"))</f>
        <v>0.88940023975509996</v>
      </c>
      <c r="K38" s="78" t="s">
        <v>26</v>
      </c>
      <c r="L38" s="79" t="s">
        <v>19</v>
      </c>
      <c r="M38" s="79" t="s">
        <v>20</v>
      </c>
      <c r="P38" s="2"/>
      <c r="AD38" s="132"/>
      <c r="AE38" s="132"/>
      <c r="AF38" s="132"/>
      <c r="AG38" s="132"/>
      <c r="AH38" s="132"/>
      <c r="AI38" s="132"/>
    </row>
    <row r="39" spans="1:35" hidden="1" x14ac:dyDescent="0.3">
      <c r="A39" s="2"/>
      <c r="K39" s="83"/>
      <c r="L39" s="79"/>
      <c r="M39" s="79" t="s">
        <v>23</v>
      </c>
      <c r="P39" s="2"/>
      <c r="AD39" s="132"/>
      <c r="AE39" s="132"/>
      <c r="AF39" s="132"/>
      <c r="AG39" s="132"/>
      <c r="AH39" s="132"/>
      <c r="AI39" s="132"/>
    </row>
    <row r="40" spans="1:35" hidden="1" x14ac:dyDescent="0.3">
      <c r="A40" s="2"/>
      <c r="K40" s="83">
        <v>50</v>
      </c>
      <c r="L40" s="93">
        <v>12.029</v>
      </c>
      <c r="M40" s="87">
        <v>-2.1499999999999998E-2</v>
      </c>
      <c r="P40" s="2"/>
      <c r="AD40" s="132"/>
      <c r="AE40" s="132"/>
      <c r="AF40" s="132"/>
      <c r="AG40" s="132"/>
      <c r="AH40" s="132"/>
      <c r="AI40" s="132"/>
    </row>
    <row r="41" spans="1:35" hidden="1" x14ac:dyDescent="0.3">
      <c r="A41" s="2"/>
      <c r="K41" s="83">
        <v>100</v>
      </c>
      <c r="L41" s="93">
        <v>10.6388</v>
      </c>
      <c r="M41" s="87">
        <v>-1.83E-2</v>
      </c>
      <c r="P41" s="2"/>
      <c r="AD41" s="132"/>
      <c r="AE41" s="132"/>
      <c r="AF41" s="132"/>
      <c r="AG41" s="132"/>
      <c r="AH41" s="132"/>
      <c r="AI41" s="132"/>
    </row>
    <row r="42" spans="1:35" hidden="1" x14ac:dyDescent="0.3">
      <c r="A42" s="2"/>
      <c r="K42" s="83">
        <v>400</v>
      </c>
      <c r="L42" s="93">
        <v>8.3173999999999992</v>
      </c>
      <c r="M42" s="87">
        <v>-1.14E-2</v>
      </c>
      <c r="P42" s="2"/>
      <c r="AD42" s="132"/>
      <c r="AE42" s="132"/>
      <c r="AF42" s="132"/>
      <c r="AG42" s="132"/>
      <c r="AH42" s="132"/>
      <c r="AI42" s="132"/>
    </row>
    <row r="43" spans="1:35" hidden="1" x14ac:dyDescent="0.3">
      <c r="A43" s="2"/>
      <c r="K43" s="83">
        <v>700</v>
      </c>
      <c r="L43" s="93">
        <v>5.9702000000000002</v>
      </c>
      <c r="M43" s="87">
        <v>-5.4999999999999997E-3</v>
      </c>
      <c r="P43" s="2"/>
      <c r="AD43" s="132"/>
      <c r="AE43" s="132"/>
      <c r="AF43" s="132"/>
      <c r="AG43" s="132"/>
      <c r="AH43" s="132"/>
      <c r="AI43" s="132"/>
    </row>
    <row r="44" spans="1:35" hidden="1" x14ac:dyDescent="0.3">
      <c r="A44" s="2"/>
      <c r="K44" s="134"/>
      <c r="L44" s="93"/>
      <c r="M44" s="87"/>
      <c r="P44" s="2"/>
      <c r="AD44" s="132"/>
      <c r="AE44" s="132"/>
      <c r="AF44" s="132"/>
      <c r="AG44" s="132"/>
      <c r="AH44" s="132"/>
      <c r="AI44" s="132"/>
    </row>
    <row r="45" spans="1:35" hidden="1" x14ac:dyDescent="0.3">
      <c r="A45" s="2"/>
      <c r="B45" s="411" t="s">
        <v>68</v>
      </c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AD45" s="132"/>
      <c r="AE45" s="132"/>
      <c r="AF45" s="132"/>
      <c r="AG45" s="132"/>
      <c r="AH45" s="132"/>
      <c r="AI45" s="132"/>
    </row>
    <row r="46" spans="1:35" ht="21" hidden="1" x14ac:dyDescent="0.4">
      <c r="A46" s="2"/>
      <c r="P46" s="2"/>
      <c r="Q46" s="4"/>
      <c r="AD46" s="132"/>
      <c r="AE46" s="132"/>
      <c r="AF46" s="132"/>
      <c r="AG46" s="132"/>
      <c r="AH46" s="132"/>
      <c r="AI46" s="132"/>
    </row>
    <row r="47" spans="1:35" ht="18" hidden="1" x14ac:dyDescent="0.35">
      <c r="A47" s="2"/>
      <c r="B47" s="408" t="s">
        <v>16</v>
      </c>
      <c r="C47" s="416"/>
      <c r="D47" s="416"/>
      <c r="E47" s="416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17"/>
      <c r="Q47" s="417"/>
      <c r="R47" s="417"/>
      <c r="S47" s="417"/>
      <c r="T47" s="417"/>
      <c r="U47" s="417"/>
      <c r="V47" s="417"/>
      <c r="AD47" s="132"/>
      <c r="AE47" s="132"/>
      <c r="AF47" s="132"/>
      <c r="AG47" s="132"/>
      <c r="AH47" s="132"/>
      <c r="AI47" s="132"/>
    </row>
    <row r="48" spans="1:35" hidden="1" x14ac:dyDescent="0.3">
      <c r="A48" s="2"/>
      <c r="B48" s="415"/>
      <c r="C48" s="421" t="s">
        <v>71</v>
      </c>
      <c r="D48" s="422"/>
      <c r="E48" s="422"/>
      <c r="F48" s="423"/>
      <c r="G48" s="424" t="s">
        <v>72</v>
      </c>
      <c r="H48" s="425"/>
      <c r="I48" s="425"/>
      <c r="J48" s="426"/>
      <c r="K48" s="427"/>
      <c r="L48" s="428"/>
      <c r="M48" s="428"/>
      <c r="N48" s="429"/>
      <c r="O48" s="430"/>
      <c r="P48" s="431"/>
      <c r="Q48" s="431"/>
      <c r="R48" s="432"/>
      <c r="S48" s="139" t="s">
        <v>69</v>
      </c>
      <c r="T48" s="139" t="s">
        <v>70</v>
      </c>
      <c r="U48" s="139" t="s">
        <v>33</v>
      </c>
      <c r="V48" s="139" t="s">
        <v>32</v>
      </c>
      <c r="AD48" s="132"/>
      <c r="AE48" s="132"/>
      <c r="AF48" s="132"/>
      <c r="AG48" s="132"/>
      <c r="AH48" s="132"/>
      <c r="AI48" s="132"/>
    </row>
    <row r="49" spans="1:35" hidden="1" x14ac:dyDescent="0.3">
      <c r="A49" s="2"/>
      <c r="B49" s="415"/>
      <c r="C49" s="137">
        <v>50</v>
      </c>
      <c r="D49" s="137">
        <v>100</v>
      </c>
      <c r="E49" s="137">
        <v>400</v>
      </c>
      <c r="F49" s="138">
        <v>700</v>
      </c>
      <c r="G49" s="146">
        <f t="shared" ref="G49:J53" si="29">L5</f>
        <v>14.481147563101507</v>
      </c>
      <c r="H49" s="146">
        <f t="shared" si="29"/>
        <v>26.447401681041093</v>
      </c>
      <c r="I49" s="146">
        <f t="shared" si="29"/>
        <v>92.118984985150519</v>
      </c>
      <c r="J49" s="146">
        <f t="shared" si="29"/>
        <v>120.83634583297794</v>
      </c>
      <c r="K49" s="135">
        <f t="shared" ref="K49:N50" si="30">LOG(G49/101)</f>
        <v>-0.84351839475473644</v>
      </c>
      <c r="L49" s="135">
        <f t="shared" si="30"/>
        <v>-0.58193836247819453</v>
      </c>
      <c r="M49" s="135">
        <f t="shared" si="30"/>
        <v>-3.9972229746384084E-2</v>
      </c>
      <c r="N49" s="135">
        <f t="shared" si="30"/>
        <v>7.7876209679167183E-2</v>
      </c>
      <c r="O49" s="147">
        <f t="shared" ref="O49:R50" si="31">LOG(C49/101)</f>
        <v>-0.30535136944662378</v>
      </c>
      <c r="P49" s="147">
        <f t="shared" si="31"/>
        <v>-4.3213737826425782E-3</v>
      </c>
      <c r="Q49" s="147">
        <f t="shared" si="31"/>
        <v>0.59773861754531976</v>
      </c>
      <c r="R49" s="147">
        <f t="shared" si="31"/>
        <v>0.84077666623161429</v>
      </c>
      <c r="S49" s="136">
        <f>AVERAGE(O49:R49)</f>
        <v>0.28221063513691691</v>
      </c>
      <c r="T49" s="136">
        <f>AVERAGE(K49:N49)</f>
        <v>-0.34688819432503698</v>
      </c>
      <c r="U49" s="136">
        <f>((O49-S49)*(K49-T49)+(P49-S49)*(L49-T49)+(Q49-S49)*(M49-T49)+(R49-S49)*(N49-T49))/((O49-S49)^2+(P49-S49)^2+(Q49-S49)^2+(R49-S49)^2)</f>
        <v>0.82639588937210706</v>
      </c>
      <c r="V49" s="136">
        <f>10^(T49-(U49*S49))</f>
        <v>0.26296266766379783</v>
      </c>
      <c r="AD49" s="132"/>
      <c r="AE49" s="132"/>
      <c r="AF49" s="132"/>
      <c r="AG49" s="132"/>
      <c r="AH49" s="132"/>
      <c r="AI49" s="132"/>
    </row>
    <row r="50" spans="1:35" hidden="1" x14ac:dyDescent="0.3">
      <c r="A50" s="2"/>
      <c r="B50" s="415"/>
      <c r="C50" s="137">
        <v>50</v>
      </c>
      <c r="D50" s="137">
        <v>100</v>
      </c>
      <c r="E50" s="137">
        <v>400</v>
      </c>
      <c r="F50" s="138">
        <v>700</v>
      </c>
      <c r="G50" s="146">
        <f t="shared" si="29"/>
        <v>13.727454439878848</v>
      </c>
      <c r="H50" s="146">
        <f t="shared" si="29"/>
        <v>24.95887456470534</v>
      </c>
      <c r="I50" s="146">
        <f t="shared" si="29"/>
        <v>86.256188500657984</v>
      </c>
      <c r="J50" s="146">
        <f t="shared" si="29"/>
        <v>110.79480333297641</v>
      </c>
      <c r="K50" s="135">
        <f t="shared" si="30"/>
        <v>-0.86673136278108942</v>
      </c>
      <c r="L50" s="135">
        <f t="shared" si="30"/>
        <v>-0.60709637535870487</v>
      </c>
      <c r="M50" s="135">
        <f t="shared" si="30"/>
        <v>-6.8531110208091911E-2</v>
      </c>
      <c r="N50" s="135">
        <f t="shared" si="30"/>
        <v>4.0198017144608536E-2</v>
      </c>
      <c r="O50" s="147">
        <f t="shared" si="31"/>
        <v>-0.30535136944662378</v>
      </c>
      <c r="P50" s="147">
        <f t="shared" si="31"/>
        <v>-4.3213737826425782E-3</v>
      </c>
      <c r="Q50" s="147">
        <f t="shared" si="31"/>
        <v>0.59773861754531976</v>
      </c>
      <c r="R50" s="147">
        <f t="shared" si="31"/>
        <v>0.84077666623161429</v>
      </c>
      <c r="S50" s="136">
        <f>AVERAGE(O50:R50)</f>
        <v>0.28221063513691691</v>
      </c>
      <c r="T50" s="136">
        <f>AVERAGE(K50:N50)</f>
        <v>-0.37554020780081937</v>
      </c>
      <c r="U50" s="136">
        <f>((O50-S50)*(K50-T50)+(P50-S50)*(L50-T50)+(Q50-S50)*(M50-T50)+(R50-S50)*(N50-T50))/((O50-S50)^2+(P50-S50)^2+(Q50-S50)^2+(R50-S50)^2)</f>
        <v>0.8154179060420117</v>
      </c>
      <c r="V50" s="136">
        <f>10^(T50-(U50*S50))</f>
        <v>0.247936340633157</v>
      </c>
      <c r="AD50" s="132"/>
      <c r="AE50" s="132"/>
      <c r="AF50" s="132"/>
      <c r="AG50" s="132"/>
      <c r="AH50" s="132"/>
      <c r="AI50" s="132"/>
    </row>
    <row r="51" spans="1:35" ht="18" hidden="1" x14ac:dyDescent="0.3">
      <c r="A51" s="2"/>
      <c r="B51" s="174"/>
      <c r="C51" s="137">
        <v>50</v>
      </c>
      <c r="D51" s="137">
        <v>100</v>
      </c>
      <c r="E51" s="137">
        <v>400</v>
      </c>
      <c r="F51" s="138">
        <v>700</v>
      </c>
      <c r="G51" s="146">
        <f t="shared" si="29"/>
        <v>12.979518079941133</v>
      </c>
      <c r="H51" s="146">
        <f t="shared" si="29"/>
        <v>23.480686873107558</v>
      </c>
      <c r="I51" s="146">
        <f t="shared" si="29"/>
        <v>80.428593009901149</v>
      </c>
      <c r="J51" s="146">
        <f t="shared" si="29"/>
        <v>100.79754908804027</v>
      </c>
      <c r="K51" s="135">
        <f t="shared" ref="K51:K53" si="32">LOG(G51/101)</f>
        <v>-0.89106280605694588</v>
      </c>
      <c r="L51" s="135">
        <f t="shared" ref="L51:L53" si="33">LOG(H51/101)</f>
        <v>-0.6336105767421073</v>
      </c>
      <c r="M51" s="135">
        <f t="shared" ref="M51:M53" si="34">LOG(I51/101)</f>
        <v>-9.8910902411702264E-2</v>
      </c>
      <c r="N51" s="135">
        <f t="shared" ref="N51:N53" si="35">LOG(J51/101)</f>
        <v>-8.7140149933049248E-4</v>
      </c>
      <c r="O51" s="147">
        <f t="shared" ref="O51:O53" si="36">LOG(C51/101)</f>
        <v>-0.30535136944662378</v>
      </c>
      <c r="P51" s="147">
        <f t="shared" ref="P51:P53" si="37">LOG(D51/101)</f>
        <v>-4.3213737826425782E-3</v>
      </c>
      <c r="Q51" s="147">
        <f t="shared" ref="Q51:Q53" si="38">LOG(E51/101)</f>
        <v>0.59773861754531976</v>
      </c>
      <c r="R51" s="147">
        <f t="shared" ref="R51:R53" si="39">LOG(F51/101)</f>
        <v>0.84077666623161429</v>
      </c>
      <c r="S51" s="136">
        <f t="shared" ref="S51:S53" si="40">AVERAGE(O51:R51)</f>
        <v>0.28221063513691691</v>
      </c>
      <c r="T51" s="136">
        <f t="shared" ref="T51:T53" si="41">AVERAGE(K51:N51)</f>
        <v>-0.40611392167752153</v>
      </c>
      <c r="U51" s="136">
        <f t="shared" ref="U51:U53" si="42">((O51-S51)*(K51-T51)+(P51-S51)*(L51-T51)+(Q51-S51)*(M51-T51)+(R51-S51)*(N51-T51))/((O51-S51)^2+(P51-S51)^2+(Q51-S51)^2+(R51-S51)^2)</f>
        <v>0.80274361191685617</v>
      </c>
      <c r="V51" s="136">
        <f t="shared" ref="V51:V53" si="43">10^(T51-(U51*S51))</f>
        <v>0.23299322553622989</v>
      </c>
      <c r="AD51" s="132"/>
      <c r="AE51" s="132"/>
      <c r="AF51" s="132"/>
      <c r="AG51" s="132"/>
      <c r="AH51" s="132"/>
      <c r="AI51" s="132"/>
    </row>
    <row r="52" spans="1:35" ht="18" hidden="1" x14ac:dyDescent="0.3">
      <c r="A52" s="2"/>
      <c r="B52" s="174"/>
      <c r="C52" s="137">
        <v>50</v>
      </c>
      <c r="D52" s="137">
        <v>100</v>
      </c>
      <c r="E52" s="137">
        <v>400</v>
      </c>
      <c r="F52" s="138">
        <v>700</v>
      </c>
      <c r="G52" s="146">
        <f t="shared" si="29"/>
        <v>12.236984377040811</v>
      </c>
      <c r="H52" s="146">
        <f t="shared" si="29"/>
        <v>22.012160676777683</v>
      </c>
      <c r="I52" s="146">
        <f t="shared" si="29"/>
        <v>74.633629828225324</v>
      </c>
      <c r="J52" s="146">
        <f t="shared" si="29"/>
        <v>90.840417148917155</v>
      </c>
      <c r="K52" s="135">
        <f t="shared" si="32"/>
        <v>-0.91664696820934055</v>
      </c>
      <c r="L52" s="135">
        <f t="shared" si="33"/>
        <v>-0.66165869951889911</v>
      </c>
      <c r="M52" s="135">
        <f t="shared" si="34"/>
        <v>-0.13138680961054944</v>
      </c>
      <c r="N52" s="135">
        <f t="shared" si="35"/>
        <v>-4.6042253903627463E-2</v>
      </c>
      <c r="O52" s="147">
        <f t="shared" si="36"/>
        <v>-0.30535136944662378</v>
      </c>
      <c r="P52" s="147">
        <f t="shared" si="37"/>
        <v>-4.3213737826425782E-3</v>
      </c>
      <c r="Q52" s="147">
        <f t="shared" si="38"/>
        <v>0.59773861754531976</v>
      </c>
      <c r="R52" s="147">
        <f t="shared" si="39"/>
        <v>0.84077666623161429</v>
      </c>
      <c r="S52" s="136">
        <f t="shared" si="40"/>
        <v>0.28221063513691691</v>
      </c>
      <c r="T52" s="136">
        <f t="shared" si="41"/>
        <v>-0.43893368281060413</v>
      </c>
      <c r="U52" s="136">
        <f t="shared" si="42"/>
        <v>0.7879513399490603</v>
      </c>
      <c r="V52" s="136">
        <f t="shared" si="43"/>
        <v>0.21812129581814882</v>
      </c>
      <c r="AD52" s="132"/>
      <c r="AE52" s="132"/>
      <c r="AF52" s="132"/>
      <c r="AG52" s="132"/>
      <c r="AH52" s="132"/>
      <c r="AI52" s="132"/>
    </row>
    <row r="53" spans="1:35" ht="18" hidden="1" x14ac:dyDescent="0.3">
      <c r="A53" s="2"/>
      <c r="B53" s="174"/>
      <c r="C53" s="137">
        <v>50</v>
      </c>
      <c r="D53" s="137">
        <v>100</v>
      </c>
      <c r="E53" s="137">
        <v>400</v>
      </c>
      <c r="F53" s="138">
        <v>700</v>
      </c>
      <c r="G53" s="146">
        <f t="shared" si="29"/>
        <v>11.499508507355584</v>
      </c>
      <c r="H53" s="146">
        <f t="shared" si="29"/>
        <v>20.552634368612598</v>
      </c>
      <c r="I53" s="146">
        <f t="shared" si="29"/>
        <v>68.868784276973443</v>
      </c>
      <c r="J53" s="146">
        <f t="shared" si="29"/>
        <v>80.919306117536621</v>
      </c>
      <c r="K53" s="135">
        <f t="shared" si="32"/>
        <v>-0.94364209491640616</v>
      </c>
      <c r="L53" s="135">
        <f t="shared" si="33"/>
        <v>-0.69145387757417154</v>
      </c>
      <c r="M53" s="135">
        <f t="shared" si="34"/>
        <v>-0.1662989572190168</v>
      </c>
      <c r="N53" s="135">
        <f t="shared" si="35"/>
        <v>-9.6269223739942789E-2</v>
      </c>
      <c r="O53" s="147">
        <f t="shared" si="36"/>
        <v>-0.30535136944662378</v>
      </c>
      <c r="P53" s="147">
        <f t="shared" si="37"/>
        <v>-4.3213737826425782E-3</v>
      </c>
      <c r="Q53" s="147">
        <f t="shared" si="38"/>
        <v>0.59773861754531976</v>
      </c>
      <c r="R53" s="147">
        <f t="shared" si="39"/>
        <v>0.84077666623161429</v>
      </c>
      <c r="S53" s="136">
        <f t="shared" si="40"/>
        <v>0.28221063513691691</v>
      </c>
      <c r="T53" s="136">
        <f t="shared" si="41"/>
        <v>-0.47441603836238427</v>
      </c>
      <c r="U53" s="136">
        <f t="shared" si="42"/>
        <v>0.77046112396049082</v>
      </c>
      <c r="V53" s="136">
        <f t="shared" si="43"/>
        <v>0.20330667537103267</v>
      </c>
      <c r="AD53" s="132"/>
      <c r="AE53" s="132"/>
      <c r="AF53" s="132"/>
      <c r="AG53" s="132"/>
      <c r="AH53" s="132"/>
      <c r="AI53" s="132"/>
    </row>
    <row r="54" spans="1:35" s="140" customFormat="1" ht="18" hidden="1" x14ac:dyDescent="0.35">
      <c r="B54" s="141"/>
      <c r="C54" s="141"/>
      <c r="D54" s="141"/>
      <c r="E54" s="141"/>
      <c r="F54" s="141"/>
      <c r="J54" s="142"/>
      <c r="K54" s="143"/>
      <c r="O54" s="144"/>
      <c r="P54" s="145"/>
      <c r="AD54" s="132"/>
      <c r="AE54" s="132"/>
      <c r="AF54" s="132"/>
      <c r="AG54" s="132"/>
      <c r="AH54" s="132"/>
      <c r="AI54" s="132"/>
    </row>
    <row r="55" spans="1:35" ht="18" hidden="1" x14ac:dyDescent="0.35">
      <c r="A55" s="2"/>
      <c r="B55" s="418" t="s">
        <v>17</v>
      </c>
      <c r="C55" s="419"/>
      <c r="D55" s="419"/>
      <c r="E55" s="419"/>
      <c r="F55" s="420"/>
      <c r="G55" s="417"/>
      <c r="H55" s="417"/>
      <c r="I55" s="417"/>
      <c r="J55" s="417"/>
      <c r="K55" s="417"/>
      <c r="L55" s="417"/>
      <c r="M55" s="417"/>
      <c r="N55" s="417"/>
      <c r="O55" s="417"/>
      <c r="P55" s="417"/>
      <c r="Q55" s="417"/>
      <c r="R55" s="417"/>
      <c r="S55" s="417"/>
      <c r="T55" s="417"/>
      <c r="U55" s="417"/>
      <c r="V55" s="417"/>
      <c r="AD55" s="132"/>
      <c r="AE55" s="132"/>
      <c r="AF55" s="132"/>
      <c r="AG55" s="132"/>
      <c r="AH55" s="132"/>
      <c r="AI55" s="132"/>
    </row>
    <row r="56" spans="1:35" hidden="1" x14ac:dyDescent="0.3">
      <c r="A56" s="2"/>
      <c r="B56" s="415"/>
      <c r="C56" s="421" t="s">
        <v>71</v>
      </c>
      <c r="D56" s="422"/>
      <c r="E56" s="422"/>
      <c r="F56" s="423"/>
      <c r="G56" s="424" t="s">
        <v>73</v>
      </c>
      <c r="H56" s="425"/>
      <c r="I56" s="425"/>
      <c r="J56" s="426"/>
      <c r="K56" s="427"/>
      <c r="L56" s="428"/>
      <c r="M56" s="428"/>
      <c r="N56" s="429"/>
      <c r="O56" s="430"/>
      <c r="P56" s="431"/>
      <c r="Q56" s="431"/>
      <c r="R56" s="432"/>
      <c r="S56" s="139" t="s">
        <v>69</v>
      </c>
      <c r="T56" s="139" t="s">
        <v>70</v>
      </c>
      <c r="U56" s="139" t="s">
        <v>33</v>
      </c>
      <c r="V56" s="139" t="s">
        <v>32</v>
      </c>
      <c r="AD56" s="132"/>
      <c r="AE56" s="132"/>
      <c r="AF56" s="132"/>
      <c r="AG56" s="132"/>
      <c r="AH56" s="132"/>
      <c r="AI56" s="132"/>
    </row>
    <row r="57" spans="1:35" hidden="1" x14ac:dyDescent="0.3">
      <c r="A57" s="2"/>
      <c r="B57" s="415"/>
      <c r="C57" s="137">
        <v>12</v>
      </c>
      <c r="D57" s="137">
        <v>50</v>
      </c>
      <c r="E57" s="137">
        <v>100</v>
      </c>
      <c r="F57" s="138">
        <v>400</v>
      </c>
      <c r="G57" s="146">
        <f>K10</f>
        <v>7.0534040945753427</v>
      </c>
      <c r="H57" s="146">
        <f t="shared" ref="H57" si="44">L10</f>
        <v>24.765421935663916</v>
      </c>
      <c r="I57" s="146">
        <f t="shared" ref="I57" si="45">M10</f>
        <v>43.318315695395135</v>
      </c>
      <c r="J57" s="146">
        <f t="shared" ref="J57" si="46">N10</f>
        <v>150.09753971340308</v>
      </c>
      <c r="K57" s="135">
        <f t="shared" ref="K57:N58" si="47">LOG(G57/101)</f>
        <v>-1.1559226081831853</v>
      </c>
      <c r="L57" s="135">
        <f t="shared" si="47"/>
        <v>-0.61047564220030526</v>
      </c>
      <c r="M57" s="135">
        <f t="shared" si="47"/>
        <v>-0.36764981175771516</v>
      </c>
      <c r="N57" s="135">
        <f t="shared" si="47"/>
        <v>0.17205219988867693</v>
      </c>
      <c r="O57" s="147">
        <f t="shared" ref="O57:R58" si="48">LOG(C57/101)</f>
        <v>-0.92514012773501775</v>
      </c>
      <c r="P57" s="147">
        <f t="shared" si="48"/>
        <v>-0.30535136944662378</v>
      </c>
      <c r="Q57" s="147">
        <f t="shared" si="48"/>
        <v>-4.3213737826425782E-3</v>
      </c>
      <c r="R57" s="147">
        <f t="shared" si="48"/>
        <v>0.59773861754531976</v>
      </c>
      <c r="S57" s="136">
        <f>AVERAGE(O57:R57)</f>
        <v>-0.15926856335474107</v>
      </c>
      <c r="T57" s="136">
        <f>AVERAGE(K57:N57)</f>
        <v>-0.49049896556313222</v>
      </c>
      <c r="U57" s="136">
        <f>((O57-S57)*(K57-T57)+(P57-S57)*(L57-T57)+(Q57-S57)*(M57-T57)+(R57-S57)*(N57-T57))/((O57-S57)^2+(P57-S57)^2+(Q57-S57)^2+(R57-S57)^2)</f>
        <v>0.86952246575260106</v>
      </c>
      <c r="V57" s="136">
        <f>10^(T57-(U57*S57))</f>
        <v>0.44461962532339483</v>
      </c>
      <c r="AD57" s="132"/>
      <c r="AE57" s="132"/>
      <c r="AF57" s="132"/>
      <c r="AG57" s="132"/>
      <c r="AH57" s="132"/>
      <c r="AI57" s="132"/>
    </row>
    <row r="58" spans="1:35" hidden="1" x14ac:dyDescent="0.3">
      <c r="A58" s="2"/>
      <c r="B58" s="415"/>
      <c r="C58" s="137">
        <v>12</v>
      </c>
      <c r="D58" s="137">
        <v>50</v>
      </c>
      <c r="E58" s="137">
        <v>100</v>
      </c>
      <c r="F58" s="138">
        <v>400</v>
      </c>
      <c r="G58" s="146">
        <f>K11</f>
        <v>6.5824219772685009</v>
      </c>
      <c r="H58" s="146">
        <f t="shared" ref="H58:J58" si="49">L11</f>
        <v>23.261861618608894</v>
      </c>
      <c r="I58" s="146">
        <f t="shared" si="49"/>
        <v>40.446174062559223</v>
      </c>
      <c r="J58" s="146">
        <f t="shared" si="49"/>
        <v>139.829554914694</v>
      </c>
      <c r="K58" s="135">
        <f t="shared" si="47"/>
        <v>-1.1859356537512249</v>
      </c>
      <c r="L58" s="135">
        <f t="shared" si="47"/>
        <v>-0.63767690593805815</v>
      </c>
      <c r="M58" s="135">
        <f t="shared" si="47"/>
        <v>-0.39744392724358513</v>
      </c>
      <c r="N58" s="135">
        <f t="shared" si="47"/>
        <v>0.1412776014881422</v>
      </c>
      <c r="O58" s="147">
        <f t="shared" si="48"/>
        <v>-0.92514012773501775</v>
      </c>
      <c r="P58" s="147">
        <f t="shared" si="48"/>
        <v>-0.30535136944662378</v>
      </c>
      <c r="Q58" s="147">
        <f t="shared" si="48"/>
        <v>-4.3213737826425782E-3</v>
      </c>
      <c r="R58" s="147">
        <f t="shared" si="48"/>
        <v>0.59773861754531976</v>
      </c>
      <c r="S58" s="136">
        <f>AVERAGE(O58:R58)</f>
        <v>-0.15926856335474107</v>
      </c>
      <c r="T58" s="136">
        <f>AVERAGE(K58:N58)</f>
        <v>-0.51994472136118153</v>
      </c>
      <c r="U58" s="136">
        <f>((O58-S58)*(K58-T58)+(P58-S58)*(L58-T58)+(Q58-S58)*(M58-T58)+(R58-S58)*(N58-T58))/((O58-S58)^2+(P58-S58)^2+(Q58-S58)^2+(R58-S58)^2)</f>
        <v>0.86873129836310348</v>
      </c>
      <c r="V58" s="136">
        <f>10^(T58-(U58*S58))</f>
        <v>0.41535253409491918</v>
      </c>
      <c r="AD58" s="132"/>
      <c r="AE58" s="132"/>
      <c r="AF58" s="132"/>
      <c r="AG58" s="132"/>
      <c r="AH58" s="132"/>
      <c r="AI58" s="132"/>
    </row>
    <row r="59" spans="1:35" ht="18" hidden="1" x14ac:dyDescent="0.3">
      <c r="A59" s="2"/>
      <c r="B59" s="174"/>
      <c r="C59" s="137">
        <v>12</v>
      </c>
      <c r="D59" s="137">
        <v>50</v>
      </c>
      <c r="E59" s="137">
        <v>100</v>
      </c>
      <c r="F59" s="138">
        <v>400</v>
      </c>
      <c r="G59" s="146">
        <f>K12</f>
        <v>6.1265295113023726</v>
      </c>
      <c r="H59" s="146">
        <f t="shared" ref="H59:J61" si="50">L12</f>
        <v>21.792108332294113</v>
      </c>
      <c r="I59" s="146">
        <f t="shared" si="50"/>
        <v>37.630257925336061</v>
      </c>
      <c r="J59" s="146">
        <f t="shared" si="50"/>
        <v>129.7231985673919</v>
      </c>
      <c r="K59" s="135">
        <f t="shared" ref="K59:K61" si="51">LOG(G59/101)</f>
        <v>-1.2171068439469828</v>
      </c>
      <c r="L59" s="135">
        <f t="shared" ref="L59:L61" si="52">LOG(H59/101)</f>
        <v>-0.6660221245925082</v>
      </c>
      <c r="M59" s="135">
        <f t="shared" ref="M59:M61" si="53">LOG(I59/101)</f>
        <v>-0.42878417871108265</v>
      </c>
      <c r="N59" s="135">
        <f t="shared" ref="N59:N61" si="54">LOG(J59/101)</f>
        <v>0.10869627469071386</v>
      </c>
      <c r="O59" s="147">
        <f t="shared" ref="O59:O61" si="55">LOG(C59/101)</f>
        <v>-0.92514012773501775</v>
      </c>
      <c r="P59" s="147">
        <f t="shared" ref="P59:P61" si="56">LOG(D59/101)</f>
        <v>-0.30535136944662378</v>
      </c>
      <c r="Q59" s="147">
        <f t="shared" ref="Q59:Q61" si="57">LOG(E59/101)</f>
        <v>-4.3213737826425782E-3</v>
      </c>
      <c r="R59" s="147">
        <f t="shared" ref="R59:R61" si="58">LOG(F59/101)</f>
        <v>0.59773861754531976</v>
      </c>
      <c r="S59" s="136">
        <f t="shared" ref="S59:S61" si="59">AVERAGE(O59:R59)</f>
        <v>-0.15926856335474107</v>
      </c>
      <c r="T59" s="136">
        <f t="shared" ref="T59:T61" si="60">AVERAGE(K59:N59)</f>
        <v>-0.55080421813996494</v>
      </c>
      <c r="U59" s="136">
        <f t="shared" ref="U59:U61" si="61">((O59-S59)*(K59-T59)+(P59-S59)*(L59-T59)+(Q59-S59)*(M59-T59)+(R59-S59)*(N59-T59))/((O59-S59)^2+(P59-S59)^2+(Q59-S59)^2+(R59-S59)^2)</f>
        <v>0.86748105352126992</v>
      </c>
      <c r="V59" s="136">
        <f t="shared" ref="V59:V61" si="62">10^(T59-(U59*S59))</f>
        <v>0.38668581685236758</v>
      </c>
      <c r="AD59" s="132"/>
      <c r="AE59" s="132"/>
      <c r="AF59" s="132"/>
      <c r="AG59" s="132"/>
      <c r="AH59" s="132"/>
      <c r="AI59" s="132"/>
    </row>
    <row r="60" spans="1:35" ht="18" hidden="1" x14ac:dyDescent="0.3">
      <c r="A60" s="2"/>
      <c r="B60" s="174"/>
      <c r="C60" s="137">
        <v>12</v>
      </c>
      <c r="D60" s="137">
        <v>50</v>
      </c>
      <c r="E60" s="137">
        <v>100</v>
      </c>
      <c r="F60" s="138">
        <v>400</v>
      </c>
      <c r="G60" s="146">
        <f>K13</f>
        <v>5.6842467318931202</v>
      </c>
      <c r="H60" s="146">
        <f t="shared" si="50"/>
        <v>20.353335943412048</v>
      </c>
      <c r="I60" s="146">
        <f t="shared" si="50"/>
        <v>34.865663715744439</v>
      </c>
      <c r="J60" s="146">
        <f t="shared" si="50"/>
        <v>119.7645124647092</v>
      </c>
      <c r="K60" s="135">
        <f t="shared" si="51"/>
        <v>-1.2496484530187526</v>
      </c>
      <c r="L60" s="135">
        <f t="shared" si="52"/>
        <v>-0.69568577284644006</v>
      </c>
      <c r="M60" s="135">
        <f t="shared" si="53"/>
        <v>-0.46192343677169984</v>
      </c>
      <c r="N60" s="135">
        <f t="shared" si="54"/>
        <v>7.4006777126194356E-2</v>
      </c>
      <c r="O60" s="147">
        <f t="shared" si="55"/>
        <v>-0.92514012773501775</v>
      </c>
      <c r="P60" s="147">
        <f t="shared" si="56"/>
        <v>-0.30535136944662378</v>
      </c>
      <c r="Q60" s="147">
        <f t="shared" si="57"/>
        <v>-4.3213737826425782E-3</v>
      </c>
      <c r="R60" s="147">
        <f t="shared" si="58"/>
        <v>0.59773861754531976</v>
      </c>
      <c r="S60" s="136">
        <f t="shared" si="59"/>
        <v>-0.15926856335474107</v>
      </c>
      <c r="T60" s="136">
        <f t="shared" si="60"/>
        <v>-0.58331272137767454</v>
      </c>
      <c r="U60" s="136">
        <f t="shared" si="61"/>
        <v>0.86570590950292747</v>
      </c>
      <c r="V60" s="136">
        <f t="shared" si="62"/>
        <v>0.35856427334680174</v>
      </c>
      <c r="AD60" s="132"/>
      <c r="AE60" s="132"/>
      <c r="AF60" s="132"/>
      <c r="AG60" s="132"/>
      <c r="AH60" s="132"/>
      <c r="AI60" s="132"/>
    </row>
    <row r="61" spans="1:35" ht="18" hidden="1" x14ac:dyDescent="0.3">
      <c r="A61" s="2"/>
      <c r="B61" s="174"/>
      <c r="C61" s="137">
        <v>12</v>
      </c>
      <c r="D61" s="137">
        <v>50</v>
      </c>
      <c r="E61" s="137">
        <v>100</v>
      </c>
      <c r="F61" s="138">
        <v>400</v>
      </c>
      <c r="G61" s="146">
        <f>K14</f>
        <v>5.2542273938636042</v>
      </c>
      <c r="H61" s="146">
        <f t="shared" si="50"/>
        <v>18.942908805545962</v>
      </c>
      <c r="I61" s="146">
        <f t="shared" si="50"/>
        <v>32.147785569076866</v>
      </c>
      <c r="J61" s="146">
        <f t="shared" si="50"/>
        <v>109.94024347981622</v>
      </c>
      <c r="K61" s="135">
        <f t="shared" si="51"/>
        <v>-1.2838125094126902</v>
      </c>
      <c r="L61" s="135">
        <f t="shared" si="52"/>
        <v>-0.72687470528221332</v>
      </c>
      <c r="M61" s="135">
        <f t="shared" si="53"/>
        <v>-0.49717031093150121</v>
      </c>
      <c r="N61" s="135">
        <f t="shared" si="54"/>
        <v>3.6835320660999905E-2</v>
      </c>
      <c r="O61" s="147">
        <f t="shared" si="55"/>
        <v>-0.92514012773501775</v>
      </c>
      <c r="P61" s="147">
        <f t="shared" si="56"/>
        <v>-0.30535136944662378</v>
      </c>
      <c r="Q61" s="147">
        <f t="shared" si="57"/>
        <v>-4.3213737826425782E-3</v>
      </c>
      <c r="R61" s="147">
        <f t="shared" si="58"/>
        <v>0.59773861754531976</v>
      </c>
      <c r="S61" s="136">
        <f t="shared" si="59"/>
        <v>-0.15926856335474107</v>
      </c>
      <c r="T61" s="136">
        <f t="shared" si="60"/>
        <v>-0.61775555124135118</v>
      </c>
      <c r="U61" s="136">
        <f t="shared" si="61"/>
        <v>0.86331661981868546</v>
      </c>
      <c r="V61" s="136">
        <f t="shared" si="62"/>
        <v>0.33093572050149062</v>
      </c>
      <c r="AD61" s="132"/>
      <c r="AE61" s="132"/>
      <c r="AF61" s="132"/>
      <c r="AG61" s="132"/>
      <c r="AH61" s="132"/>
      <c r="AI61" s="132"/>
    </row>
    <row r="62" spans="1:35" hidden="1" x14ac:dyDescent="0.3">
      <c r="A62" s="2"/>
      <c r="P62" s="2"/>
      <c r="AD62" s="132"/>
      <c r="AE62" s="132"/>
      <c r="AF62" s="132"/>
      <c r="AG62" s="132"/>
      <c r="AH62" s="132"/>
      <c r="AI62" s="132"/>
    </row>
    <row r="63" spans="1:35" ht="18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409"/>
      <c r="L63" s="410"/>
      <c r="M63" s="410"/>
      <c r="N63" s="410"/>
      <c r="O63" s="410"/>
      <c r="P63" s="2"/>
      <c r="Q63" s="2"/>
      <c r="R63" s="2"/>
      <c r="S63" s="2"/>
      <c r="T63" s="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</row>
    <row r="64" spans="1:35" ht="18.89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454" t="s">
        <v>110</v>
      </c>
      <c r="L64" s="455"/>
      <c r="M64" s="455"/>
      <c r="N64" s="456"/>
      <c r="O64" s="132"/>
      <c r="P64" s="386" t="s">
        <v>89</v>
      </c>
      <c r="Q64" s="387"/>
      <c r="R64" s="387"/>
      <c r="S64" s="388"/>
      <c r="T64" s="230"/>
      <c r="U64" s="490" t="s">
        <v>101</v>
      </c>
      <c r="V64" s="491"/>
      <c r="W64" s="491"/>
      <c r="X64" s="492"/>
      <c r="Y64" s="230"/>
      <c r="Z64" s="487" t="s">
        <v>102</v>
      </c>
      <c r="AA64" s="488"/>
      <c r="AB64" s="488"/>
      <c r="AC64" s="489"/>
      <c r="AD64" s="230"/>
      <c r="AE64" s="472" t="s">
        <v>103</v>
      </c>
      <c r="AF64" s="473"/>
      <c r="AG64" s="473"/>
      <c r="AH64" s="474"/>
      <c r="AI64" s="132"/>
    </row>
    <row r="65" spans="1:35" ht="18.89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455"/>
      <c r="L65" s="455"/>
      <c r="M65" s="455"/>
      <c r="N65" s="456"/>
      <c r="O65" s="132"/>
      <c r="P65" s="387"/>
      <c r="Q65" s="387"/>
      <c r="R65" s="387"/>
      <c r="S65" s="388"/>
      <c r="T65" s="230"/>
      <c r="U65" s="491"/>
      <c r="V65" s="491"/>
      <c r="W65" s="491"/>
      <c r="X65" s="492"/>
      <c r="Y65" s="230"/>
      <c r="Z65" s="488"/>
      <c r="AA65" s="488"/>
      <c r="AB65" s="488"/>
      <c r="AC65" s="489"/>
      <c r="AD65" s="230"/>
      <c r="AE65" s="473"/>
      <c r="AF65" s="473"/>
      <c r="AG65" s="473"/>
      <c r="AH65" s="474"/>
      <c r="AI65" s="132"/>
    </row>
    <row r="66" spans="1:35" ht="18.89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334" t="s">
        <v>31</v>
      </c>
      <c r="L66" s="335"/>
      <c r="M66" s="175"/>
      <c r="N66" s="165"/>
      <c r="O66" s="132"/>
      <c r="P66" s="334" t="s">
        <v>31</v>
      </c>
      <c r="Q66" s="335"/>
      <c r="R66" s="175"/>
      <c r="S66" s="165"/>
      <c r="T66" s="2"/>
      <c r="U66" s="334" t="s">
        <v>31</v>
      </c>
      <c r="V66" s="335"/>
      <c r="W66" s="175"/>
      <c r="X66" s="165"/>
      <c r="Y66" s="2"/>
      <c r="Z66" s="334" t="s">
        <v>31</v>
      </c>
      <c r="AA66" s="335"/>
      <c r="AB66" s="175"/>
      <c r="AC66" s="165"/>
      <c r="AD66" s="2"/>
      <c r="AE66" s="334" t="s">
        <v>31</v>
      </c>
      <c r="AF66" s="335"/>
      <c r="AG66" s="175"/>
      <c r="AH66" s="165"/>
      <c r="AI66" s="132"/>
    </row>
    <row r="67" spans="1:35" ht="18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94" t="s">
        <v>32</v>
      </c>
      <c r="L67" s="94" t="s">
        <v>33</v>
      </c>
      <c r="M67" s="164"/>
      <c r="N67" s="165"/>
      <c r="O67" s="132"/>
      <c r="P67" s="94" t="s">
        <v>32</v>
      </c>
      <c r="Q67" s="94" t="s">
        <v>33</v>
      </c>
      <c r="R67" s="164"/>
      <c r="S67" s="165"/>
      <c r="T67" s="179"/>
      <c r="U67" s="94" t="s">
        <v>32</v>
      </c>
      <c r="V67" s="94" t="s">
        <v>33</v>
      </c>
      <c r="W67" s="164"/>
      <c r="X67" s="165"/>
      <c r="Y67" s="179"/>
      <c r="Z67" s="94" t="s">
        <v>32</v>
      </c>
      <c r="AA67" s="94" t="s">
        <v>33</v>
      </c>
      <c r="AB67" s="164"/>
      <c r="AC67" s="165"/>
      <c r="AD67" s="179"/>
      <c r="AE67" s="94" t="s">
        <v>32</v>
      </c>
      <c r="AF67" s="94" t="s">
        <v>33</v>
      </c>
      <c r="AG67" s="164"/>
      <c r="AH67" s="165"/>
      <c r="AI67" s="132"/>
    </row>
    <row r="68" spans="1:35" ht="20.100000000000001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526">
        <f>V57</f>
        <v>0.44461962532339483</v>
      </c>
      <c r="L68" s="526">
        <f>U57</f>
        <v>0.86952246575260106</v>
      </c>
      <c r="M68" s="164"/>
      <c r="N68" s="176"/>
      <c r="O68" s="132"/>
      <c r="P68" s="526">
        <f>V58</f>
        <v>0.41535253409491918</v>
      </c>
      <c r="Q68" s="526">
        <f>U58</f>
        <v>0.86873129836310348</v>
      </c>
      <c r="R68" s="164"/>
      <c r="S68" s="176"/>
      <c r="T68" s="2"/>
      <c r="U68" s="526">
        <f>V59</f>
        <v>0.38668581685236758</v>
      </c>
      <c r="V68" s="526">
        <f>U59</f>
        <v>0.86748105352126992</v>
      </c>
      <c r="W68" s="164"/>
      <c r="X68" s="176"/>
      <c r="Y68" s="2"/>
      <c r="Z68" s="526">
        <f>V60</f>
        <v>0.35856427334680174</v>
      </c>
      <c r="AA68" s="526">
        <f>U60</f>
        <v>0.86570590950292747</v>
      </c>
      <c r="AB68" s="164"/>
      <c r="AC68" s="176"/>
      <c r="AD68" s="2"/>
      <c r="AE68" s="526">
        <f>V61</f>
        <v>0.33093572050149062</v>
      </c>
      <c r="AF68" s="526">
        <f>U61</f>
        <v>0.86331661981868546</v>
      </c>
      <c r="AG68" s="164"/>
      <c r="AH68" s="176"/>
      <c r="AI68" s="132"/>
    </row>
    <row r="69" spans="1:35" ht="18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177" t="s">
        <v>34</v>
      </c>
      <c r="L69" s="96" t="s">
        <v>35</v>
      </c>
      <c r="M69" s="178" t="s">
        <v>36</v>
      </c>
      <c r="N69" s="96" t="s">
        <v>79</v>
      </c>
      <c r="O69" s="132"/>
      <c r="P69" s="177" t="s">
        <v>34</v>
      </c>
      <c r="Q69" s="96" t="s">
        <v>35</v>
      </c>
      <c r="R69" s="178" t="s">
        <v>36</v>
      </c>
      <c r="S69" s="96" t="s">
        <v>79</v>
      </c>
      <c r="T69" s="2"/>
      <c r="U69" s="177" t="s">
        <v>34</v>
      </c>
      <c r="V69" s="96" t="s">
        <v>35</v>
      </c>
      <c r="W69" s="178" t="s">
        <v>36</v>
      </c>
      <c r="X69" s="96" t="s">
        <v>79</v>
      </c>
      <c r="Y69" s="2"/>
      <c r="Z69" s="177" t="s">
        <v>34</v>
      </c>
      <c r="AA69" s="96" t="s">
        <v>35</v>
      </c>
      <c r="AB69" s="178" t="s">
        <v>36</v>
      </c>
      <c r="AC69" s="96" t="s">
        <v>79</v>
      </c>
      <c r="AD69" s="2"/>
      <c r="AE69" s="177" t="s">
        <v>34</v>
      </c>
      <c r="AF69" s="96" t="s">
        <v>35</v>
      </c>
      <c r="AG69" s="178" t="s">
        <v>36</v>
      </c>
      <c r="AH69" s="96" t="s">
        <v>79</v>
      </c>
      <c r="AI69" s="132"/>
    </row>
    <row r="70" spans="1:35" ht="22.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317">
        <v>0</v>
      </c>
      <c r="L70" s="318">
        <v>0</v>
      </c>
      <c r="M70" s="318">
        <v>0</v>
      </c>
      <c r="N70" s="318">
        <f>L70*20.89</f>
        <v>0</v>
      </c>
      <c r="O70" s="132"/>
      <c r="P70" s="228">
        <v>0</v>
      </c>
      <c r="Q70" s="229">
        <v>0</v>
      </c>
      <c r="R70" s="229">
        <v>0</v>
      </c>
      <c r="S70" s="229">
        <f>Q70*20.89</f>
        <v>0</v>
      </c>
      <c r="T70" s="285"/>
      <c r="U70" s="231">
        <v>0</v>
      </c>
      <c r="V70" s="232">
        <v>0</v>
      </c>
      <c r="W70" s="232">
        <v>0</v>
      </c>
      <c r="X70" s="232">
        <f>V70*20.89</f>
        <v>0</v>
      </c>
      <c r="Y70" s="285"/>
      <c r="Z70" s="233">
        <v>0</v>
      </c>
      <c r="AA70" s="234">
        <v>0</v>
      </c>
      <c r="AB70" s="234">
        <v>0</v>
      </c>
      <c r="AC70" s="234">
        <f>AA70*20.89</f>
        <v>0</v>
      </c>
      <c r="AD70" s="285"/>
      <c r="AE70" s="235">
        <v>0</v>
      </c>
      <c r="AF70" s="236">
        <v>0</v>
      </c>
      <c r="AG70" s="236">
        <v>0</v>
      </c>
      <c r="AH70" s="236">
        <f>AF70*20.89</f>
        <v>0</v>
      </c>
      <c r="AI70" s="132"/>
    </row>
    <row r="71" spans="1:35" ht="20.100000000000001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317">
        <v>5</v>
      </c>
      <c r="L71" s="318">
        <f>$K$68*101*(K71/101)^$L$68</f>
        <v>3.2906194525015504</v>
      </c>
      <c r="M71" s="318">
        <f>DEGREES(ATAN(L71/K71))</f>
        <v>33.349869771479135</v>
      </c>
      <c r="N71" s="318">
        <f>L71*20.89</f>
        <v>68.741040362757388</v>
      </c>
      <c r="O71" s="132"/>
      <c r="P71" s="228">
        <v>5</v>
      </c>
      <c r="Q71" s="229">
        <f t="shared" ref="Q71:Q78" si="63">$P$68*101*(P71/101)^$Q$68</f>
        <v>3.0813330932815948</v>
      </c>
      <c r="R71" s="229">
        <f t="shared" ref="R71:R78" si="64">DEGREES(ATAN(Q71/P71))</f>
        <v>31.644142005536636</v>
      </c>
      <c r="S71" s="229">
        <f t="shared" ref="S71:S78" si="65">Q71*20.89</f>
        <v>64.369048318652517</v>
      </c>
      <c r="T71" s="230"/>
      <c r="U71" s="231">
        <v>5</v>
      </c>
      <c r="V71" s="232">
        <f t="shared" ref="V71:V78" si="66">$P$68*101*(U71/101)^$Q$68</f>
        <v>3.0813330932815948</v>
      </c>
      <c r="W71" s="232">
        <f t="shared" ref="W71:W78" si="67">DEGREES(ATAN(V71/U71))</f>
        <v>31.644142005536636</v>
      </c>
      <c r="X71" s="232">
        <f t="shared" ref="X71:X78" si="68">V71*20.89</f>
        <v>64.369048318652517</v>
      </c>
      <c r="Y71" s="230"/>
      <c r="Z71" s="233">
        <v>5</v>
      </c>
      <c r="AA71" s="234">
        <f t="shared" ref="AA71:AA78" si="69">$P$68*101*(Z71/101)^$Q$68</f>
        <v>3.0813330932815948</v>
      </c>
      <c r="AB71" s="234">
        <f t="shared" ref="AB71:AB78" si="70">DEGREES(ATAN(AA71/Z71))</f>
        <v>31.644142005536636</v>
      </c>
      <c r="AC71" s="234">
        <f t="shared" ref="AC71:AC78" si="71">AA71*20.89</f>
        <v>64.369048318652517</v>
      </c>
      <c r="AD71" s="230"/>
      <c r="AE71" s="235">
        <v>5</v>
      </c>
      <c r="AF71" s="236">
        <f t="shared" ref="AF71:AF78" si="72">$P$68*101*(AE71/101)^$Q$68</f>
        <v>3.0813330932815948</v>
      </c>
      <c r="AG71" s="236">
        <f t="shared" ref="AG71:AG78" si="73">DEGREES(ATAN(AF71/AE71))</f>
        <v>31.644142005536636</v>
      </c>
      <c r="AH71" s="236">
        <f t="shared" ref="AH71:AH78" si="74">AF71*20.89</f>
        <v>64.369048318652517</v>
      </c>
      <c r="AI71" s="132"/>
    </row>
    <row r="72" spans="1:35" ht="20.100000000000001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317">
        <v>10</v>
      </c>
      <c r="L72" s="318">
        <f t="shared" ref="L72:L78" si="75">$K$68*101*(K72/101)^$L$68</f>
        <v>6.0121527318011454</v>
      </c>
      <c r="M72" s="318">
        <f>DEGREES(ATAN(L72/K72))</f>
        <v>31.014927630268343</v>
      </c>
      <c r="N72" s="318">
        <f>L72*20.89</f>
        <v>125.59387056732594</v>
      </c>
      <c r="O72" s="132"/>
      <c r="P72" s="228">
        <v>10</v>
      </c>
      <c r="Q72" s="229">
        <f t="shared" si="63"/>
        <v>5.6266879099827189</v>
      </c>
      <c r="R72" s="229">
        <f t="shared" si="64"/>
        <v>29.365099538225977</v>
      </c>
      <c r="S72" s="229">
        <f t="shared" si="65"/>
        <v>117.541510439539</v>
      </c>
      <c r="T72" s="230"/>
      <c r="U72" s="231">
        <v>10</v>
      </c>
      <c r="V72" s="232">
        <f t="shared" si="66"/>
        <v>5.6266879099827189</v>
      </c>
      <c r="W72" s="232">
        <f t="shared" si="67"/>
        <v>29.365099538225977</v>
      </c>
      <c r="X72" s="232">
        <f t="shared" si="68"/>
        <v>117.541510439539</v>
      </c>
      <c r="Y72" s="230"/>
      <c r="Z72" s="233">
        <v>10</v>
      </c>
      <c r="AA72" s="234">
        <f t="shared" si="69"/>
        <v>5.6266879099827189</v>
      </c>
      <c r="AB72" s="234">
        <f t="shared" si="70"/>
        <v>29.365099538225977</v>
      </c>
      <c r="AC72" s="234">
        <f t="shared" si="71"/>
        <v>117.541510439539</v>
      </c>
      <c r="AD72" s="230"/>
      <c r="AE72" s="235">
        <v>10</v>
      </c>
      <c r="AF72" s="236">
        <f t="shared" si="72"/>
        <v>5.6266879099827189</v>
      </c>
      <c r="AG72" s="236">
        <f t="shared" si="73"/>
        <v>29.365099538225977</v>
      </c>
      <c r="AH72" s="236">
        <f t="shared" si="74"/>
        <v>117.541510439539</v>
      </c>
      <c r="AI72" s="132"/>
    </row>
    <row r="73" spans="1:35" ht="20.100000000000001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317">
        <v>25</v>
      </c>
      <c r="L73" s="318">
        <f t="shared" si="75"/>
        <v>13.336681582185413</v>
      </c>
      <c r="M73" s="318">
        <f t="shared" ref="M73:M78" si="76">DEGREES(ATAN(L73/K73))</f>
        <v>28.078460876111961</v>
      </c>
      <c r="N73" s="318">
        <f t="shared" ref="N73:N78" si="77">L73*20.89</f>
        <v>278.60327825185328</v>
      </c>
      <c r="O73" s="132"/>
      <c r="P73" s="228">
        <v>25</v>
      </c>
      <c r="Q73" s="229">
        <f t="shared" si="63"/>
        <v>12.472564762246101</v>
      </c>
      <c r="R73" s="229">
        <f t="shared" si="64"/>
        <v>26.514727553099778</v>
      </c>
      <c r="S73" s="229">
        <f t="shared" si="65"/>
        <v>260.55187788332108</v>
      </c>
      <c r="T73" s="285"/>
      <c r="U73" s="231">
        <v>25</v>
      </c>
      <c r="V73" s="232">
        <f t="shared" si="66"/>
        <v>12.472564762246101</v>
      </c>
      <c r="W73" s="232">
        <f t="shared" si="67"/>
        <v>26.514727553099778</v>
      </c>
      <c r="X73" s="232">
        <f t="shared" si="68"/>
        <v>260.55187788332108</v>
      </c>
      <c r="Y73" s="285"/>
      <c r="Z73" s="233">
        <v>25</v>
      </c>
      <c r="AA73" s="234">
        <f t="shared" si="69"/>
        <v>12.472564762246101</v>
      </c>
      <c r="AB73" s="234">
        <f t="shared" si="70"/>
        <v>26.514727553099778</v>
      </c>
      <c r="AC73" s="234">
        <f t="shared" si="71"/>
        <v>260.55187788332108</v>
      </c>
      <c r="AD73" s="285"/>
      <c r="AE73" s="235">
        <v>25</v>
      </c>
      <c r="AF73" s="236">
        <f t="shared" si="72"/>
        <v>12.472564762246101</v>
      </c>
      <c r="AG73" s="236">
        <f t="shared" si="73"/>
        <v>26.514727553099778</v>
      </c>
      <c r="AH73" s="236">
        <f t="shared" si="74"/>
        <v>260.55187788332108</v>
      </c>
      <c r="AI73" s="132"/>
    </row>
    <row r="74" spans="1:35" ht="20.100000000000001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317">
        <v>50</v>
      </c>
      <c r="L74" s="318">
        <f t="shared" si="75"/>
        <v>24.366891330002638</v>
      </c>
      <c r="M74" s="318">
        <f t="shared" si="76"/>
        <v>25.981725485441533</v>
      </c>
      <c r="N74" s="318">
        <f t="shared" si="77"/>
        <v>509.0243598837551</v>
      </c>
      <c r="O74" s="132"/>
      <c r="P74" s="228">
        <v>50</v>
      </c>
      <c r="Q74" s="229">
        <f t="shared" si="63"/>
        <v>22.775606281327505</v>
      </c>
      <c r="R74" s="229">
        <f t="shared" si="64"/>
        <v>24.48984030044377</v>
      </c>
      <c r="S74" s="229">
        <f t="shared" si="65"/>
        <v>475.78241521693161</v>
      </c>
      <c r="T74" s="230"/>
      <c r="U74" s="231">
        <v>50</v>
      </c>
      <c r="V74" s="232">
        <f t="shared" si="66"/>
        <v>22.775606281327505</v>
      </c>
      <c r="W74" s="232">
        <f t="shared" si="67"/>
        <v>24.48984030044377</v>
      </c>
      <c r="X74" s="232">
        <f t="shared" si="68"/>
        <v>475.78241521693161</v>
      </c>
      <c r="Y74" s="230"/>
      <c r="Z74" s="233">
        <v>50</v>
      </c>
      <c r="AA74" s="234">
        <f t="shared" si="69"/>
        <v>22.775606281327505</v>
      </c>
      <c r="AB74" s="234">
        <f t="shared" si="70"/>
        <v>24.48984030044377</v>
      </c>
      <c r="AC74" s="234">
        <f t="shared" si="71"/>
        <v>475.78241521693161</v>
      </c>
      <c r="AD74" s="230"/>
      <c r="AE74" s="235">
        <v>50</v>
      </c>
      <c r="AF74" s="236">
        <f t="shared" si="72"/>
        <v>22.775606281327505</v>
      </c>
      <c r="AG74" s="236">
        <f t="shared" si="73"/>
        <v>24.48984030044377</v>
      </c>
      <c r="AH74" s="236">
        <f t="shared" si="74"/>
        <v>475.78241521693161</v>
      </c>
      <c r="AI74" s="132"/>
    </row>
    <row r="75" spans="1:35" ht="20.100000000000001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317">
        <v>100</v>
      </c>
      <c r="L75" s="318">
        <f t="shared" si="75"/>
        <v>44.519724747815694</v>
      </c>
      <c r="M75" s="318">
        <f t="shared" si="76"/>
        <v>23.998496717516531</v>
      </c>
      <c r="N75" s="318">
        <f t="shared" si="77"/>
        <v>930.01704998186983</v>
      </c>
      <c r="O75" s="132"/>
      <c r="P75" s="228">
        <v>100</v>
      </c>
      <c r="Q75" s="229">
        <f t="shared" si="63"/>
        <v>41.589540833831727</v>
      </c>
      <c r="R75" s="229">
        <f t="shared" si="64"/>
        <v>22.582201753051297</v>
      </c>
      <c r="S75" s="229">
        <f t="shared" si="65"/>
        <v>868.80550801874483</v>
      </c>
      <c r="T75" s="230"/>
      <c r="U75" s="231">
        <v>100</v>
      </c>
      <c r="V75" s="232">
        <f t="shared" si="66"/>
        <v>41.589540833831727</v>
      </c>
      <c r="W75" s="232">
        <f t="shared" si="67"/>
        <v>22.582201753051297</v>
      </c>
      <c r="X75" s="232">
        <f t="shared" si="68"/>
        <v>868.80550801874483</v>
      </c>
      <c r="Y75" s="230"/>
      <c r="Z75" s="233">
        <v>100</v>
      </c>
      <c r="AA75" s="234">
        <f t="shared" si="69"/>
        <v>41.589540833831727</v>
      </c>
      <c r="AB75" s="234">
        <f t="shared" si="70"/>
        <v>22.582201753051297</v>
      </c>
      <c r="AC75" s="234">
        <f t="shared" si="71"/>
        <v>868.80550801874483</v>
      </c>
      <c r="AD75" s="230"/>
      <c r="AE75" s="235">
        <v>100</v>
      </c>
      <c r="AF75" s="236">
        <f t="shared" si="72"/>
        <v>41.589540833831727</v>
      </c>
      <c r="AG75" s="236">
        <f t="shared" si="73"/>
        <v>22.582201753051297</v>
      </c>
      <c r="AH75" s="236">
        <f t="shared" si="74"/>
        <v>868.80550801874483</v>
      </c>
      <c r="AI75" s="132"/>
    </row>
    <row r="76" spans="1:35" ht="20.100000000000001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317">
        <v>200</v>
      </c>
      <c r="L76" s="318">
        <f t="shared" si="75"/>
        <v>81.340121100341378</v>
      </c>
      <c r="M76" s="318">
        <f t="shared" si="76"/>
        <v>22.131605314273628</v>
      </c>
      <c r="N76" s="318">
        <f t="shared" si="77"/>
        <v>1699.1951297861315</v>
      </c>
      <c r="O76" s="132"/>
      <c r="P76" s="228">
        <v>200</v>
      </c>
      <c r="Q76" s="229">
        <f t="shared" si="63"/>
        <v>75.944845788234247</v>
      </c>
      <c r="R76" s="229">
        <f t="shared" si="64"/>
        <v>20.792982934708089</v>
      </c>
      <c r="S76" s="229">
        <f t="shared" si="65"/>
        <v>1586.4878285162135</v>
      </c>
      <c r="T76" s="285"/>
      <c r="U76" s="231">
        <v>200</v>
      </c>
      <c r="V76" s="232">
        <f t="shared" si="66"/>
        <v>75.944845788234247</v>
      </c>
      <c r="W76" s="232">
        <f t="shared" si="67"/>
        <v>20.792982934708089</v>
      </c>
      <c r="X76" s="232">
        <f t="shared" si="68"/>
        <v>1586.4878285162135</v>
      </c>
      <c r="Y76" s="285"/>
      <c r="Z76" s="233">
        <v>200</v>
      </c>
      <c r="AA76" s="234">
        <f t="shared" si="69"/>
        <v>75.944845788234247</v>
      </c>
      <c r="AB76" s="234">
        <f t="shared" si="70"/>
        <v>20.792982934708089</v>
      </c>
      <c r="AC76" s="234">
        <f t="shared" si="71"/>
        <v>1586.4878285162135</v>
      </c>
      <c r="AD76" s="285"/>
      <c r="AE76" s="235">
        <v>200</v>
      </c>
      <c r="AF76" s="236">
        <f t="shared" si="72"/>
        <v>75.944845788234247</v>
      </c>
      <c r="AG76" s="236">
        <f t="shared" si="73"/>
        <v>20.792982934708089</v>
      </c>
      <c r="AH76" s="236">
        <f t="shared" si="74"/>
        <v>1586.4878285162135</v>
      </c>
      <c r="AI76" s="132"/>
    </row>
    <row r="77" spans="1:35" ht="20.100000000000001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317">
        <v>300</v>
      </c>
      <c r="L77" s="318">
        <f t="shared" si="75"/>
        <v>115.72311635442266</v>
      </c>
      <c r="M77" s="318">
        <f t="shared" si="76"/>
        <v>21.093807600638474</v>
      </c>
      <c r="N77" s="318">
        <f t="shared" si="77"/>
        <v>2417.4559006438894</v>
      </c>
      <c r="O77" s="132"/>
      <c r="P77" s="228">
        <v>300</v>
      </c>
      <c r="Q77" s="229">
        <f t="shared" si="63"/>
        <v>108.01256828082244</v>
      </c>
      <c r="R77" s="229">
        <f t="shared" si="64"/>
        <v>19.801001295011432</v>
      </c>
      <c r="S77" s="229">
        <f t="shared" si="65"/>
        <v>2256.3825513863808</v>
      </c>
      <c r="T77" s="230"/>
      <c r="U77" s="231">
        <v>300</v>
      </c>
      <c r="V77" s="232">
        <f t="shared" si="66"/>
        <v>108.01256828082244</v>
      </c>
      <c r="W77" s="232">
        <f t="shared" si="67"/>
        <v>19.801001295011432</v>
      </c>
      <c r="X77" s="232">
        <f t="shared" si="68"/>
        <v>2256.3825513863808</v>
      </c>
      <c r="Y77" s="230"/>
      <c r="Z77" s="233">
        <v>300</v>
      </c>
      <c r="AA77" s="234">
        <f t="shared" si="69"/>
        <v>108.01256828082244</v>
      </c>
      <c r="AB77" s="234">
        <f t="shared" si="70"/>
        <v>19.801001295011432</v>
      </c>
      <c r="AC77" s="234">
        <f t="shared" si="71"/>
        <v>2256.3825513863808</v>
      </c>
      <c r="AD77" s="230"/>
      <c r="AE77" s="235">
        <v>300</v>
      </c>
      <c r="AF77" s="236">
        <f t="shared" si="72"/>
        <v>108.01256828082244</v>
      </c>
      <c r="AG77" s="236">
        <f t="shared" si="73"/>
        <v>19.801001295011432</v>
      </c>
      <c r="AH77" s="236">
        <f t="shared" si="74"/>
        <v>2256.3825513863808</v>
      </c>
      <c r="AI77" s="132"/>
    </row>
    <row r="78" spans="1:35" ht="20.100000000000001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317">
        <v>400</v>
      </c>
      <c r="L78" s="318">
        <f t="shared" si="75"/>
        <v>148.61312234287382</v>
      </c>
      <c r="M78" s="318">
        <f t="shared" si="76"/>
        <v>20.381683196127366</v>
      </c>
      <c r="N78" s="318">
        <f t="shared" si="77"/>
        <v>3104.5281257426341</v>
      </c>
      <c r="O78" s="132"/>
      <c r="P78" s="228">
        <v>400</v>
      </c>
      <c r="Q78" s="229">
        <f t="shared" si="63"/>
        <v>138.6795690975004</v>
      </c>
      <c r="R78" s="229">
        <f t="shared" si="64"/>
        <v>19.121376173971989</v>
      </c>
      <c r="S78" s="229">
        <f t="shared" si="65"/>
        <v>2897.0161984467836</v>
      </c>
      <c r="T78" s="230"/>
      <c r="U78" s="231">
        <v>400</v>
      </c>
      <c r="V78" s="232">
        <f t="shared" si="66"/>
        <v>138.6795690975004</v>
      </c>
      <c r="W78" s="232">
        <f t="shared" si="67"/>
        <v>19.121376173971989</v>
      </c>
      <c r="X78" s="232">
        <f t="shared" si="68"/>
        <v>2897.0161984467836</v>
      </c>
      <c r="Y78" s="230"/>
      <c r="Z78" s="233">
        <v>400</v>
      </c>
      <c r="AA78" s="234">
        <f t="shared" si="69"/>
        <v>138.6795690975004</v>
      </c>
      <c r="AB78" s="234">
        <f t="shared" si="70"/>
        <v>19.121376173971989</v>
      </c>
      <c r="AC78" s="234">
        <f t="shared" si="71"/>
        <v>2897.0161984467836</v>
      </c>
      <c r="AD78" s="230"/>
      <c r="AE78" s="235">
        <v>400</v>
      </c>
      <c r="AF78" s="236">
        <f t="shared" si="72"/>
        <v>138.6795690975004</v>
      </c>
      <c r="AG78" s="236">
        <f t="shared" si="73"/>
        <v>19.121376173971989</v>
      </c>
      <c r="AH78" s="236">
        <f t="shared" si="74"/>
        <v>2897.0161984467836</v>
      </c>
      <c r="AI78" s="132"/>
    </row>
    <row r="79" spans="1:35" ht="21" customHeight="1" thickBo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32"/>
      <c r="P79" s="2"/>
      <c r="Q79" s="2"/>
      <c r="R79" s="2"/>
      <c r="S79" s="2"/>
      <c r="T79" s="179"/>
      <c r="U79" s="2"/>
      <c r="V79" s="2"/>
      <c r="W79" s="2"/>
      <c r="X79" s="2"/>
      <c r="Y79" s="179"/>
      <c r="Z79" s="2"/>
      <c r="AA79" s="2"/>
      <c r="AB79" s="2"/>
      <c r="AC79" s="2"/>
      <c r="AD79" s="179"/>
      <c r="AE79" s="2"/>
      <c r="AF79" s="2"/>
      <c r="AG79" s="2"/>
      <c r="AH79" s="2"/>
      <c r="AI79" s="132"/>
    </row>
    <row r="80" spans="1:35" ht="20.100000000000001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457" t="s">
        <v>111</v>
      </c>
      <c r="L80" s="458"/>
      <c r="M80" s="458"/>
      <c r="N80" s="459"/>
      <c r="O80" s="132"/>
      <c r="P80" s="463" t="s">
        <v>90</v>
      </c>
      <c r="Q80" s="464"/>
      <c r="R80" s="464"/>
      <c r="S80" s="465"/>
      <c r="T80" s="256"/>
      <c r="U80" s="499" t="s">
        <v>106</v>
      </c>
      <c r="V80" s="500"/>
      <c r="W80" s="500"/>
      <c r="X80" s="501"/>
      <c r="Y80" s="256"/>
      <c r="Z80" s="505" t="s">
        <v>105</v>
      </c>
      <c r="AA80" s="506"/>
      <c r="AB80" s="506"/>
      <c r="AC80" s="507"/>
      <c r="AD80" s="256"/>
      <c r="AE80" s="511" t="s">
        <v>104</v>
      </c>
      <c r="AF80" s="512"/>
      <c r="AG80" s="512"/>
      <c r="AH80" s="513"/>
      <c r="AI80" s="132"/>
    </row>
    <row r="81" spans="1:35" ht="22.5" customHeight="1" thickBot="1" x14ac:dyDescent="0.35">
      <c r="A81" s="2"/>
      <c r="B81" s="2"/>
      <c r="C81" s="2"/>
      <c r="D81" s="2"/>
      <c r="E81" s="2"/>
      <c r="F81" s="2"/>
      <c r="G81" s="2"/>
      <c r="H81" s="2"/>
      <c r="I81" s="100"/>
      <c r="J81" s="2"/>
      <c r="K81" s="460"/>
      <c r="L81" s="461"/>
      <c r="M81" s="461"/>
      <c r="N81" s="462"/>
      <c r="O81" s="132"/>
      <c r="P81" s="466"/>
      <c r="Q81" s="467"/>
      <c r="R81" s="467"/>
      <c r="S81" s="468"/>
      <c r="T81" s="256"/>
      <c r="U81" s="502"/>
      <c r="V81" s="503"/>
      <c r="W81" s="503"/>
      <c r="X81" s="504"/>
      <c r="Y81" s="256"/>
      <c r="Z81" s="508"/>
      <c r="AA81" s="509"/>
      <c r="AB81" s="509"/>
      <c r="AC81" s="510"/>
      <c r="AD81" s="256"/>
      <c r="AE81" s="514"/>
      <c r="AF81" s="515"/>
      <c r="AG81" s="515"/>
      <c r="AH81" s="516"/>
      <c r="AI81" s="132"/>
    </row>
    <row r="82" spans="1:35" ht="19.350000000000001" customHeight="1" x14ac:dyDescent="0.3">
      <c r="A82" s="2"/>
      <c r="B82" s="2"/>
      <c r="C82" s="2"/>
      <c r="D82" s="2"/>
      <c r="E82" s="2"/>
      <c r="F82" s="2"/>
      <c r="G82" s="2"/>
      <c r="H82" s="2"/>
      <c r="I82" s="103"/>
      <c r="J82" s="2"/>
      <c r="K82" s="378" t="s">
        <v>31</v>
      </c>
      <c r="L82" s="379"/>
      <c r="M82" s="148"/>
      <c r="N82" s="149"/>
      <c r="O82" s="132"/>
      <c r="P82" s="378" t="s">
        <v>31</v>
      </c>
      <c r="Q82" s="379"/>
      <c r="R82" s="148"/>
      <c r="S82" s="149"/>
      <c r="T82" s="132"/>
      <c r="U82" s="378" t="s">
        <v>31</v>
      </c>
      <c r="V82" s="379"/>
      <c r="W82" s="148"/>
      <c r="X82" s="149"/>
      <c r="Y82" s="2"/>
      <c r="Z82" s="378" t="s">
        <v>31</v>
      </c>
      <c r="AA82" s="379"/>
      <c r="AB82" s="148"/>
      <c r="AC82" s="149"/>
      <c r="AD82" s="132"/>
      <c r="AE82" s="378" t="s">
        <v>31</v>
      </c>
      <c r="AF82" s="379"/>
      <c r="AG82" s="148"/>
      <c r="AH82" s="149"/>
      <c r="AI82" s="132"/>
    </row>
    <row r="83" spans="1:35" ht="19.350000000000001" customHeight="1" x14ac:dyDescent="0.3">
      <c r="A83" s="2"/>
      <c r="B83" s="2"/>
      <c r="C83" s="2"/>
      <c r="D83" s="2"/>
      <c r="E83" s="2"/>
      <c r="F83" s="2"/>
      <c r="G83" s="2"/>
      <c r="H83" s="2"/>
      <c r="I83" s="99"/>
      <c r="J83" s="2"/>
      <c r="K83" s="150" t="s">
        <v>32</v>
      </c>
      <c r="L83" s="94" t="s">
        <v>33</v>
      </c>
      <c r="M83" s="132"/>
      <c r="N83" s="149"/>
      <c r="O83" s="132"/>
      <c r="P83" s="150" t="s">
        <v>32</v>
      </c>
      <c r="Q83" s="94" t="s">
        <v>33</v>
      </c>
      <c r="R83" s="132"/>
      <c r="S83" s="149"/>
      <c r="T83" s="132"/>
      <c r="U83" s="150" t="s">
        <v>32</v>
      </c>
      <c r="V83" s="94" t="s">
        <v>33</v>
      </c>
      <c r="W83" s="132"/>
      <c r="X83" s="149"/>
      <c r="Y83" s="2"/>
      <c r="Z83" s="150" t="s">
        <v>32</v>
      </c>
      <c r="AA83" s="94" t="s">
        <v>33</v>
      </c>
      <c r="AB83" s="132"/>
      <c r="AC83" s="149"/>
      <c r="AD83" s="132"/>
      <c r="AE83" s="150" t="s">
        <v>32</v>
      </c>
      <c r="AF83" s="94" t="s">
        <v>33</v>
      </c>
      <c r="AG83" s="132"/>
      <c r="AH83" s="149"/>
      <c r="AI83" s="132"/>
    </row>
    <row r="84" spans="1:35" ht="19.350000000000001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527">
        <f>V49</f>
        <v>0.26296266766379783</v>
      </c>
      <c r="L84" s="526">
        <f>U49</f>
        <v>0.82639588937210706</v>
      </c>
      <c r="M84" s="132"/>
      <c r="N84" s="153"/>
      <c r="O84" s="132"/>
      <c r="P84" s="527">
        <f>V50</f>
        <v>0.247936340633157</v>
      </c>
      <c r="Q84" s="526">
        <f>U50</f>
        <v>0.8154179060420117</v>
      </c>
      <c r="R84" s="132"/>
      <c r="S84" s="153"/>
      <c r="T84" s="132"/>
      <c r="U84" s="527">
        <f>V51</f>
        <v>0.23299322553622989</v>
      </c>
      <c r="V84" s="526">
        <f>U51</f>
        <v>0.80274361191685617</v>
      </c>
      <c r="W84" s="132"/>
      <c r="X84" s="153"/>
      <c r="Y84" s="2"/>
      <c r="Z84" s="527">
        <f>V52</f>
        <v>0.21812129581814882</v>
      </c>
      <c r="AA84" s="526">
        <f>U52</f>
        <v>0.7879513399490603</v>
      </c>
      <c r="AB84" s="132"/>
      <c r="AC84" s="153"/>
      <c r="AD84" s="132"/>
      <c r="AE84" s="527">
        <f>V53</f>
        <v>0.20330667537103267</v>
      </c>
      <c r="AF84" s="526">
        <f>U53</f>
        <v>0.77046112396049082</v>
      </c>
      <c r="AG84" s="132"/>
      <c r="AH84" s="153"/>
      <c r="AI84" s="132"/>
    </row>
    <row r="85" spans="1:35" ht="21.9" customHeight="1" x14ac:dyDescent="0.3">
      <c r="A85" s="2"/>
      <c r="B85" s="2"/>
      <c r="C85" s="2"/>
      <c r="D85" s="2"/>
      <c r="E85" s="2"/>
      <c r="F85" s="2"/>
      <c r="G85" s="2"/>
      <c r="H85" s="2"/>
      <c r="I85" s="132"/>
      <c r="J85" s="132"/>
      <c r="K85" s="151" t="s">
        <v>34</v>
      </c>
      <c r="L85" s="96" t="s">
        <v>35</v>
      </c>
      <c r="M85" s="97" t="s">
        <v>36</v>
      </c>
      <c r="N85" s="152" t="s">
        <v>79</v>
      </c>
      <c r="O85" s="132"/>
      <c r="P85" s="151" t="s">
        <v>34</v>
      </c>
      <c r="Q85" s="96" t="s">
        <v>35</v>
      </c>
      <c r="R85" s="97" t="s">
        <v>36</v>
      </c>
      <c r="S85" s="152" t="s">
        <v>79</v>
      </c>
      <c r="T85" s="132"/>
      <c r="U85" s="151" t="s">
        <v>34</v>
      </c>
      <c r="V85" s="96" t="s">
        <v>35</v>
      </c>
      <c r="W85" s="97" t="s">
        <v>36</v>
      </c>
      <c r="X85" s="152" t="s">
        <v>79</v>
      </c>
      <c r="Y85" s="2"/>
      <c r="Z85" s="151" t="s">
        <v>34</v>
      </c>
      <c r="AA85" s="96" t="s">
        <v>35</v>
      </c>
      <c r="AB85" s="97" t="s">
        <v>36</v>
      </c>
      <c r="AC85" s="152" t="s">
        <v>79</v>
      </c>
      <c r="AD85" s="132"/>
      <c r="AE85" s="151" t="s">
        <v>34</v>
      </c>
      <c r="AF85" s="96" t="s">
        <v>35</v>
      </c>
      <c r="AG85" s="97" t="s">
        <v>36</v>
      </c>
      <c r="AH85" s="152" t="s">
        <v>79</v>
      </c>
      <c r="AI85" s="132"/>
    </row>
    <row r="86" spans="1:35" ht="21.9" customHeight="1" x14ac:dyDescent="0.3">
      <c r="A86" s="2"/>
      <c r="B86" s="2"/>
      <c r="C86" s="2"/>
      <c r="D86" s="280"/>
      <c r="E86" s="280"/>
      <c r="F86" s="280"/>
      <c r="G86" s="280"/>
      <c r="H86" s="2"/>
      <c r="I86" s="132"/>
      <c r="J86" s="132"/>
      <c r="K86" s="319">
        <v>0</v>
      </c>
      <c r="L86" s="320">
        <v>0</v>
      </c>
      <c r="M86" s="320">
        <v>0</v>
      </c>
      <c r="N86" s="321">
        <f>L86*20.89</f>
        <v>0</v>
      </c>
      <c r="O86" s="132"/>
      <c r="P86" s="253">
        <v>0</v>
      </c>
      <c r="Q86" s="254">
        <v>0</v>
      </c>
      <c r="R86" s="254">
        <v>0</v>
      </c>
      <c r="S86" s="255">
        <f>Q86*20.89</f>
        <v>0</v>
      </c>
      <c r="T86" s="256"/>
      <c r="U86" s="257">
        <v>0</v>
      </c>
      <c r="V86" s="258">
        <v>0</v>
      </c>
      <c r="W86" s="258">
        <v>0</v>
      </c>
      <c r="X86" s="259">
        <f>V86*20.89</f>
        <v>0</v>
      </c>
      <c r="Y86" s="260"/>
      <c r="Z86" s="261">
        <v>0</v>
      </c>
      <c r="AA86" s="262">
        <v>0</v>
      </c>
      <c r="AB86" s="262">
        <v>0</v>
      </c>
      <c r="AC86" s="263">
        <f>AA86*20.89</f>
        <v>0</v>
      </c>
      <c r="AD86" s="256"/>
      <c r="AE86" s="261">
        <v>0</v>
      </c>
      <c r="AF86" s="262">
        <v>0</v>
      </c>
      <c r="AG86" s="262">
        <v>0</v>
      </c>
      <c r="AH86" s="263">
        <f>AF86*20.89</f>
        <v>0</v>
      </c>
      <c r="AI86" s="132"/>
    </row>
    <row r="87" spans="1:35" ht="21.9" customHeight="1" x14ac:dyDescent="0.55000000000000004">
      <c r="A87" s="2"/>
      <c r="B87" s="2"/>
      <c r="C87" s="2"/>
      <c r="D87" s="406" t="s">
        <v>44</v>
      </c>
      <c r="E87" s="407"/>
      <c r="F87" s="407"/>
      <c r="G87" s="280"/>
      <c r="H87" s="2"/>
      <c r="I87" s="132"/>
      <c r="J87" s="132"/>
      <c r="K87" s="319">
        <v>5</v>
      </c>
      <c r="L87" s="320">
        <f t="shared" ref="L87:L95" si="78">K$84*101*(K87/101)^L$84</f>
        <v>2.2155342324383458</v>
      </c>
      <c r="M87" s="320">
        <f t="shared" ref="M87:M95" si="79">DEGREES(ATAN(L87/K87))</f>
        <v>23.898459935752012</v>
      </c>
      <c r="N87" s="321">
        <f t="shared" ref="N87:N95" si="80">L87*20.89</f>
        <v>46.282510115637045</v>
      </c>
      <c r="O87" s="132"/>
      <c r="P87" s="253">
        <v>5</v>
      </c>
      <c r="Q87" s="254">
        <f t="shared" ref="Q87:Q95" si="81">P$84*101*(P87/101)^Q$84</f>
        <v>2.1590101322814639</v>
      </c>
      <c r="R87" s="254">
        <f t="shared" ref="R87:R95" si="82">DEGREES(ATAN(Q87/P87))</f>
        <v>23.354784694696182</v>
      </c>
      <c r="S87" s="255">
        <f t="shared" ref="S87:S95" si="83">Q87*20.89</f>
        <v>45.101721663359783</v>
      </c>
      <c r="T87" s="256"/>
      <c r="U87" s="257">
        <v>5</v>
      </c>
      <c r="V87" s="258">
        <f t="shared" ref="V87:V95" si="84">U$84*101*(U87/101)^V$84</f>
        <v>2.1076679639453895</v>
      </c>
      <c r="W87" s="258">
        <f t="shared" ref="W87:W95" si="85">DEGREES(ATAN(V87/U87))</f>
        <v>22.85705743122465</v>
      </c>
      <c r="X87" s="259">
        <f t="shared" ref="X87:X95" si="86">V87*20.89</f>
        <v>44.029183766819187</v>
      </c>
      <c r="Y87" s="260"/>
      <c r="Z87" s="261">
        <v>5</v>
      </c>
      <c r="AA87" s="262">
        <f t="shared" ref="AA87:AA95" si="87">Z$84*101*(Z87/101)^AA$84</f>
        <v>2.0628425559002821</v>
      </c>
      <c r="AB87" s="262">
        <f t="shared" ref="AB87:AB95" si="88">DEGREES(ATAN(AA87/Z87))</f>
        <v>22.419501994316089</v>
      </c>
      <c r="AC87" s="263">
        <f t="shared" ref="AC87:AC95" si="89">AA87*20.89</f>
        <v>43.092780992756893</v>
      </c>
      <c r="AD87" s="256"/>
      <c r="AE87" s="261">
        <v>5</v>
      </c>
      <c r="AF87" s="262">
        <f t="shared" ref="AF87:AF95" si="90">AE$84*101*(AE87/101)^AF$84</f>
        <v>2.0265182959011407</v>
      </c>
      <c r="AG87" s="262">
        <f t="shared" ref="AG87:AG95" si="91">DEGREES(ATAN(AF87/AE87))</f>
        <v>22.062892633171444</v>
      </c>
      <c r="AH87" s="263">
        <f t="shared" ref="AH87:AH95" si="92">AF87*20.89</f>
        <v>42.333967201374833</v>
      </c>
      <c r="AI87" s="132"/>
    </row>
    <row r="88" spans="1:35" ht="21.9" customHeight="1" x14ac:dyDescent="0.3">
      <c r="A88" s="2"/>
      <c r="B88" s="2"/>
      <c r="C88" s="2"/>
      <c r="D88" s="280"/>
      <c r="E88" s="280"/>
      <c r="F88" s="280"/>
      <c r="G88" s="280"/>
      <c r="H88" s="2"/>
      <c r="I88" s="132"/>
      <c r="J88" s="132"/>
      <c r="K88" s="319">
        <v>10</v>
      </c>
      <c r="L88" s="320">
        <f t="shared" si="78"/>
        <v>3.9286959191269837</v>
      </c>
      <c r="M88" s="320">
        <f t="shared" si="79"/>
        <v>21.448354236333032</v>
      </c>
      <c r="N88" s="321">
        <f t="shared" si="80"/>
        <v>82.070457750562696</v>
      </c>
      <c r="O88" s="132"/>
      <c r="P88" s="253">
        <v>10</v>
      </c>
      <c r="Q88" s="254">
        <f t="shared" si="81"/>
        <v>3.7994429622916628</v>
      </c>
      <c r="R88" s="254">
        <f t="shared" si="82"/>
        <v>20.804002084011756</v>
      </c>
      <c r="S88" s="255">
        <f t="shared" si="83"/>
        <v>79.370363482272836</v>
      </c>
      <c r="T88" s="256"/>
      <c r="U88" s="257">
        <v>10</v>
      </c>
      <c r="V88" s="258">
        <f t="shared" si="84"/>
        <v>3.6766484033418698</v>
      </c>
      <c r="W88" s="258">
        <f t="shared" si="85"/>
        <v>20.186700500332957</v>
      </c>
      <c r="X88" s="259">
        <f t="shared" si="86"/>
        <v>76.805185145811663</v>
      </c>
      <c r="Y88" s="260"/>
      <c r="Z88" s="261">
        <v>10</v>
      </c>
      <c r="AA88" s="262">
        <f t="shared" si="87"/>
        <v>3.5617470285536323</v>
      </c>
      <c r="AB88" s="262">
        <f t="shared" si="88"/>
        <v>19.604612842172035</v>
      </c>
      <c r="AC88" s="263">
        <f t="shared" si="89"/>
        <v>74.404895426485382</v>
      </c>
      <c r="AD88" s="256"/>
      <c r="AE88" s="261">
        <v>10</v>
      </c>
      <c r="AF88" s="262">
        <f t="shared" si="90"/>
        <v>3.4568651458744712</v>
      </c>
      <c r="AG88" s="262">
        <f t="shared" si="91"/>
        <v>19.069577501712637</v>
      </c>
      <c r="AH88" s="263">
        <f t="shared" si="92"/>
        <v>72.213912897317712</v>
      </c>
      <c r="AI88" s="132"/>
    </row>
    <row r="89" spans="1:35" ht="21.9" customHeight="1" x14ac:dyDescent="0.3">
      <c r="A89" s="2"/>
      <c r="B89" s="2"/>
      <c r="C89" s="2"/>
      <c r="D89" s="280"/>
      <c r="E89" s="280"/>
      <c r="F89" s="280"/>
      <c r="G89" s="280"/>
      <c r="H89" s="2"/>
      <c r="I89" s="132"/>
      <c r="J89" s="132"/>
      <c r="K89" s="319">
        <v>25</v>
      </c>
      <c r="L89" s="320">
        <f t="shared" si="78"/>
        <v>8.3773064592108089</v>
      </c>
      <c r="M89" s="320">
        <f t="shared" si="79"/>
        <v>18.525601994488699</v>
      </c>
      <c r="N89" s="321">
        <f t="shared" si="80"/>
        <v>175.00193193291381</v>
      </c>
      <c r="O89" s="132"/>
      <c r="P89" s="253">
        <v>25</v>
      </c>
      <c r="Q89" s="254">
        <f t="shared" si="81"/>
        <v>8.0206088626026624</v>
      </c>
      <c r="R89" s="254">
        <f t="shared" si="82"/>
        <v>17.787506100433163</v>
      </c>
      <c r="S89" s="255">
        <f t="shared" si="83"/>
        <v>167.55051913976962</v>
      </c>
      <c r="T89" s="256"/>
      <c r="U89" s="257">
        <v>25</v>
      </c>
      <c r="V89" s="258">
        <f t="shared" si="84"/>
        <v>7.6717757608058568</v>
      </c>
      <c r="W89" s="258">
        <f t="shared" si="85"/>
        <v>17.059733014848621</v>
      </c>
      <c r="X89" s="259">
        <f t="shared" si="86"/>
        <v>160.26339564323436</v>
      </c>
      <c r="Y89" s="260"/>
      <c r="Z89" s="261">
        <v>25</v>
      </c>
      <c r="AA89" s="262">
        <f t="shared" si="87"/>
        <v>7.3319658537435295</v>
      </c>
      <c r="AB89" s="262">
        <f t="shared" si="88"/>
        <v>16.34528577349684</v>
      </c>
      <c r="AC89" s="263">
        <f t="shared" si="89"/>
        <v>153.16476668470233</v>
      </c>
      <c r="AD89" s="256"/>
      <c r="AE89" s="261">
        <v>25</v>
      </c>
      <c r="AF89" s="262">
        <f t="shared" si="90"/>
        <v>7.0029293376771493</v>
      </c>
      <c r="AG89" s="262">
        <f t="shared" si="91"/>
        <v>15.648471738326782</v>
      </c>
      <c r="AH89" s="263">
        <f t="shared" si="92"/>
        <v>146.29119386407567</v>
      </c>
      <c r="AI89" s="132"/>
    </row>
    <row r="90" spans="1:35" ht="21.9" customHeight="1" x14ac:dyDescent="0.3">
      <c r="A90" s="2"/>
      <c r="B90" s="2"/>
      <c r="C90" s="2"/>
      <c r="D90" s="280"/>
      <c r="E90" s="280"/>
      <c r="F90" s="280"/>
      <c r="G90" s="280"/>
      <c r="H90" s="2"/>
      <c r="I90" s="132"/>
      <c r="J90" s="132"/>
      <c r="K90" s="319">
        <v>50</v>
      </c>
      <c r="L90" s="320">
        <f t="shared" si="78"/>
        <v>14.855058079312936</v>
      </c>
      <c r="M90" s="320">
        <f t="shared" si="79"/>
        <v>16.546745669770925</v>
      </c>
      <c r="N90" s="321">
        <f t="shared" si="80"/>
        <v>310.32216327684722</v>
      </c>
      <c r="O90" s="132"/>
      <c r="P90" s="253">
        <v>50</v>
      </c>
      <c r="Q90" s="254">
        <f t="shared" si="81"/>
        <v>14.114730376048568</v>
      </c>
      <c r="R90" s="254">
        <f t="shared" si="82"/>
        <v>15.764087005307047</v>
      </c>
      <c r="S90" s="255">
        <f t="shared" si="83"/>
        <v>294.8567175556546</v>
      </c>
      <c r="T90" s="256"/>
      <c r="U90" s="257">
        <v>50</v>
      </c>
      <c r="V90" s="258">
        <f t="shared" si="84"/>
        <v>13.382763596673687</v>
      </c>
      <c r="W90" s="258">
        <f t="shared" si="85"/>
        <v>14.984286534903744</v>
      </c>
      <c r="X90" s="259">
        <f t="shared" si="86"/>
        <v>279.56593153451331</v>
      </c>
      <c r="Y90" s="260"/>
      <c r="Z90" s="261">
        <v>50</v>
      </c>
      <c r="AA90" s="262">
        <f t="shared" si="87"/>
        <v>12.659525332329864</v>
      </c>
      <c r="AB90" s="262">
        <f t="shared" si="88"/>
        <v>14.208163363315128</v>
      </c>
      <c r="AC90" s="263">
        <f t="shared" si="89"/>
        <v>264.45748419237088</v>
      </c>
      <c r="AD90" s="256"/>
      <c r="AE90" s="261">
        <v>50</v>
      </c>
      <c r="AF90" s="262">
        <f t="shared" si="90"/>
        <v>11.945701351624452</v>
      </c>
      <c r="AG90" s="262">
        <f t="shared" si="91"/>
        <v>13.436885906152735</v>
      </c>
      <c r="AH90" s="263">
        <f t="shared" si="92"/>
        <v>249.54570123543482</v>
      </c>
      <c r="AI90" s="132"/>
    </row>
    <row r="91" spans="1:35" ht="21.9" customHeight="1" x14ac:dyDescent="0.3">
      <c r="A91" s="2"/>
      <c r="B91" s="2"/>
      <c r="C91" s="2"/>
      <c r="D91" s="99"/>
      <c r="E91" s="99"/>
      <c r="F91" s="402" t="s">
        <v>37</v>
      </c>
      <c r="G91" s="403"/>
      <c r="H91" s="2"/>
      <c r="I91" s="132"/>
      <c r="J91" s="132"/>
      <c r="K91" s="319">
        <v>100</v>
      </c>
      <c r="L91" s="320">
        <f t="shared" si="78"/>
        <v>26.341730676109123</v>
      </c>
      <c r="M91" s="320">
        <f t="shared" si="79"/>
        <v>14.757462519515059</v>
      </c>
      <c r="N91" s="321">
        <f t="shared" si="80"/>
        <v>550.2787538239196</v>
      </c>
      <c r="O91" s="132"/>
      <c r="P91" s="253">
        <v>100</v>
      </c>
      <c r="Q91" s="254">
        <f t="shared" si="81"/>
        <v>24.839213207050729</v>
      </c>
      <c r="R91" s="254">
        <f t="shared" si="82"/>
        <v>13.94950573455837</v>
      </c>
      <c r="S91" s="255">
        <f t="shared" si="83"/>
        <v>518.89116389528976</v>
      </c>
      <c r="T91" s="256"/>
      <c r="U91" s="257">
        <v>100</v>
      </c>
      <c r="V91" s="258">
        <f t="shared" si="84"/>
        <v>23.345098588444877</v>
      </c>
      <c r="W91" s="258">
        <f t="shared" si="85"/>
        <v>13.140415074777296</v>
      </c>
      <c r="X91" s="259">
        <f t="shared" si="86"/>
        <v>487.67910951261348</v>
      </c>
      <c r="Y91" s="260"/>
      <c r="Z91" s="261">
        <v>100</v>
      </c>
      <c r="AA91" s="262">
        <f t="shared" si="87"/>
        <v>21.858200765907107</v>
      </c>
      <c r="AB91" s="262">
        <f t="shared" si="88"/>
        <v>12.329901254314066</v>
      </c>
      <c r="AC91" s="263">
        <f t="shared" si="89"/>
        <v>456.61781399979947</v>
      </c>
      <c r="AD91" s="256"/>
      <c r="AE91" s="261">
        <v>100</v>
      </c>
      <c r="AF91" s="262">
        <f t="shared" si="90"/>
        <v>20.377155601792111</v>
      </c>
      <c r="AG91" s="262">
        <f t="shared" si="91"/>
        <v>11.517563894576119</v>
      </c>
      <c r="AH91" s="263">
        <f t="shared" si="92"/>
        <v>425.6787805214372</v>
      </c>
      <c r="AI91" s="132"/>
    </row>
    <row r="92" spans="1:35" ht="21.9" customHeight="1" x14ac:dyDescent="0.3">
      <c r="A92" s="2"/>
      <c r="B92" s="2"/>
      <c r="C92" s="2"/>
      <c r="D92" s="404" t="s">
        <v>38</v>
      </c>
      <c r="E92" s="405"/>
      <c r="F92" s="101" t="s">
        <v>39</v>
      </c>
      <c r="G92" s="102" t="s">
        <v>40</v>
      </c>
      <c r="H92" s="2"/>
      <c r="I92" s="132"/>
      <c r="J92" s="132"/>
      <c r="K92" s="319">
        <v>200</v>
      </c>
      <c r="L92" s="320">
        <f t="shared" si="78"/>
        <v>46.710472036388126</v>
      </c>
      <c r="M92" s="320">
        <f t="shared" si="79"/>
        <v>13.145923080976491</v>
      </c>
      <c r="N92" s="321">
        <f t="shared" si="80"/>
        <v>975.78176084014797</v>
      </c>
      <c r="O92" s="132"/>
      <c r="P92" s="253">
        <v>200</v>
      </c>
      <c r="Q92" s="254">
        <f t="shared" si="81"/>
        <v>43.712242197151298</v>
      </c>
      <c r="R92" s="254">
        <f t="shared" si="82"/>
        <v>12.328764022313294</v>
      </c>
      <c r="S92" s="255">
        <f t="shared" si="83"/>
        <v>913.14873949849061</v>
      </c>
      <c r="T92" s="256"/>
      <c r="U92" s="257">
        <v>200</v>
      </c>
      <c r="V92" s="258">
        <f t="shared" si="84"/>
        <v>40.723548926745615</v>
      </c>
      <c r="W92" s="258">
        <f t="shared" si="85"/>
        <v>11.509102238334227</v>
      </c>
      <c r="X92" s="259">
        <f t="shared" si="86"/>
        <v>850.71493707971592</v>
      </c>
      <c r="Y92" s="260"/>
      <c r="Z92" s="261">
        <v>200</v>
      </c>
      <c r="AA92" s="262">
        <f t="shared" si="87"/>
        <v>37.740825835116127</v>
      </c>
      <c r="AB92" s="262">
        <f t="shared" si="88"/>
        <v>10.686289124368875</v>
      </c>
      <c r="AC92" s="263">
        <f t="shared" si="89"/>
        <v>788.40585169557596</v>
      </c>
      <c r="AD92" s="256"/>
      <c r="AE92" s="261">
        <v>200</v>
      </c>
      <c r="AF92" s="262">
        <f t="shared" si="90"/>
        <v>34.759656063491178</v>
      </c>
      <c r="AG92" s="262">
        <f t="shared" si="91"/>
        <v>9.8594244152852628</v>
      </c>
      <c r="AH92" s="263">
        <f t="shared" si="92"/>
        <v>726.12921516633071</v>
      </c>
      <c r="AI92" s="132"/>
    </row>
    <row r="93" spans="1:35" ht="21.9" customHeight="1" x14ac:dyDescent="0.3">
      <c r="A93" s="2"/>
      <c r="B93" s="2"/>
      <c r="C93" s="2"/>
      <c r="D93" s="404" t="s">
        <v>41</v>
      </c>
      <c r="E93" s="405"/>
      <c r="F93" s="104">
        <v>25</v>
      </c>
      <c r="G93" s="105">
        <v>80</v>
      </c>
      <c r="H93" s="2"/>
      <c r="I93" s="132"/>
      <c r="J93" s="132"/>
      <c r="K93" s="319">
        <v>300</v>
      </c>
      <c r="L93" s="320">
        <f t="shared" si="78"/>
        <v>65.303333159439717</v>
      </c>
      <c r="M93" s="320">
        <f t="shared" si="79"/>
        <v>12.280445791039812</v>
      </c>
      <c r="N93" s="321">
        <f t="shared" si="80"/>
        <v>1364.1866297006957</v>
      </c>
      <c r="O93" s="132"/>
      <c r="P93" s="253">
        <v>300</v>
      </c>
      <c r="Q93" s="254">
        <f t="shared" si="81"/>
        <v>60.840258370747733</v>
      </c>
      <c r="R93" s="254">
        <f t="shared" si="82"/>
        <v>11.46415434848157</v>
      </c>
      <c r="S93" s="255">
        <f t="shared" si="83"/>
        <v>1270.9529973649203</v>
      </c>
      <c r="T93" s="256"/>
      <c r="U93" s="257">
        <v>300</v>
      </c>
      <c r="V93" s="258">
        <f t="shared" si="84"/>
        <v>56.389955474704053</v>
      </c>
      <c r="W93" s="258">
        <f t="shared" si="85"/>
        <v>10.645474824105531</v>
      </c>
      <c r="X93" s="259">
        <f t="shared" si="86"/>
        <v>1177.9861698665677</v>
      </c>
      <c r="Y93" s="260"/>
      <c r="Z93" s="261">
        <v>300</v>
      </c>
      <c r="AA93" s="262">
        <f t="shared" si="87"/>
        <v>51.947271637683919</v>
      </c>
      <c r="AB93" s="262">
        <f t="shared" si="88"/>
        <v>9.8237870334950852</v>
      </c>
      <c r="AC93" s="263">
        <f t="shared" si="89"/>
        <v>1085.1785045112172</v>
      </c>
      <c r="AD93" s="256"/>
      <c r="AE93" s="261">
        <v>300</v>
      </c>
      <c r="AF93" s="262">
        <f t="shared" si="90"/>
        <v>47.505833245158712</v>
      </c>
      <c r="AG93" s="262">
        <f t="shared" si="91"/>
        <v>8.9982302395450127</v>
      </c>
      <c r="AH93" s="263">
        <f t="shared" si="92"/>
        <v>992.3968564913655</v>
      </c>
      <c r="AI93" s="132"/>
    </row>
    <row r="94" spans="1:35" ht="21.9" customHeight="1" x14ac:dyDescent="0.3">
      <c r="A94" s="2"/>
      <c r="B94" s="2"/>
      <c r="C94" s="2"/>
      <c r="D94" s="404" t="s">
        <v>42</v>
      </c>
      <c r="E94" s="405"/>
      <c r="F94" s="104">
        <v>35</v>
      </c>
      <c r="G94" s="105">
        <v>130</v>
      </c>
      <c r="H94" s="2"/>
      <c r="I94" s="132"/>
      <c r="J94" s="132"/>
      <c r="K94" s="319">
        <v>400</v>
      </c>
      <c r="L94" s="320">
        <f t="shared" si="78"/>
        <v>82.829341195909464</v>
      </c>
      <c r="M94" s="320">
        <f t="shared" si="79"/>
        <v>11.699082975638888</v>
      </c>
      <c r="N94" s="321">
        <f t="shared" si="80"/>
        <v>1730.3049375825487</v>
      </c>
      <c r="O94" s="132"/>
      <c r="P94" s="253">
        <v>400</v>
      </c>
      <c r="Q94" s="254">
        <f t="shared" si="81"/>
        <v>76.925146620990233</v>
      </c>
      <c r="R94" s="254">
        <f t="shared" si="82"/>
        <v>10.885812943934274</v>
      </c>
      <c r="S94" s="255">
        <f t="shared" si="83"/>
        <v>1606.966312912486</v>
      </c>
      <c r="T94" s="256"/>
      <c r="U94" s="257">
        <v>400</v>
      </c>
      <c r="V94" s="258">
        <f t="shared" si="84"/>
        <v>71.038784904078582</v>
      </c>
      <c r="W94" s="258">
        <f t="shared" si="85"/>
        <v>10.070555103521759</v>
      </c>
      <c r="X94" s="259">
        <f t="shared" si="86"/>
        <v>1484.0002166462016</v>
      </c>
      <c r="Y94" s="260"/>
      <c r="Z94" s="261">
        <v>400</v>
      </c>
      <c r="AA94" s="262">
        <f t="shared" si="87"/>
        <v>65.164097904078233</v>
      </c>
      <c r="AB94" s="262">
        <f t="shared" si="88"/>
        <v>9.2527853302372094</v>
      </c>
      <c r="AC94" s="263">
        <f t="shared" si="89"/>
        <v>1361.2780052161943</v>
      </c>
      <c r="AD94" s="256"/>
      <c r="AE94" s="261">
        <v>400</v>
      </c>
      <c r="AF94" s="262">
        <f t="shared" si="90"/>
        <v>59.293539945581927</v>
      </c>
      <c r="AG94" s="262">
        <f t="shared" si="91"/>
        <v>8.4317738512791056</v>
      </c>
      <c r="AH94" s="263">
        <f t="shared" si="92"/>
        <v>1238.6420494632064</v>
      </c>
      <c r="AI94" s="132"/>
    </row>
    <row r="95" spans="1:35" ht="21.9" customHeight="1" thickBot="1" x14ac:dyDescent="0.35">
      <c r="A95" s="2"/>
      <c r="B95" s="2"/>
      <c r="C95" s="2"/>
      <c r="D95" s="404" t="s">
        <v>43</v>
      </c>
      <c r="E95" s="405"/>
      <c r="F95" s="104">
        <v>45</v>
      </c>
      <c r="G95" s="105">
        <v>300</v>
      </c>
      <c r="H95" s="2"/>
      <c r="I95" s="132"/>
      <c r="J95" s="132"/>
      <c r="K95" s="322">
        <v>700</v>
      </c>
      <c r="L95" s="323">
        <f t="shared" si="78"/>
        <v>131.53152380834803</v>
      </c>
      <c r="M95" s="323">
        <f t="shared" si="79"/>
        <v>10.64191409704268</v>
      </c>
      <c r="N95" s="324">
        <f t="shared" si="80"/>
        <v>2747.6935323563903</v>
      </c>
      <c r="O95" s="132"/>
      <c r="P95" s="267">
        <v>700</v>
      </c>
      <c r="Q95" s="268">
        <f t="shared" si="81"/>
        <v>121.40760990522722</v>
      </c>
      <c r="R95" s="268">
        <f t="shared" si="82"/>
        <v>9.8394661479233196</v>
      </c>
      <c r="S95" s="269">
        <f t="shared" si="83"/>
        <v>2536.2049709201965</v>
      </c>
      <c r="T95" s="256"/>
      <c r="U95" s="270">
        <v>700</v>
      </c>
      <c r="V95" s="271">
        <f t="shared" si="84"/>
        <v>111.32501578945515</v>
      </c>
      <c r="W95" s="271">
        <f t="shared" si="85"/>
        <v>9.0363996730649117</v>
      </c>
      <c r="X95" s="272">
        <f t="shared" si="86"/>
        <v>2325.579579841718</v>
      </c>
      <c r="Y95" s="260"/>
      <c r="Z95" s="273">
        <v>700</v>
      </c>
      <c r="AA95" s="274">
        <f t="shared" si="87"/>
        <v>101.27693361142229</v>
      </c>
      <c r="AB95" s="274">
        <f t="shared" si="88"/>
        <v>8.2325041623473005</v>
      </c>
      <c r="AC95" s="275">
        <f t="shared" si="89"/>
        <v>2115.6751431426119</v>
      </c>
      <c r="AD95" s="256"/>
      <c r="AE95" s="273">
        <v>700</v>
      </c>
      <c r="AF95" s="274">
        <f t="shared" si="90"/>
        <v>91.255436658332712</v>
      </c>
      <c r="AG95" s="274">
        <f t="shared" si="91"/>
        <v>7.4274714742910959</v>
      </c>
      <c r="AH95" s="275">
        <f t="shared" si="92"/>
        <v>1906.3260717925705</v>
      </c>
      <c r="AI95" s="132"/>
    </row>
    <row r="96" spans="1:35" ht="21.9" customHeight="1" x14ac:dyDescent="0.3">
      <c r="A96" s="2"/>
      <c r="B96" s="2"/>
      <c r="C96" s="2"/>
      <c r="D96" s="280"/>
      <c r="E96" s="280"/>
      <c r="F96" s="280"/>
      <c r="G96" s="280"/>
      <c r="H96" s="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</row>
    <row r="97" spans="1:35" ht="21.9" customHeight="1" x14ac:dyDescent="0.3">
      <c r="A97" s="2"/>
      <c r="B97" s="2"/>
      <c r="C97" s="2"/>
      <c r="D97" s="280"/>
      <c r="E97" s="280"/>
      <c r="F97" s="280"/>
      <c r="G97" s="280"/>
      <c r="H97" s="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</row>
    <row r="98" spans="1:35" hidden="1" x14ac:dyDescent="0.3"/>
    <row r="99" spans="1:35" ht="18" hidden="1" x14ac:dyDescent="0.35">
      <c r="B99" s="397" t="s">
        <v>45</v>
      </c>
      <c r="C99" s="398"/>
      <c r="D99" s="398"/>
      <c r="E99" s="398"/>
      <c r="F99" s="398"/>
      <c r="G99" s="398"/>
      <c r="H99" s="399"/>
    </row>
    <row r="100" spans="1:35" hidden="1" x14ac:dyDescent="0.3">
      <c r="B100" s="3" t="s">
        <v>32</v>
      </c>
      <c r="C100" s="3">
        <f>IF(AND(B5&gt;=30,B5&lt;=80),-0.0014*(B5)+0.6656,0)</f>
        <v>0.56899999999999995</v>
      </c>
      <c r="D100" s="3">
        <f>IF(AND(B5&gt;=30,B5&lt;=130),-0.0015*B5+0.6149,0)</f>
        <v>0.51139999999999997</v>
      </c>
      <c r="F100" s="3">
        <f>IF(AND(B5&gt;=30,B5&lt;=300),-0.0016*B5+0.5546,0)</f>
        <v>0.44419999999999998</v>
      </c>
    </row>
    <row r="101" spans="1:35" hidden="1" x14ac:dyDescent="0.3">
      <c r="B101" s="3" t="s">
        <v>33</v>
      </c>
      <c r="C101" s="3">
        <v>0.96</v>
      </c>
      <c r="D101" s="3">
        <v>0.90500000000000003</v>
      </c>
      <c r="F101" s="3">
        <v>0.85199999999999998</v>
      </c>
    </row>
    <row r="102" spans="1:35" hidden="1" x14ac:dyDescent="0.3"/>
    <row r="103" spans="1:35" hidden="1" x14ac:dyDescent="0.3">
      <c r="B103" s="106" t="s">
        <v>4</v>
      </c>
      <c r="C103" s="106" t="s">
        <v>46</v>
      </c>
      <c r="D103" s="106" t="s">
        <v>47</v>
      </c>
      <c r="E103" s="106"/>
      <c r="F103" s="106" t="s">
        <v>48</v>
      </c>
    </row>
    <row r="104" spans="1:35" hidden="1" x14ac:dyDescent="0.3">
      <c r="B104" s="107">
        <v>40</v>
      </c>
      <c r="C104" s="108">
        <v>0.61209999999999998</v>
      </c>
      <c r="D104" s="108">
        <v>0.56240000000000001</v>
      </c>
      <c r="F104" s="108">
        <v>0.49959999999999999</v>
      </c>
    </row>
    <row r="105" spans="1:35" hidden="1" x14ac:dyDescent="0.3">
      <c r="B105" s="107">
        <v>50</v>
      </c>
      <c r="C105" s="108">
        <v>0.59660000000000002</v>
      </c>
      <c r="D105" s="108">
        <v>0.5413</v>
      </c>
      <c r="F105" s="108">
        <v>0.4773</v>
      </c>
    </row>
    <row r="106" spans="1:35" hidden="1" x14ac:dyDescent="0.3">
      <c r="B106" s="107">
        <v>60</v>
      </c>
      <c r="C106" s="108">
        <v>0.58169999999999999</v>
      </c>
      <c r="D106" s="108">
        <v>0.52239999999999998</v>
      </c>
      <c r="F106" s="108">
        <v>0.45729999999999998</v>
      </c>
    </row>
    <row r="107" spans="1:35" hidden="1" x14ac:dyDescent="0.3">
      <c r="B107" s="107">
        <v>70</v>
      </c>
      <c r="C107" s="108">
        <v>0.56940000000000002</v>
      </c>
      <c r="D107" s="108">
        <v>0.50360000000000005</v>
      </c>
      <c r="F107" s="108">
        <v>0.43890000000000001</v>
      </c>
    </row>
    <row r="108" spans="1:35" hidden="1" x14ac:dyDescent="0.3">
      <c r="B108" s="107">
        <v>75</v>
      </c>
      <c r="C108" s="108">
        <v>0.5645</v>
      </c>
      <c r="D108" s="108">
        <v>0.49509999999999998</v>
      </c>
      <c r="F108" s="108">
        <v>0.43020000000000003</v>
      </c>
    </row>
    <row r="109" spans="1:35" hidden="1" x14ac:dyDescent="0.3">
      <c r="B109" s="107">
        <v>80</v>
      </c>
      <c r="D109" s="108">
        <v>0.48720000000000002</v>
      </c>
      <c r="F109" s="108">
        <v>0.4219</v>
      </c>
    </row>
    <row r="110" spans="1:35" hidden="1" x14ac:dyDescent="0.3">
      <c r="B110" s="107">
        <v>90</v>
      </c>
      <c r="D110" s="108">
        <v>0.47220000000000001</v>
      </c>
      <c r="F110" s="108">
        <v>0.40539999999999998</v>
      </c>
    </row>
    <row r="111" spans="1:35" hidden="1" x14ac:dyDescent="0.3">
      <c r="B111" s="107">
        <v>100</v>
      </c>
      <c r="D111" s="108">
        <v>0.45810000000000001</v>
      </c>
      <c r="F111" s="108">
        <v>0.3906</v>
      </c>
    </row>
    <row r="112" spans="1:35" hidden="1" x14ac:dyDescent="0.3">
      <c r="B112" s="107">
        <v>110</v>
      </c>
      <c r="D112" s="108">
        <v>0.4451</v>
      </c>
      <c r="F112" s="108">
        <v>0.37819999999999998</v>
      </c>
    </row>
    <row r="113" spans="2:13" hidden="1" x14ac:dyDescent="0.3">
      <c r="B113" s="107">
        <v>120</v>
      </c>
      <c r="D113" s="108">
        <v>0.43340000000000001</v>
      </c>
      <c r="F113" s="108">
        <v>0.36559999999999998</v>
      </c>
    </row>
    <row r="114" spans="2:13" hidden="1" x14ac:dyDescent="0.3">
      <c r="B114" s="107">
        <v>130</v>
      </c>
      <c r="D114" s="108">
        <v>0.42370000000000002</v>
      </c>
      <c r="F114" s="108">
        <v>0.35370000000000001</v>
      </c>
    </row>
    <row r="115" spans="2:13" hidden="1" x14ac:dyDescent="0.3"/>
    <row r="116" spans="2:13" hidden="1" x14ac:dyDescent="0.3"/>
    <row r="117" spans="2:13" hidden="1" x14ac:dyDescent="0.3">
      <c r="B117" s="109" t="s">
        <v>32</v>
      </c>
      <c r="C117" s="109">
        <f>IF(C5&lt;=20,C100,IF(AND(C5&gt;20,C5&lt;=45),D100,F100))</f>
        <v>0.44419999999999998</v>
      </c>
      <c r="D117" s="110" t="s">
        <v>49</v>
      </c>
      <c r="E117" s="111">
        <v>101.325</v>
      </c>
      <c r="F117" s="110" t="s">
        <v>50</v>
      </c>
    </row>
    <row r="118" spans="2:13" hidden="1" x14ac:dyDescent="0.3">
      <c r="B118" s="112" t="s">
        <v>33</v>
      </c>
      <c r="C118" s="112">
        <f>IF(C5&lt;=20,C101,IF(AND(C5&gt;20,C5&lt;=45),D101,F101))</f>
        <v>0.85199999999999998</v>
      </c>
      <c r="E118" s="3">
        <v>2115.6999999999998</v>
      </c>
      <c r="F118" s="3" t="s">
        <v>51</v>
      </c>
    </row>
    <row r="119" spans="2:13" hidden="1" x14ac:dyDescent="0.3"/>
    <row r="120" spans="2:13" ht="18" hidden="1" x14ac:dyDescent="0.35">
      <c r="B120" s="397" t="s">
        <v>52</v>
      </c>
      <c r="C120" s="398"/>
      <c r="D120" s="398"/>
      <c r="E120" s="398"/>
      <c r="F120" s="398"/>
      <c r="G120" s="398"/>
      <c r="H120" s="399"/>
    </row>
    <row r="121" spans="2:13" hidden="1" x14ac:dyDescent="0.3">
      <c r="B121" s="113" t="s">
        <v>53</v>
      </c>
      <c r="C121" s="114" t="s">
        <v>54</v>
      </c>
      <c r="D121" s="114" t="s">
        <v>55</v>
      </c>
    </row>
    <row r="122" spans="2:13" hidden="1" x14ac:dyDescent="0.3">
      <c r="B122" s="115">
        <v>0</v>
      </c>
      <c r="C122" s="116">
        <f t="shared" ref="C122:C132" si="93">$C$117*$E$117*(B122/$E$117)^$C$118</f>
        <v>0</v>
      </c>
      <c r="D122" s="3">
        <f t="shared" ref="D122:D132" si="94">C122*20.885434273</f>
        <v>0</v>
      </c>
    </row>
    <row r="123" spans="2:13" hidden="1" x14ac:dyDescent="0.3">
      <c r="B123" s="115">
        <v>15</v>
      </c>
      <c r="C123" s="116">
        <f t="shared" si="93"/>
        <v>8.8400427565300568</v>
      </c>
      <c r="D123" s="3">
        <f t="shared" si="94"/>
        <v>184.62813196201824</v>
      </c>
    </row>
    <row r="124" spans="2:13" hidden="1" x14ac:dyDescent="0.3">
      <c r="B124" s="115">
        <v>25</v>
      </c>
      <c r="C124" s="116">
        <f t="shared" si="93"/>
        <v>13.660591363152649</v>
      </c>
      <c r="D124" s="3">
        <f t="shared" si="94"/>
        <v>285.30738304543615</v>
      </c>
      <c r="M124" s="85">
        <f>0.5*(0.0023+0.004)</f>
        <v>3.15E-3</v>
      </c>
    </row>
    <row r="125" spans="2:13" hidden="1" x14ac:dyDescent="0.3">
      <c r="B125" s="115">
        <v>75</v>
      </c>
      <c r="C125" s="116">
        <f t="shared" si="93"/>
        <v>34.831871478902094</v>
      </c>
      <c r="D125" s="3">
        <f t="shared" si="94"/>
        <v>727.4787623781931</v>
      </c>
    </row>
    <row r="126" spans="2:13" hidden="1" x14ac:dyDescent="0.3">
      <c r="B126" s="115">
        <v>150</v>
      </c>
      <c r="C126" s="116">
        <f t="shared" si="93"/>
        <v>62.871578697174009</v>
      </c>
      <c r="D126" s="3">
        <f t="shared" si="94"/>
        <v>1313.1002245195748</v>
      </c>
    </row>
    <row r="127" spans="2:13" hidden="1" x14ac:dyDescent="0.3">
      <c r="B127" s="115">
        <v>200</v>
      </c>
      <c r="C127" s="116">
        <f t="shared" si="93"/>
        <v>80.334513718770111</v>
      </c>
      <c r="D127" s="3">
        <f t="shared" si="94"/>
        <v>1677.82120612679</v>
      </c>
    </row>
    <row r="128" spans="2:13" hidden="1" x14ac:dyDescent="0.3">
      <c r="B128" s="115">
        <v>300</v>
      </c>
      <c r="C128" s="116">
        <f t="shared" si="93"/>
        <v>113.48329102182193</v>
      </c>
      <c r="D128" s="3">
        <f t="shared" si="94"/>
        <v>2370.1478157199931</v>
      </c>
    </row>
    <row r="129" spans="2:10" hidden="1" x14ac:dyDescent="0.3">
      <c r="B129" s="115">
        <v>400</v>
      </c>
      <c r="C129" s="116">
        <f t="shared" si="93"/>
        <v>145.00391414306119</v>
      </c>
      <c r="D129" s="3">
        <f t="shared" si="94"/>
        <v>3028.4697181626398</v>
      </c>
    </row>
    <row r="130" spans="2:10" hidden="1" x14ac:dyDescent="0.3">
      <c r="B130" s="115">
        <v>500</v>
      </c>
      <c r="C130" s="116">
        <f t="shared" si="93"/>
        <v>175.36667048919927</v>
      </c>
      <c r="D130" s="3">
        <f t="shared" si="94"/>
        <v>3662.6090701770204</v>
      </c>
    </row>
    <row r="131" spans="2:10" hidden="1" x14ac:dyDescent="0.3">
      <c r="B131" s="115">
        <v>600</v>
      </c>
      <c r="C131" s="116">
        <f t="shared" si="93"/>
        <v>204.83750540404986</v>
      </c>
      <c r="D131" s="3">
        <f t="shared" si="94"/>
        <v>4278.1202557615661</v>
      </c>
    </row>
    <row r="132" spans="2:10" hidden="1" x14ac:dyDescent="0.3">
      <c r="B132" s="115">
        <v>700</v>
      </c>
      <c r="C132" s="116">
        <f t="shared" si="93"/>
        <v>233.58671706715006</v>
      </c>
      <c r="D132" s="3">
        <f t="shared" si="94"/>
        <v>4878.5600263518099</v>
      </c>
    </row>
    <row r="133" spans="2:10" hidden="1" x14ac:dyDescent="0.3"/>
    <row r="134" spans="2:10" ht="15.6" hidden="1" customHeight="1" x14ac:dyDescent="0.3">
      <c r="B134" s="85"/>
      <c r="J134" s="85"/>
    </row>
    <row r="135" spans="2:10" hidden="1" x14ac:dyDescent="0.3">
      <c r="B135" s="85"/>
      <c r="J135" s="85"/>
    </row>
    <row r="136" spans="2:10" hidden="1" x14ac:dyDescent="0.3">
      <c r="B136" s="85"/>
      <c r="J136" s="85"/>
    </row>
    <row r="137" spans="2:10" ht="18" hidden="1" x14ac:dyDescent="0.35">
      <c r="B137" s="397" t="s">
        <v>56</v>
      </c>
      <c r="C137" s="398"/>
      <c r="D137" s="398"/>
      <c r="E137" s="398"/>
      <c r="F137" s="398"/>
      <c r="G137" s="398"/>
      <c r="H137" s="399"/>
      <c r="J137" s="85"/>
    </row>
    <row r="138" spans="2:10" hidden="1" x14ac:dyDescent="0.3">
      <c r="B138" s="109" t="s">
        <v>32</v>
      </c>
      <c r="C138" s="3">
        <f>IF(AND(B5&gt;=30,B5&lt;=80),3*10^-5*(B5)^2-0.008*B5+0.8047,0)</f>
        <v>0.39552999999999994</v>
      </c>
      <c r="D138" s="3">
        <f>IF(AND(B5&gt;=30,B5&lt;=130),3*10^-5*(B5)^2-0.0076*B5+0.7448,0)</f>
        <v>0.36323000000000005</v>
      </c>
      <c r="G138" s="3">
        <f>IF(AND(B5&gt;=30,B5&lt;=300),3*10^-5*(B5)^2-0.0077*B5+0.6352,0)</f>
        <v>0.24673</v>
      </c>
      <c r="J138" s="85"/>
    </row>
    <row r="139" spans="2:10" hidden="1" x14ac:dyDescent="0.3">
      <c r="B139" s="117" t="s">
        <v>33</v>
      </c>
      <c r="C139" s="3">
        <f>IF(AND(B5&gt;=30,B5&lt;=80),2*10^-5*(B5)^2-0.0023*B5+1.0261,0)</f>
        <v>0.96262000000000003</v>
      </c>
      <c r="D139" s="3">
        <f>IF(AND(B5&gt;=30,B5&lt;=130),2*10^-5*(B5)^2-0.005*B5+0.997,0)</f>
        <v>0.74722</v>
      </c>
      <c r="G139" s="3">
        <f>IF(AND(B5&gt;=30,B5&lt;300),3*10^-5*(B5)^2-0.0059*B5+1.0792,0)</f>
        <v>0.81492999999999993</v>
      </c>
      <c r="J139" s="85"/>
    </row>
    <row r="140" spans="2:10" hidden="1" x14ac:dyDescent="0.3">
      <c r="B140" s="85"/>
      <c r="J140" s="85"/>
    </row>
    <row r="141" spans="2:10" hidden="1" x14ac:dyDescent="0.3">
      <c r="B141" s="85"/>
      <c r="J141" s="85"/>
    </row>
    <row r="142" spans="2:10" hidden="1" x14ac:dyDescent="0.3">
      <c r="B142" s="400" t="s">
        <v>57</v>
      </c>
      <c r="C142" s="401"/>
      <c r="D142" s="401" t="s">
        <v>58</v>
      </c>
      <c r="E142" s="401"/>
      <c r="F142" s="118"/>
      <c r="G142" s="401" t="s">
        <v>59</v>
      </c>
      <c r="H142" s="401"/>
      <c r="J142" s="85"/>
    </row>
    <row r="143" spans="2:10" hidden="1" x14ac:dyDescent="0.3">
      <c r="B143" s="119" t="s">
        <v>32</v>
      </c>
      <c r="C143" s="120" t="s">
        <v>33</v>
      </c>
      <c r="D143" s="120" t="s">
        <v>32</v>
      </c>
      <c r="E143" s="120" t="s">
        <v>33</v>
      </c>
      <c r="F143" s="120"/>
      <c r="G143" s="120" t="s">
        <v>32</v>
      </c>
      <c r="H143" s="120" t="s">
        <v>33</v>
      </c>
      <c r="J143" s="85"/>
    </row>
    <row r="144" spans="2:10" hidden="1" x14ac:dyDescent="0.3">
      <c r="B144" s="3">
        <v>0.54369999999999996</v>
      </c>
      <c r="C144" s="85">
        <v>0.95940000000000003</v>
      </c>
      <c r="D144" s="3">
        <v>0.4657</v>
      </c>
      <c r="E144" s="85">
        <v>0.87060000000000004</v>
      </c>
      <c r="F144" s="121"/>
      <c r="G144" s="3">
        <v>0.37519999999999998</v>
      </c>
      <c r="H144" s="85">
        <v>0.87890000000000001</v>
      </c>
      <c r="J144" s="85"/>
    </row>
    <row r="145" spans="2:10" hidden="1" x14ac:dyDescent="0.3">
      <c r="B145" s="3">
        <v>0.49070000000000003</v>
      </c>
      <c r="C145" s="85">
        <v>0.95189999999999997</v>
      </c>
      <c r="D145" s="3">
        <v>0.4199</v>
      </c>
      <c r="E145" s="85">
        <v>0.85899999999999999</v>
      </c>
      <c r="F145" s="121"/>
      <c r="G145" s="3">
        <v>0.32700000000000001</v>
      </c>
      <c r="H145" s="85">
        <v>0.8609</v>
      </c>
      <c r="J145" s="85"/>
    </row>
    <row r="146" spans="2:10" hidden="1" x14ac:dyDescent="0.3">
      <c r="B146" s="3">
        <v>0.44409999999999999</v>
      </c>
      <c r="C146" s="85">
        <v>0.94640000000000002</v>
      </c>
      <c r="D146" s="3">
        <v>0.374</v>
      </c>
      <c r="E146" s="85">
        <v>0.84770000000000001</v>
      </c>
      <c r="F146" s="121"/>
      <c r="G146" s="3">
        <v>0.28349999999999997</v>
      </c>
      <c r="H146" s="85">
        <v>0.84040000000000004</v>
      </c>
      <c r="J146" s="85"/>
    </row>
    <row r="147" spans="2:10" hidden="1" x14ac:dyDescent="0.3">
      <c r="B147" s="3">
        <v>0.40229999999999999</v>
      </c>
      <c r="C147" s="85">
        <v>0.9446</v>
      </c>
      <c r="D147" s="3">
        <v>0.32829999999999998</v>
      </c>
      <c r="E147" s="85">
        <v>0.83950000000000002</v>
      </c>
      <c r="F147" s="121"/>
      <c r="G147" s="3">
        <v>0.2455</v>
      </c>
      <c r="H147" s="85">
        <v>0.81669999999999998</v>
      </c>
      <c r="J147" s="85"/>
    </row>
    <row r="148" spans="2:10" hidden="1" x14ac:dyDescent="0.3">
      <c r="B148" s="3">
        <v>0.38250000000000001</v>
      </c>
      <c r="C148" s="85">
        <v>0.94599999999999995</v>
      </c>
      <c r="D148" s="3">
        <v>0.30620000000000003</v>
      </c>
      <c r="E148" s="85">
        <v>0.83730000000000004</v>
      </c>
      <c r="F148" s="121"/>
      <c r="G148" s="3">
        <v>0.22819999999999999</v>
      </c>
      <c r="H148" s="85">
        <v>0.80569999999999997</v>
      </c>
      <c r="J148" s="85"/>
    </row>
    <row r="149" spans="2:10" hidden="1" x14ac:dyDescent="0.3">
      <c r="B149" s="122" t="s">
        <v>60</v>
      </c>
      <c r="C149" s="122" t="s">
        <v>60</v>
      </c>
      <c r="D149" s="3">
        <v>0.28549999999999998</v>
      </c>
      <c r="E149" s="85">
        <v>0.83499999999999996</v>
      </c>
      <c r="F149" s="121"/>
      <c r="G149" s="3">
        <v>0.2132</v>
      </c>
      <c r="H149" s="85">
        <v>0.79210000000000003</v>
      </c>
      <c r="J149" s="85"/>
    </row>
    <row r="150" spans="2:10" hidden="1" x14ac:dyDescent="0.3">
      <c r="B150" s="122" t="s">
        <v>60</v>
      </c>
      <c r="C150" s="122" t="s">
        <v>60</v>
      </c>
      <c r="D150" s="3">
        <v>0.24779999999999999</v>
      </c>
      <c r="E150" s="85">
        <v>0.83189999999999997</v>
      </c>
      <c r="F150" s="121"/>
      <c r="G150" s="3">
        <v>0.18659999999999999</v>
      </c>
      <c r="H150" s="85">
        <v>0.77249999999999996</v>
      </c>
      <c r="J150" s="85"/>
    </row>
    <row r="151" spans="2:10" hidden="1" x14ac:dyDescent="0.3">
      <c r="B151" s="122" t="s">
        <v>60</v>
      </c>
      <c r="C151" s="122" t="s">
        <v>60</v>
      </c>
      <c r="D151" s="3">
        <v>0.2155</v>
      </c>
      <c r="E151" s="85">
        <v>0.83760000000000001</v>
      </c>
      <c r="F151" s="121"/>
      <c r="G151" s="3">
        <v>0.16619999999999999</v>
      </c>
      <c r="H151" s="85">
        <v>0.76500000000000001</v>
      </c>
      <c r="J151" s="85"/>
    </row>
    <row r="152" spans="2:10" hidden="1" x14ac:dyDescent="0.3">
      <c r="B152" s="122" t="s">
        <v>60</v>
      </c>
      <c r="C152" s="122" t="s">
        <v>60</v>
      </c>
      <c r="D152" s="3">
        <v>0.1913</v>
      </c>
      <c r="E152" s="85">
        <v>0.84970000000000001</v>
      </c>
      <c r="F152" s="121"/>
      <c r="G152" s="3">
        <v>0.15390000000000001</v>
      </c>
      <c r="H152" s="85">
        <v>0.77300000000000002</v>
      </c>
      <c r="J152" s="85"/>
    </row>
    <row r="153" spans="2:10" hidden="1" x14ac:dyDescent="0.3">
      <c r="B153" s="122" t="s">
        <v>60</v>
      </c>
      <c r="C153" s="122" t="s">
        <v>60</v>
      </c>
      <c r="D153" s="3">
        <v>0.1769</v>
      </c>
      <c r="E153" s="85">
        <v>0.87019999999999997</v>
      </c>
      <c r="F153" s="121"/>
      <c r="G153" s="3">
        <v>0.14699999999999999</v>
      </c>
      <c r="H153" s="85">
        <v>0.79559999999999997</v>
      </c>
      <c r="J153" s="85"/>
    </row>
    <row r="154" spans="2:10" hidden="1" x14ac:dyDescent="0.3">
      <c r="B154" s="123" t="s">
        <v>60</v>
      </c>
      <c r="C154" s="123" t="s">
        <v>60</v>
      </c>
      <c r="D154" s="3">
        <v>0.1734</v>
      </c>
      <c r="E154" s="85">
        <v>0.89670000000000005</v>
      </c>
      <c r="F154" s="120"/>
      <c r="G154" s="3">
        <v>0.14399999999999999</v>
      </c>
      <c r="H154" s="85">
        <v>0.80059999999999998</v>
      </c>
      <c r="J154" s="85"/>
    </row>
    <row r="155" spans="2:10" hidden="1" x14ac:dyDescent="0.3">
      <c r="B155" s="85"/>
      <c r="J155" s="85"/>
    </row>
    <row r="156" spans="2:10" hidden="1" x14ac:dyDescent="0.3">
      <c r="B156" s="85">
        <f>AVERAGE(B144:B154)</f>
        <v>0.45265999999999995</v>
      </c>
      <c r="C156" s="85">
        <f t="shared" ref="C156:H156" si="95">AVERAGE(C144:C154)</f>
        <v>0.94965999999999995</v>
      </c>
      <c r="D156" s="85">
        <f t="shared" si="95"/>
        <v>0.28949999999999992</v>
      </c>
      <c r="E156" s="85">
        <f t="shared" si="95"/>
        <v>0.8522909090909091</v>
      </c>
      <c r="F156" s="85"/>
      <c r="G156" s="85">
        <f t="shared" si="95"/>
        <v>0.22457272727272726</v>
      </c>
      <c r="H156" s="85">
        <f t="shared" si="95"/>
        <v>0.80921818181818173</v>
      </c>
      <c r="J156" s="85"/>
    </row>
    <row r="157" spans="2:10" hidden="1" x14ac:dyDescent="0.3">
      <c r="B157" s="85"/>
      <c r="J157" s="85"/>
    </row>
    <row r="158" spans="2:10" hidden="1" x14ac:dyDescent="0.3">
      <c r="B158" s="85"/>
      <c r="J158" s="85"/>
    </row>
    <row r="159" spans="2:10" hidden="1" x14ac:dyDescent="0.3">
      <c r="B159" s="85"/>
      <c r="D159" s="3">
        <f>AVERAGE(D152:D154)</f>
        <v>0.18053333333333332</v>
      </c>
      <c r="G159" s="3">
        <f>AVERAGE(G152:G154)</f>
        <v>0.14829999999999999</v>
      </c>
      <c r="J159" s="85"/>
    </row>
    <row r="160" spans="2:10" hidden="1" x14ac:dyDescent="0.3">
      <c r="J160" s="85"/>
    </row>
    <row r="161" spans="2:10" hidden="1" x14ac:dyDescent="0.3">
      <c r="J161" s="85"/>
    </row>
    <row r="162" spans="2:10" hidden="1" x14ac:dyDescent="0.3">
      <c r="J162" s="85"/>
    </row>
    <row r="163" spans="2:10" hidden="1" x14ac:dyDescent="0.3">
      <c r="J163" s="85"/>
    </row>
    <row r="164" spans="2:10" hidden="1" x14ac:dyDescent="0.3">
      <c r="J164" s="85"/>
    </row>
    <row r="165" spans="2:10" hidden="1" x14ac:dyDescent="0.3">
      <c r="J165" s="85"/>
    </row>
    <row r="166" spans="2:10" hidden="1" x14ac:dyDescent="0.3">
      <c r="J166" s="85"/>
    </row>
    <row r="167" spans="2:10" hidden="1" x14ac:dyDescent="0.3">
      <c r="J167" s="85"/>
    </row>
    <row r="168" spans="2:10" hidden="1" x14ac:dyDescent="0.3">
      <c r="J168" s="85"/>
    </row>
    <row r="169" spans="2:10" hidden="1" x14ac:dyDescent="0.3"/>
    <row r="170" spans="2:10" hidden="1" x14ac:dyDescent="0.3">
      <c r="B170" s="109" t="s">
        <v>32</v>
      </c>
      <c r="C170" s="109">
        <f>IF(C5&lt;=20,C138,IF(AND(C5&gt;20,C5&lt;=45),D138,G138))</f>
        <v>0.24673</v>
      </c>
      <c r="D170" s="110" t="s">
        <v>49</v>
      </c>
      <c r="E170" s="111">
        <v>101.325</v>
      </c>
      <c r="F170" s="110" t="s">
        <v>50</v>
      </c>
    </row>
    <row r="171" spans="2:10" hidden="1" x14ac:dyDescent="0.3">
      <c r="B171" s="112" t="s">
        <v>33</v>
      </c>
      <c r="C171" s="112">
        <f>IF(C5&lt;=20,C139,IF(AND(C5&gt;20,C5&lt;=45),D139,G139))</f>
        <v>0.81492999999999993</v>
      </c>
      <c r="E171" s="3">
        <v>2116.8000000000002</v>
      </c>
      <c r="F171" s="3" t="s">
        <v>51</v>
      </c>
    </row>
    <row r="172" spans="2:10" hidden="1" x14ac:dyDescent="0.3"/>
    <row r="173" spans="2:10" ht="18" hidden="1" x14ac:dyDescent="0.35">
      <c r="B173" s="397" t="s">
        <v>61</v>
      </c>
      <c r="C173" s="398"/>
      <c r="D173" s="398"/>
      <c r="E173" s="398"/>
      <c r="F173" s="398"/>
      <c r="G173" s="398"/>
      <c r="H173" s="399"/>
    </row>
    <row r="174" spans="2:10" hidden="1" x14ac:dyDescent="0.3">
      <c r="B174" s="113" t="s">
        <v>53</v>
      </c>
      <c r="C174" s="114" t="s">
        <v>54</v>
      </c>
      <c r="D174" s="114" t="s">
        <v>55</v>
      </c>
    </row>
    <row r="175" spans="2:10" hidden="1" x14ac:dyDescent="0.3">
      <c r="B175" s="115">
        <v>0</v>
      </c>
      <c r="C175" s="116">
        <f t="shared" ref="C175:C184" si="96">$C$170*$E$170*(B175/$E$117)^$C$171</f>
        <v>0</v>
      </c>
      <c r="D175" s="3">
        <f t="shared" ref="D175:D185" si="97">C175*20.885434273</f>
        <v>0</v>
      </c>
    </row>
    <row r="176" spans="2:10" hidden="1" x14ac:dyDescent="0.3">
      <c r="B176" s="115">
        <v>15</v>
      </c>
      <c r="C176" s="116">
        <f t="shared" si="96"/>
        <v>5.2705019936023287</v>
      </c>
      <c r="D176" s="3">
        <f t="shared" si="97"/>
        <v>110.07672297309691</v>
      </c>
    </row>
    <row r="177" spans="2:4" hidden="1" x14ac:dyDescent="0.3">
      <c r="B177" s="115">
        <v>25</v>
      </c>
      <c r="C177" s="116">
        <f t="shared" si="96"/>
        <v>7.9917738072167737</v>
      </c>
      <c r="D177" s="3">
        <f t="shared" si="97"/>
        <v>166.91166657530891</v>
      </c>
    </row>
    <row r="178" spans="2:4" hidden="1" x14ac:dyDescent="0.3">
      <c r="B178" s="115">
        <v>75</v>
      </c>
      <c r="C178" s="116">
        <f t="shared" si="96"/>
        <v>19.564268190483752</v>
      </c>
      <c r="D178" s="3">
        <f t="shared" si="97"/>
        <v>408.60823739169308</v>
      </c>
    </row>
    <row r="179" spans="2:4" hidden="1" x14ac:dyDescent="0.3">
      <c r="B179" s="115">
        <v>150</v>
      </c>
      <c r="C179" s="116">
        <f t="shared" si="96"/>
        <v>34.41771087145375</v>
      </c>
      <c r="D179" s="3">
        <f t="shared" si="97"/>
        <v>718.82883823286488</v>
      </c>
    </row>
    <row r="180" spans="2:4" hidden="1" x14ac:dyDescent="0.3">
      <c r="B180" s="115">
        <v>200</v>
      </c>
      <c r="C180" s="116">
        <f t="shared" si="96"/>
        <v>43.510924047954362</v>
      </c>
      <c r="D180" s="3">
        <f t="shared" si="97"/>
        <v>908.744544361046</v>
      </c>
    </row>
    <row r="181" spans="2:4" hidden="1" x14ac:dyDescent="0.3">
      <c r="B181" s="115">
        <v>300</v>
      </c>
      <c r="C181" s="116">
        <f t="shared" si="96"/>
        <v>60.548077244574692</v>
      </c>
      <c r="D181" s="3">
        <f t="shared" si="97"/>
        <v>1264.5728876480919</v>
      </c>
    </row>
    <row r="182" spans="2:4" hidden="1" x14ac:dyDescent="0.3">
      <c r="B182" s="115">
        <v>400</v>
      </c>
      <c r="C182" s="116">
        <f t="shared" si="96"/>
        <v>76.544974187212304</v>
      </c>
      <c r="D182" s="3">
        <f t="shared" si="97"/>
        <v>1598.6750273155042</v>
      </c>
    </row>
    <row r="183" spans="2:4" hidden="1" x14ac:dyDescent="0.3">
      <c r="B183" s="115">
        <v>500</v>
      </c>
      <c r="C183" s="116">
        <f t="shared" si="96"/>
        <v>91.810331992645544</v>
      </c>
      <c r="D183" s="3">
        <f t="shared" si="97"/>
        <v>1917.4986544147077</v>
      </c>
    </row>
    <row r="184" spans="2:4" hidden="1" x14ac:dyDescent="0.3">
      <c r="B184" s="115">
        <v>600</v>
      </c>
      <c r="C184" s="116">
        <f t="shared" si="96"/>
        <v>106.51695203400769</v>
      </c>
      <c r="D184" s="3">
        <f t="shared" si="97"/>
        <v>2224.6528006665612</v>
      </c>
    </row>
    <row r="185" spans="2:4" hidden="1" x14ac:dyDescent="0.3">
      <c r="B185" s="115">
        <v>700</v>
      </c>
      <c r="C185" s="116">
        <f>$C$170*$E$170*(B185/$E$170)^$C$171</f>
        <v>120.77461950886983</v>
      </c>
      <c r="D185" s="3">
        <f t="shared" si="97"/>
        <v>2522.4303775990847</v>
      </c>
    </row>
    <row r="186" spans="2:4" hidden="1" x14ac:dyDescent="0.3"/>
    <row r="187" spans="2:4" hidden="1" x14ac:dyDescent="0.3"/>
    <row r="188" spans="2:4" hidden="1" x14ac:dyDescent="0.3"/>
    <row r="189" spans="2:4" hidden="1" x14ac:dyDescent="0.3"/>
  </sheetData>
  <sheetProtection algorithmName="SHA-512" hashValue="H+JUWYIUKimgLGpwAB5ICkzFqiDYsTfVc2qndIgd1iYrsLWgraUDBji7rlMtJpRZ15ebOajVQU+WTnU7DEh+iw==" saltValue="VeEfu7uP7XwEvYWeqIlkwA==" spinCount="100000" sheet="1" objects="1" scenarios="1" selectLockedCells="1"/>
  <mergeCells count="65">
    <mergeCell ref="W5:AC11"/>
    <mergeCell ref="U80:X81"/>
    <mergeCell ref="U82:V82"/>
    <mergeCell ref="Z64:AC65"/>
    <mergeCell ref="AE64:AH65"/>
    <mergeCell ref="Z66:AA66"/>
    <mergeCell ref="AE66:AF66"/>
    <mergeCell ref="Z80:AC81"/>
    <mergeCell ref="AE80:AH81"/>
    <mergeCell ref="Z82:AA82"/>
    <mergeCell ref="AE82:AF82"/>
    <mergeCell ref="B55:V55"/>
    <mergeCell ref="B56:B58"/>
    <mergeCell ref="C56:F56"/>
    <mergeCell ref="G56:J56"/>
    <mergeCell ref="K56:N56"/>
    <mergeCell ref="B28:B29"/>
    <mergeCell ref="B2:U2"/>
    <mergeCell ref="B3:C3"/>
    <mergeCell ref="E3:I3"/>
    <mergeCell ref="J3:O3"/>
    <mergeCell ref="P3:U3"/>
    <mergeCell ref="B16:H16"/>
    <mergeCell ref="K16:O16"/>
    <mergeCell ref="Q16:T16"/>
    <mergeCell ref="B17:B18"/>
    <mergeCell ref="B19:B20"/>
    <mergeCell ref="B21:B23"/>
    <mergeCell ref="B25:H25"/>
    <mergeCell ref="B26:B27"/>
    <mergeCell ref="B48:B50"/>
    <mergeCell ref="C48:F48"/>
    <mergeCell ref="G48:J48"/>
    <mergeCell ref="K48:N48"/>
    <mergeCell ref="O48:R48"/>
    <mergeCell ref="B30:B31"/>
    <mergeCell ref="C34:E34"/>
    <mergeCell ref="G34:I34"/>
    <mergeCell ref="B45:W45"/>
    <mergeCell ref="B47:V47"/>
    <mergeCell ref="O56:R56"/>
    <mergeCell ref="U64:X65"/>
    <mergeCell ref="U66:V66"/>
    <mergeCell ref="D95:E95"/>
    <mergeCell ref="K63:O63"/>
    <mergeCell ref="P64:S65"/>
    <mergeCell ref="P80:S81"/>
    <mergeCell ref="P66:Q66"/>
    <mergeCell ref="P82:Q82"/>
    <mergeCell ref="F91:G91"/>
    <mergeCell ref="D92:E92"/>
    <mergeCell ref="D93:E93"/>
    <mergeCell ref="D94:E94"/>
    <mergeCell ref="D87:F87"/>
    <mergeCell ref="K64:N65"/>
    <mergeCell ref="K66:L66"/>
    <mergeCell ref="K80:N81"/>
    <mergeCell ref="K82:L82"/>
    <mergeCell ref="B173:H173"/>
    <mergeCell ref="B99:H99"/>
    <mergeCell ref="B120:H120"/>
    <mergeCell ref="B137:H137"/>
    <mergeCell ref="B142:C142"/>
    <mergeCell ref="D142:E142"/>
    <mergeCell ref="G142:H142"/>
  </mergeCells>
  <phoneticPr fontId="28" type="noConversion"/>
  <hyperlinks>
    <hyperlink ref="D87" r:id="rId1" xr:uid="{FB13C3FC-5E02-464E-8009-585444B8819B}"/>
  </hyperlinks>
  <pageMargins left="0.7" right="0.7" top="0.75" bottom="0.75" header="0.3" footer="0.3"/>
  <pageSetup orientation="portrait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8C20-0CAF-498D-B878-72B9181CE8EC}">
  <sheetPr codeName="Sheet4"/>
  <dimension ref="A1:AJ165"/>
  <sheetViews>
    <sheetView tabSelected="1" zoomScale="70" zoomScaleNormal="70" workbookViewId="0">
      <selection activeCell="B5" sqref="B5"/>
    </sheetView>
  </sheetViews>
  <sheetFormatPr defaultColWidth="8.88671875" defaultRowHeight="14.4" x14ac:dyDescent="0.3"/>
  <cols>
    <col min="1" max="1" width="1.88671875" style="3" customWidth="1"/>
    <col min="2" max="2" width="10.109375" style="3" customWidth="1"/>
    <col min="3" max="3" width="23.88671875" style="3" customWidth="1"/>
    <col min="4" max="35" width="11.6640625" style="3" customWidth="1"/>
    <col min="36" max="16384" width="8.88671875" style="3"/>
  </cols>
  <sheetData>
    <row r="1" spans="1:35" ht="30" customHeight="1" x14ac:dyDescent="0.3">
      <c r="A1" s="2"/>
      <c r="B1" s="124"/>
      <c r="C1" s="124"/>
      <c r="D1" s="124"/>
      <c r="E1" s="124"/>
      <c r="F1" s="124" t="s">
        <v>113</v>
      </c>
      <c r="G1" s="124"/>
      <c r="H1" s="124"/>
      <c r="I1" s="124"/>
      <c r="J1" s="124"/>
      <c r="K1" s="124"/>
      <c r="L1" s="155"/>
      <c r="M1" s="124"/>
      <c r="N1" s="154"/>
      <c r="O1" s="125"/>
      <c r="P1" s="125"/>
      <c r="Q1" s="125"/>
      <c r="R1" s="2"/>
      <c r="S1" s="2"/>
      <c r="T1" s="2"/>
      <c r="U1" s="2"/>
      <c r="V1" s="154" t="s">
        <v>87</v>
      </c>
      <c r="W1" s="154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9.5" customHeight="1" x14ac:dyDescent="0.4">
      <c r="A2" s="2"/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417"/>
      <c r="S2" s="417"/>
      <c r="T2" s="417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.75" customHeight="1" x14ac:dyDescent="0.4">
      <c r="A3" s="2"/>
      <c r="B3" s="162" t="s">
        <v>0</v>
      </c>
      <c r="C3" s="126"/>
      <c r="D3" s="448" t="s">
        <v>1</v>
      </c>
      <c r="E3" s="449"/>
      <c r="F3" s="449"/>
      <c r="G3" s="449"/>
      <c r="H3" s="450"/>
      <c r="I3" s="451" t="s">
        <v>2</v>
      </c>
      <c r="J3" s="452"/>
      <c r="K3" s="452"/>
      <c r="L3" s="452"/>
      <c r="M3" s="452"/>
      <c r="N3" s="453"/>
      <c r="O3" s="451" t="s">
        <v>3</v>
      </c>
      <c r="P3" s="452"/>
      <c r="Q3" s="452"/>
      <c r="R3" s="452"/>
      <c r="S3" s="452"/>
      <c r="T3" s="453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7.25" customHeight="1" x14ac:dyDescent="0.3">
      <c r="A4" s="2"/>
      <c r="B4" s="127" t="s">
        <v>6</v>
      </c>
      <c r="C4" s="128" t="s">
        <v>7</v>
      </c>
      <c r="D4" s="129" t="s">
        <v>8</v>
      </c>
      <c r="E4" s="130" t="s">
        <v>9</v>
      </c>
      <c r="F4" s="129" t="s">
        <v>10</v>
      </c>
      <c r="G4" s="130" t="s">
        <v>11</v>
      </c>
      <c r="H4" s="130" t="s">
        <v>12</v>
      </c>
      <c r="I4" s="131">
        <v>0</v>
      </c>
      <c r="J4" s="131">
        <v>12</v>
      </c>
      <c r="K4" s="131">
        <v>50</v>
      </c>
      <c r="L4" s="131">
        <v>100</v>
      </c>
      <c r="M4" s="131">
        <v>400</v>
      </c>
      <c r="N4" s="131">
        <v>700</v>
      </c>
      <c r="O4" s="131">
        <v>0</v>
      </c>
      <c r="P4" s="131">
        <f>J4*20.89</f>
        <v>250.68</v>
      </c>
      <c r="Q4" s="131">
        <f t="shared" ref="Q4:T11" si="0">K4*20.89</f>
        <v>1044.5</v>
      </c>
      <c r="R4" s="131">
        <f t="shared" si="0"/>
        <v>2089</v>
      </c>
      <c r="S4" s="131">
        <f t="shared" si="0"/>
        <v>8356</v>
      </c>
      <c r="T4" s="131">
        <f t="shared" si="0"/>
        <v>14623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21" customHeight="1" x14ac:dyDescent="0.35">
      <c r="A5" s="2"/>
      <c r="B5" s="286">
        <v>50</v>
      </c>
      <c r="C5" s="306" t="s">
        <v>112</v>
      </c>
      <c r="D5" s="307" t="s">
        <v>14</v>
      </c>
      <c r="E5" s="308">
        <f>M69</f>
        <v>15.009487441812796</v>
      </c>
      <c r="F5" s="308">
        <f>M70</f>
        <v>13.876660384650597</v>
      </c>
      <c r="G5" s="308">
        <f>M73</f>
        <v>11.844314992278878</v>
      </c>
      <c r="H5" s="308">
        <f>M74</f>
        <v>11.105944532898707</v>
      </c>
      <c r="I5" s="308">
        <v>0</v>
      </c>
      <c r="J5" s="309" t="s">
        <v>14</v>
      </c>
      <c r="K5" s="308">
        <f>IF(E5="NA", "NA", $K$4*TAN(RADIANS(E5)))</f>
        <v>13.406333801170762</v>
      </c>
      <c r="L5" s="308">
        <f t="shared" ref="L5" si="1">IF(F5="NA", "NA", $L$4*TAN(RADIANS(F5)))</f>
        <v>24.704272316859882</v>
      </c>
      <c r="M5" s="308">
        <f t="shared" ref="M5" si="2">IF(G5="NA", "NA", $M$4*TAN(RADIANS(G5)))</f>
        <v>83.887285366007688</v>
      </c>
      <c r="N5" s="308">
        <f t="shared" ref="N5" si="3">IF(H5="NA", "NA", $N$4*TAN(RADIANS(H5)))</f>
        <v>137.40996313959135</v>
      </c>
      <c r="O5" s="328">
        <v>0</v>
      </c>
      <c r="P5" s="310" t="s">
        <v>14</v>
      </c>
      <c r="Q5" s="310">
        <f t="shared" si="0"/>
        <v>280.05831310645721</v>
      </c>
      <c r="R5" s="310">
        <f t="shared" si="0"/>
        <v>516.07224869920299</v>
      </c>
      <c r="S5" s="310">
        <f t="shared" si="0"/>
        <v>1752.4053912959007</v>
      </c>
      <c r="T5" s="310">
        <f>N5*20.89</f>
        <v>2870.4941299860634</v>
      </c>
      <c r="U5" s="2"/>
      <c r="V5" s="2"/>
      <c r="W5" s="395" t="s">
        <v>81</v>
      </c>
      <c r="X5" s="396"/>
      <c r="Y5" s="396"/>
      <c r="Z5" s="396"/>
      <c r="AA5" s="396"/>
      <c r="AB5" s="396"/>
      <c r="AC5" s="396"/>
      <c r="AD5" s="2"/>
      <c r="AE5" s="2"/>
      <c r="AF5" s="2"/>
      <c r="AG5" s="2"/>
      <c r="AH5" s="2"/>
      <c r="AI5" s="2"/>
    </row>
    <row r="6" spans="1:35" ht="21" customHeight="1" x14ac:dyDescent="0.35">
      <c r="A6" s="2"/>
      <c r="B6" s="163"/>
      <c r="C6" s="249" t="s">
        <v>13</v>
      </c>
      <c r="D6" s="181" t="s">
        <v>14</v>
      </c>
      <c r="E6" s="182">
        <f>R69</f>
        <v>14.349069321079517</v>
      </c>
      <c r="F6" s="182">
        <f>R70</f>
        <v>12.79701849194776</v>
      </c>
      <c r="G6" s="182">
        <f>R73</f>
        <v>10.152912409270872</v>
      </c>
      <c r="H6" s="182">
        <f>R74</f>
        <v>9.2406686380083709</v>
      </c>
      <c r="I6" s="184">
        <v>0</v>
      </c>
      <c r="J6" s="183" t="s">
        <v>14</v>
      </c>
      <c r="K6" s="184">
        <f>IF(E6="NA", "NA", $K$4*TAN(RADIANS(E6)))</f>
        <v>12.790453403143056</v>
      </c>
      <c r="L6" s="184">
        <f>IF(F6="NA", "NA", $L$4*TAN(RADIANS(F6)))</f>
        <v>22.71397032968331</v>
      </c>
      <c r="M6" s="184">
        <f>IF(G6="NA", "NA", $M$4*TAN(RADIANS(G6)))</f>
        <v>71.632033923529761</v>
      </c>
      <c r="N6" s="184">
        <f>IF(H6="NA", "NA", $N$4*TAN(RADIANS(H6)))</f>
        <v>113.8852144763122</v>
      </c>
      <c r="O6" s="329">
        <v>0</v>
      </c>
      <c r="P6" s="185" t="s">
        <v>14</v>
      </c>
      <c r="Q6" s="185">
        <f>K6*20.89</f>
        <v>267.19257159165846</v>
      </c>
      <c r="R6" s="185">
        <f>L6*20.89</f>
        <v>474.49484018708438</v>
      </c>
      <c r="S6" s="185">
        <f>M6*20.89</f>
        <v>1496.3931886625367</v>
      </c>
      <c r="T6" s="185">
        <f>N6*20.89</f>
        <v>2379.0621304101619</v>
      </c>
      <c r="U6" s="2"/>
      <c r="V6" s="2"/>
      <c r="W6" s="395"/>
      <c r="X6" s="396"/>
      <c r="Y6" s="396"/>
      <c r="Z6" s="396"/>
      <c r="AA6" s="396"/>
      <c r="AB6" s="396"/>
      <c r="AC6" s="396"/>
      <c r="AD6" s="2"/>
      <c r="AE6" s="2"/>
      <c r="AF6" s="2"/>
      <c r="AG6" s="2"/>
      <c r="AH6" s="2"/>
      <c r="AI6" s="2"/>
    </row>
    <row r="7" spans="1:35" ht="21" customHeight="1" x14ac:dyDescent="0.35">
      <c r="A7" s="2"/>
      <c r="B7" s="163"/>
      <c r="C7" s="186" t="s">
        <v>95</v>
      </c>
      <c r="D7" s="187" t="s">
        <v>14</v>
      </c>
      <c r="E7" s="188">
        <f>W69</f>
        <v>13.612621990743079</v>
      </c>
      <c r="F7" s="188">
        <f>W70</f>
        <v>11.706891419076142</v>
      </c>
      <c r="G7" s="188">
        <f>W73</f>
        <v>8.6275863114181881</v>
      </c>
      <c r="H7" s="188">
        <f>W74</f>
        <v>7.6204007280176782</v>
      </c>
      <c r="I7" s="190">
        <v>0</v>
      </c>
      <c r="J7" s="189" t="s">
        <v>14</v>
      </c>
      <c r="K7" s="190">
        <f t="shared" ref="K7:K10" si="4">IF(E7="NA", "NA", $K$4*TAN(RADIANS(E7)))</f>
        <v>12.107933105940997</v>
      </c>
      <c r="L7" s="190">
        <f t="shared" ref="L7:L10" si="5">IF(F7="NA", "NA", $L$4*TAN(RADIANS(F7)))</f>
        <v>20.721548378079913</v>
      </c>
      <c r="M7" s="190">
        <f t="shared" ref="M7:M9" si="6">IF(G7="NA", "NA", $M$4*TAN(RADIANS(G7)))</f>
        <v>60.691320461303341</v>
      </c>
      <c r="N7" s="190">
        <f t="shared" ref="N7" si="7">IF(H7="NA", "NA", $N$4*TAN(RADIANS(H7)))</f>
        <v>93.653632472764173</v>
      </c>
      <c r="O7" s="330">
        <v>0</v>
      </c>
      <c r="P7" s="191" t="s">
        <v>14</v>
      </c>
      <c r="Q7" s="191">
        <f t="shared" ref="Q7:Q10" si="8">K7*20.89</f>
        <v>252.93472258310743</v>
      </c>
      <c r="R7" s="191">
        <f t="shared" ref="R7:R10" si="9">L7*20.89</f>
        <v>432.87314561808938</v>
      </c>
      <c r="S7" s="191">
        <f t="shared" ref="S7:S10" si="10">M7*20.89</f>
        <v>1267.8416844366268</v>
      </c>
      <c r="T7" s="191">
        <f>N7*20.89</f>
        <v>1956.4243823560437</v>
      </c>
      <c r="U7" s="2"/>
      <c r="V7" s="2"/>
      <c r="W7" s="396"/>
      <c r="X7" s="396"/>
      <c r="Y7" s="396"/>
      <c r="Z7" s="396"/>
      <c r="AA7" s="396"/>
      <c r="AB7" s="396"/>
      <c r="AC7" s="396"/>
      <c r="AD7" s="2"/>
      <c r="AE7" s="2"/>
      <c r="AF7" s="2"/>
      <c r="AG7" s="2"/>
      <c r="AH7" s="2"/>
      <c r="AI7" s="2"/>
    </row>
    <row r="8" spans="1:35" ht="21" customHeight="1" x14ac:dyDescent="0.35">
      <c r="A8" s="2"/>
      <c r="B8" s="163"/>
      <c r="C8" s="192" t="s">
        <v>96</v>
      </c>
      <c r="D8" s="193" t="s">
        <v>14</v>
      </c>
      <c r="E8" s="194">
        <f>AB69</f>
        <v>12.79439753439396</v>
      </c>
      <c r="F8" s="194">
        <f>AB70</f>
        <v>10.606926920918063</v>
      </c>
      <c r="G8" s="194">
        <f>AB73</f>
        <v>7.2576154963970154</v>
      </c>
      <c r="H8" s="194">
        <f>AB74</f>
        <v>6.2203160948257166</v>
      </c>
      <c r="I8" s="196">
        <v>0</v>
      </c>
      <c r="J8" s="195" t="s">
        <v>14</v>
      </c>
      <c r="K8" s="196">
        <f t="shared" si="4"/>
        <v>11.354579969773436</v>
      </c>
      <c r="L8" s="196">
        <f t="shared" si="5"/>
        <v>18.727004784630822</v>
      </c>
      <c r="M8" s="196">
        <f>IF(G8="NA", "NA", $M$4*TAN(RADIANS(G8)))</f>
        <v>50.940454746670504</v>
      </c>
      <c r="N8" s="196">
        <f>IF(H8="NA", "NA", $N$4*TAN(RADIANS(H8)))</f>
        <v>76.295481885204509</v>
      </c>
      <c r="O8" s="331">
        <v>0</v>
      </c>
      <c r="P8" s="197" t="s">
        <v>14</v>
      </c>
      <c r="Q8" s="197">
        <f t="shared" si="8"/>
        <v>237.19717556856708</v>
      </c>
      <c r="R8" s="197">
        <f>L8*20.89</f>
        <v>391.20712995093788</v>
      </c>
      <c r="S8" s="197">
        <f t="shared" si="10"/>
        <v>1064.1460996579469</v>
      </c>
      <c r="T8" s="197">
        <f t="shared" ref="T8:T9" si="11">N8*20.89</f>
        <v>1593.8126165819222</v>
      </c>
      <c r="U8" s="2"/>
      <c r="V8" s="2"/>
      <c r="W8" s="396"/>
      <c r="X8" s="396"/>
      <c r="Y8" s="396"/>
      <c r="Z8" s="396"/>
      <c r="AA8" s="396"/>
      <c r="AB8" s="396"/>
      <c r="AC8" s="396"/>
      <c r="AD8" s="2"/>
      <c r="AE8" s="2"/>
      <c r="AF8" s="2"/>
      <c r="AG8" s="2"/>
      <c r="AH8" s="2"/>
      <c r="AI8" s="2"/>
    </row>
    <row r="9" spans="1:35" ht="21" customHeight="1" x14ac:dyDescent="0.35">
      <c r="A9" s="2"/>
      <c r="B9" s="163"/>
      <c r="C9" s="198" t="s">
        <v>97</v>
      </c>
      <c r="D9" s="199" t="s">
        <v>14</v>
      </c>
      <c r="E9" s="200">
        <f>AG69</f>
        <v>11.888285735922342</v>
      </c>
      <c r="F9" s="200">
        <f>AG70</f>
        <v>9.4978134626469384</v>
      </c>
      <c r="G9" s="200">
        <f>AG73</f>
        <v>6.0317516193874123</v>
      </c>
      <c r="H9" s="200">
        <f>AG74</f>
        <v>5.0162169086076673</v>
      </c>
      <c r="I9" s="202">
        <v>0</v>
      </c>
      <c r="J9" s="201" t="s">
        <v>14</v>
      </c>
      <c r="K9" s="202">
        <f t="shared" si="4"/>
        <v>10.525976493828935</v>
      </c>
      <c r="L9" s="202">
        <f t="shared" si="5"/>
        <v>16.730337837674625</v>
      </c>
      <c r="M9" s="202">
        <f t="shared" si="6"/>
        <v>42.265824049887762</v>
      </c>
      <c r="N9" s="202">
        <f>IF(H9="NA", "NA", $N$4*TAN(RADIANS(H9)))</f>
        <v>61.44171284824759</v>
      </c>
      <c r="O9" s="332">
        <v>0</v>
      </c>
      <c r="P9" s="203" t="s">
        <v>14</v>
      </c>
      <c r="Q9" s="203">
        <f t="shared" si="8"/>
        <v>219.88764895608645</v>
      </c>
      <c r="R9" s="203">
        <f t="shared" si="9"/>
        <v>349.49675742902292</v>
      </c>
      <c r="S9" s="203">
        <f t="shared" si="10"/>
        <v>882.93306440215542</v>
      </c>
      <c r="T9" s="203">
        <f t="shared" si="11"/>
        <v>1283.5173813998922</v>
      </c>
      <c r="U9" s="2"/>
      <c r="V9" s="2"/>
      <c r="W9" s="396"/>
      <c r="X9" s="396"/>
      <c r="Y9" s="396"/>
      <c r="Z9" s="396"/>
      <c r="AA9" s="396"/>
      <c r="AB9" s="396"/>
      <c r="AC9" s="396"/>
      <c r="AD9" s="2"/>
      <c r="AE9" s="2"/>
      <c r="AF9" s="2"/>
      <c r="AG9" s="2"/>
      <c r="AH9" s="2"/>
      <c r="AI9" s="2"/>
    </row>
    <row r="10" spans="1:35" ht="21" customHeight="1" x14ac:dyDescent="0.35">
      <c r="A10" s="2"/>
      <c r="B10" s="163"/>
      <c r="C10" s="325" t="s">
        <v>109</v>
      </c>
      <c r="D10" s="326">
        <f>Z21-2.5</f>
        <v>27.945755563024605</v>
      </c>
      <c r="E10" s="326">
        <f>M53</f>
        <v>24.73242296217845</v>
      </c>
      <c r="F10" s="326">
        <f>M54</f>
        <v>23.256618066993262</v>
      </c>
      <c r="G10" s="326">
        <f>M57</f>
        <v>20.480223626821253</v>
      </c>
      <c r="H10" s="327" t="s">
        <v>14</v>
      </c>
      <c r="I10" s="326">
        <v>0</v>
      </c>
      <c r="J10" s="326">
        <f t="shared" ref="J10" si="12">IF(D10="NA", "NA", $J$4*TAN(RADIANS(D10)))</f>
        <v>6.365947675505593</v>
      </c>
      <c r="K10" s="326">
        <f t="shared" si="4"/>
        <v>23.03171957264431</v>
      </c>
      <c r="L10" s="326">
        <f t="shared" si="5"/>
        <v>42.977074072149655</v>
      </c>
      <c r="M10" s="326">
        <f t="shared" ref="M10" si="13">IF(G10="NA","NA",$M$4*TAN(RADIANS(G10)))</f>
        <v>149.3965268722215</v>
      </c>
      <c r="N10" s="326" t="s">
        <v>14</v>
      </c>
      <c r="O10" s="326">
        <f t="shared" ref="O10" si="14">I10*20.89</f>
        <v>0</v>
      </c>
      <c r="P10" s="326">
        <f t="shared" ref="P10" si="15">J10*20.89</f>
        <v>132.98464694131184</v>
      </c>
      <c r="Q10" s="326">
        <f t="shared" si="8"/>
        <v>481.13262187253963</v>
      </c>
      <c r="R10" s="326">
        <f t="shared" si="9"/>
        <v>897.7910773672063</v>
      </c>
      <c r="S10" s="326">
        <f t="shared" si="10"/>
        <v>3120.893446360707</v>
      </c>
      <c r="T10" s="326" t="s">
        <v>14</v>
      </c>
      <c r="U10" s="2"/>
      <c r="V10" s="2"/>
      <c r="W10" s="396"/>
      <c r="X10" s="396"/>
      <c r="Y10" s="396"/>
      <c r="Z10" s="396"/>
      <c r="AA10" s="396"/>
      <c r="AB10" s="396"/>
      <c r="AC10" s="396"/>
      <c r="AD10" s="2"/>
      <c r="AE10" s="2"/>
      <c r="AF10" s="2"/>
      <c r="AG10" s="2"/>
      <c r="AH10" s="2"/>
      <c r="AI10" s="2"/>
    </row>
    <row r="11" spans="1:35" ht="21" customHeight="1" x14ac:dyDescent="0.35">
      <c r="A11" s="2"/>
      <c r="B11" s="163"/>
      <c r="C11" s="237" t="s">
        <v>15</v>
      </c>
      <c r="D11" s="238">
        <f>D21-2.5</f>
        <v>27.223744661366556</v>
      </c>
      <c r="E11" s="238">
        <f>R53</f>
        <v>23.412414539984063</v>
      </c>
      <c r="F11" s="238">
        <f>R54</f>
        <v>21.690108341120954</v>
      </c>
      <c r="G11" s="238">
        <f>R57</f>
        <v>18.508042668063116</v>
      </c>
      <c r="H11" s="239" t="s">
        <v>14</v>
      </c>
      <c r="I11" s="238">
        <v>0</v>
      </c>
      <c r="J11" s="238">
        <f>IF(D11="NA", "NA", $J$4*TAN(RADIANS(D11)))</f>
        <v>6.1734502163762173</v>
      </c>
      <c r="K11" s="238">
        <f>IF(E11="NA", "NA", $K$4*TAN(RADIANS(E11)))</f>
        <v>21.649795802471662</v>
      </c>
      <c r="L11" s="238">
        <f>IF(F11="NA", "NA", $L$4*TAN(RADIANS(F11)))</f>
        <v>39.77483638765672</v>
      </c>
      <c r="M11" s="238">
        <f>IF(G11="NA","NA",$M$4*TAN(RADIANS(G11)))</f>
        <v>133.90056519035909</v>
      </c>
      <c r="N11" s="238" t="s">
        <v>14</v>
      </c>
      <c r="O11" s="238">
        <f>I11*20.89</f>
        <v>0</v>
      </c>
      <c r="P11" s="238">
        <f t="shared" ref="P11" si="16">J11*20.89</f>
        <v>128.96337502009919</v>
      </c>
      <c r="Q11" s="238">
        <f t="shared" si="0"/>
        <v>452.26423431363304</v>
      </c>
      <c r="R11" s="238">
        <f t="shared" si="0"/>
        <v>830.89633213814886</v>
      </c>
      <c r="S11" s="238">
        <f t="shared" si="0"/>
        <v>2797.1828068266013</v>
      </c>
      <c r="T11" s="238" t="s">
        <v>14</v>
      </c>
      <c r="U11" s="2"/>
      <c r="V11" s="2"/>
      <c r="W11" s="396"/>
      <c r="X11" s="396"/>
      <c r="Y11" s="396"/>
      <c r="Z11" s="396"/>
      <c r="AA11" s="396"/>
      <c r="AB11" s="396"/>
      <c r="AC11" s="396"/>
      <c r="AD11" s="2"/>
      <c r="AE11" s="2"/>
      <c r="AF11" s="2"/>
      <c r="AG11" s="2"/>
      <c r="AH11" s="2"/>
      <c r="AI11" s="2"/>
    </row>
    <row r="12" spans="1:35" ht="21" customHeight="1" x14ac:dyDescent="0.35">
      <c r="A12" s="2"/>
      <c r="B12" s="163"/>
      <c r="C12" s="240" t="s">
        <v>98</v>
      </c>
      <c r="D12" s="241">
        <f>O21-2.5</f>
        <v>26.378031910680363</v>
      </c>
      <c r="E12" s="241">
        <f>W53</f>
        <v>22.018612877449982</v>
      </c>
      <c r="F12" s="241">
        <f>W54</f>
        <v>20.083513108771893</v>
      </c>
      <c r="G12" s="241">
        <f>W57</f>
        <v>16.577661391109523</v>
      </c>
      <c r="H12" s="242" t="s">
        <v>14</v>
      </c>
      <c r="I12" s="241">
        <v>0</v>
      </c>
      <c r="J12" s="241">
        <f t="shared" ref="J12:J14" si="17">IF(D12="NA", "NA", $J$4*TAN(RADIANS(D12)))</f>
        <v>5.9511180747425305</v>
      </c>
      <c r="K12" s="241">
        <f t="shared" ref="K12:K14" si="18">IF(E12="NA", "NA", $K$4*TAN(RADIANS(E12)))</f>
        <v>20.220208001366728</v>
      </c>
      <c r="L12" s="241">
        <f t="shared" ref="L12:L14" si="19">IF(F12="NA", "NA", $L$4*TAN(RADIANS(F12)))</f>
        <v>36.562178208977038</v>
      </c>
      <c r="M12" s="241">
        <f t="shared" ref="M12:M14" si="20">IF(G12="NA","NA",$M$4*TAN(RADIANS(G12)))</f>
        <v>119.07538610506509</v>
      </c>
      <c r="N12" s="241" t="s">
        <v>14</v>
      </c>
      <c r="O12" s="241">
        <f>I12*20.89</f>
        <v>0</v>
      </c>
      <c r="P12" s="241">
        <f t="shared" ref="P12:P14" si="21">J12*20.89</f>
        <v>124.31885658137146</v>
      </c>
      <c r="Q12" s="241">
        <f t="shared" ref="Q12:Q14" si="22">K12*20.89</f>
        <v>422.40014514855096</v>
      </c>
      <c r="R12" s="241">
        <f t="shared" ref="R12:R14" si="23">L12*20.89</f>
        <v>763.78390278553036</v>
      </c>
      <c r="S12" s="241">
        <f t="shared" ref="S12:S14" si="24">M12*20.89</f>
        <v>2487.4848157348097</v>
      </c>
      <c r="T12" s="241" t="s">
        <v>14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21" customHeight="1" x14ac:dyDescent="0.35">
      <c r="A13" s="2"/>
      <c r="B13" s="163"/>
      <c r="C13" s="243" t="s">
        <v>99</v>
      </c>
      <c r="D13" s="244">
        <f>D34-2.5</f>
        <v>25.394432986231788</v>
      </c>
      <c r="E13" s="244">
        <f>AB53</f>
        <v>20.547627676132571</v>
      </c>
      <c r="F13" s="244">
        <f>AB54</f>
        <v>18.437891105481722</v>
      </c>
      <c r="G13" s="244">
        <f>AB57</f>
        <v>14.694890125994032</v>
      </c>
      <c r="H13" s="245" t="s">
        <v>14</v>
      </c>
      <c r="I13" s="244">
        <v>0</v>
      </c>
      <c r="J13" s="244">
        <f t="shared" si="17"/>
        <v>5.6965901602185927</v>
      </c>
      <c r="K13" s="244">
        <f t="shared" si="18"/>
        <v>18.741621781116187</v>
      </c>
      <c r="L13" s="244">
        <f t="shared" si="19"/>
        <v>33.339039266364239</v>
      </c>
      <c r="M13" s="244">
        <f t="shared" si="20"/>
        <v>104.89990756161714</v>
      </c>
      <c r="N13" s="244" t="s">
        <v>14</v>
      </c>
      <c r="O13" s="244">
        <f t="shared" ref="O13:O14" si="25">I13*20.89</f>
        <v>0</v>
      </c>
      <c r="P13" s="244">
        <f t="shared" si="21"/>
        <v>119.00176844696641</v>
      </c>
      <c r="Q13" s="244">
        <f t="shared" si="22"/>
        <v>391.51247900751719</v>
      </c>
      <c r="R13" s="244">
        <f t="shared" si="23"/>
        <v>696.45253027434899</v>
      </c>
      <c r="S13" s="244">
        <f>M13*20.89</f>
        <v>2191.3590689621819</v>
      </c>
      <c r="T13" s="244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21" customHeight="1" x14ac:dyDescent="0.35">
      <c r="A14" s="2"/>
      <c r="B14" s="163"/>
      <c r="C14" s="246" t="s">
        <v>100</v>
      </c>
      <c r="D14" s="247">
        <f>O34-2.5</f>
        <v>24.256859873140712</v>
      </c>
      <c r="E14" s="247">
        <f>AG53</f>
        <v>18.99620480307382</v>
      </c>
      <c r="F14" s="247">
        <f>AG54</f>
        <v>16.754625315639661</v>
      </c>
      <c r="G14" s="247">
        <f>AG57</f>
        <v>12.864783393525956</v>
      </c>
      <c r="H14" s="248" t="s">
        <v>14</v>
      </c>
      <c r="I14" s="247">
        <v>0</v>
      </c>
      <c r="J14" s="247">
        <f t="shared" si="17"/>
        <v>5.4073342078696074</v>
      </c>
      <c r="K14" s="247">
        <f t="shared" si="18"/>
        <v>17.212676146970601</v>
      </c>
      <c r="L14" s="247">
        <f t="shared" si="19"/>
        <v>30.105388054452796</v>
      </c>
      <c r="M14" s="247">
        <f t="shared" si="20"/>
        <v>91.353511275354137</v>
      </c>
      <c r="N14" s="247" t="s">
        <v>14</v>
      </c>
      <c r="O14" s="247">
        <f t="shared" si="25"/>
        <v>0</v>
      </c>
      <c r="P14" s="247">
        <f t="shared" si="21"/>
        <v>112.9592116023961</v>
      </c>
      <c r="Q14" s="247">
        <f t="shared" si="22"/>
        <v>359.57280471021585</v>
      </c>
      <c r="R14" s="247">
        <f t="shared" si="23"/>
        <v>628.90155645751895</v>
      </c>
      <c r="S14" s="247">
        <f t="shared" si="24"/>
        <v>1908.3748505421479</v>
      </c>
      <c r="T14" s="247" t="s">
        <v>14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7.25" hidden="1" customHeight="1" thickBot="1" x14ac:dyDescent="0.4">
      <c r="A15" s="2"/>
      <c r="D15" s="163"/>
      <c r="E15" s="163"/>
      <c r="F15" s="163"/>
      <c r="G15" s="163"/>
      <c r="H15" s="163"/>
      <c r="L15" s="287"/>
      <c r="M15" s="288"/>
      <c r="N15" s="289"/>
      <c r="O15" s="290"/>
      <c r="P15" s="29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hidden="1" x14ac:dyDescent="0.35">
      <c r="A16" s="2"/>
      <c r="B16" s="95">
        <f>IF($B$5&lt;15,"NA",IF($B$5&lt;=250,(-0.1155919163 * LN($B$5) + 0.9009033321),"NA"))</f>
        <v>0.44870509629287525</v>
      </c>
      <c r="C16" s="95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7),"NA"))</f>
        <v>0.88690475936146473</v>
      </c>
      <c r="D16" s="164"/>
      <c r="E16" s="297"/>
      <c r="F16" s="298"/>
      <c r="G16" s="298"/>
      <c r="H16" s="298"/>
      <c r="I16" s="298"/>
      <c r="J16" s="298"/>
      <c r="K16" s="299"/>
      <c r="L16" s="292"/>
      <c r="M16" s="95">
        <f>IF($B$5&lt;15,"NA",IF($B$5&lt;=250,(-0.1155919163 * LN($B$5) + 0.9009033321-0.0333333),"NA"))</f>
        <v>0.41537179629287524</v>
      </c>
      <c r="N16" s="95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7-0.02),"NA"))</f>
        <v>0.86690475936146472</v>
      </c>
      <c r="O16" s="164"/>
      <c r="P16" s="297"/>
      <c r="Q16" s="298"/>
      <c r="R16" s="298"/>
      <c r="S16" s="298"/>
      <c r="T16" s="298"/>
      <c r="U16" s="298"/>
      <c r="V16" s="299"/>
      <c r="W16" s="2"/>
      <c r="X16" s="95">
        <f>IF($B$5&lt;15,"NA",IF($B$5&lt;=250,(-0.1155919163 * LN($B$5) + 0.9009033321+0.0333333),"NA"))</f>
        <v>0.48203839629287526</v>
      </c>
      <c r="Y16" s="95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7+0.02),"NA"))</f>
        <v>0.90690475936146475</v>
      </c>
      <c r="Z16" s="164"/>
      <c r="AA16" s="297"/>
      <c r="AB16" s="298"/>
      <c r="AC16" s="298"/>
      <c r="AD16" s="298"/>
      <c r="AE16" s="298"/>
      <c r="AF16" s="298"/>
      <c r="AG16" s="299"/>
      <c r="AH16" s="2"/>
      <c r="AI16" s="2"/>
    </row>
    <row r="17" spans="1:35" ht="18" hidden="1" x14ac:dyDescent="0.3">
      <c r="A17" s="2"/>
      <c r="B17" s="177" t="s">
        <v>34</v>
      </c>
      <c r="C17" s="96" t="s">
        <v>35</v>
      </c>
      <c r="D17" s="178" t="s">
        <v>36</v>
      </c>
      <c r="E17" s="96"/>
      <c r="F17" s="295"/>
      <c r="G17" s="295"/>
      <c r="H17" s="295"/>
      <c r="I17" s="296"/>
      <c r="J17" s="296" t="s">
        <v>33</v>
      </c>
      <c r="K17" s="300" t="s">
        <v>32</v>
      </c>
      <c r="L17" s="292"/>
      <c r="M17" s="177" t="s">
        <v>34</v>
      </c>
      <c r="N17" s="96" t="s">
        <v>35</v>
      </c>
      <c r="O17" s="178" t="s">
        <v>36</v>
      </c>
      <c r="P17" s="96"/>
      <c r="Q17" s="295"/>
      <c r="R17" s="295"/>
      <c r="S17" s="295"/>
      <c r="T17" s="296"/>
      <c r="U17" s="296" t="s">
        <v>33</v>
      </c>
      <c r="V17" s="300" t="s">
        <v>32</v>
      </c>
      <c r="W17" s="2"/>
      <c r="X17" s="177" t="s">
        <v>34</v>
      </c>
      <c r="Y17" s="96" t="s">
        <v>35</v>
      </c>
      <c r="Z17" s="178" t="s">
        <v>36</v>
      </c>
      <c r="AA17" s="96"/>
      <c r="AB17" s="295"/>
      <c r="AC17" s="295"/>
      <c r="AD17" s="295"/>
      <c r="AE17" s="296"/>
      <c r="AF17" s="296" t="s">
        <v>33</v>
      </c>
      <c r="AG17" s="300" t="s">
        <v>32</v>
      </c>
      <c r="AH17" s="2"/>
      <c r="AI17" s="2"/>
    </row>
    <row r="18" spans="1:35" hidden="1" x14ac:dyDescent="0.3">
      <c r="A18" s="2"/>
      <c r="B18" s="228">
        <v>0</v>
      </c>
      <c r="C18" s="229">
        <v>0</v>
      </c>
      <c r="D18" s="229">
        <v>0</v>
      </c>
      <c r="E18" s="166"/>
      <c r="F18" s="166" t="s">
        <v>83</v>
      </c>
      <c r="G18" s="166" t="s">
        <v>84</v>
      </c>
      <c r="H18" s="295" t="s">
        <v>85</v>
      </c>
      <c r="I18" s="295" t="s">
        <v>86</v>
      </c>
      <c r="J18" s="166">
        <f>(SUM(J19:J27))/(SUM(K19:K27))</f>
        <v>0.8780616091877288</v>
      </c>
      <c r="K18" s="301">
        <f>10^(I19-(J18*H19))</f>
        <v>0.39667834482975745</v>
      </c>
      <c r="L18" s="292"/>
      <c r="M18" s="231">
        <v>0</v>
      </c>
      <c r="N18" s="232">
        <v>0</v>
      </c>
      <c r="O18" s="232">
        <v>0</v>
      </c>
      <c r="P18" s="166"/>
      <c r="Q18" s="166" t="s">
        <v>83</v>
      </c>
      <c r="R18" s="166" t="s">
        <v>84</v>
      </c>
      <c r="S18" s="295" t="s">
        <v>85</v>
      </c>
      <c r="T18" s="295" t="s">
        <v>86</v>
      </c>
      <c r="U18" s="166">
        <f>(SUM(U19:U27))/(SUM(V19:V27))</f>
        <v>0.85534391219625883</v>
      </c>
      <c r="V18" s="301">
        <f>10^(T19-(U18*S19))</f>
        <v>0.3642961158039873</v>
      </c>
      <c r="W18" s="2"/>
      <c r="X18" s="231">
        <v>0</v>
      </c>
      <c r="Y18" s="232">
        <v>0</v>
      </c>
      <c r="Z18" s="232">
        <v>0</v>
      </c>
      <c r="AA18" s="166"/>
      <c r="AB18" s="166" t="s">
        <v>83</v>
      </c>
      <c r="AC18" s="166" t="s">
        <v>84</v>
      </c>
      <c r="AD18" s="295" t="s">
        <v>85</v>
      </c>
      <c r="AE18" s="295" t="s">
        <v>86</v>
      </c>
      <c r="AF18" s="166">
        <f>(SUM(AF19:AF27))/(SUM(AG19:AG27))</f>
        <v>0.90031765993591117</v>
      </c>
      <c r="AG18" s="301">
        <f>10^(AE19-(AF18*AD19))</f>
        <v>0.42893852005592886</v>
      </c>
      <c r="AH18" s="2"/>
      <c r="AI18" s="2"/>
    </row>
    <row r="19" spans="1:35" hidden="1" x14ac:dyDescent="0.3">
      <c r="A19" s="2"/>
      <c r="B19" s="228">
        <v>5</v>
      </c>
      <c r="C19" s="229">
        <f>B$16*101*(B19/101)^C$16</f>
        <v>3.1518100337683186</v>
      </c>
      <c r="D19" s="229">
        <f t="shared" ref="D19:D20" si="26">DEGREES(ATAN(C19/B19))</f>
        <v>32.225773505679463</v>
      </c>
      <c r="E19" s="166">
        <f>B19*TAN(RADIANS(D19-2.5))</f>
        <v>2.8549313293672607</v>
      </c>
      <c r="F19" s="166">
        <f>LOG(E19/101)</f>
        <v>-1.5487257073077947</v>
      </c>
      <c r="G19" s="166">
        <f t="shared" ref="G19:G20" si="27">LOG(B19/101)</f>
        <v>-1.3053513694466237</v>
      </c>
      <c r="H19" s="166">
        <f>AVERAGE(G19:G27)</f>
        <v>-0.30929109543783073</v>
      </c>
      <c r="I19" s="166">
        <f>AVERAGE(F19:F27)</f>
        <v>-0.67313814452882892</v>
      </c>
      <c r="J19" s="166">
        <f>(G19-H19)*(F19-I19)</f>
        <v>0.87213798770030782</v>
      </c>
      <c r="K19" s="301">
        <f>(G19-H19)^2</f>
        <v>0.99213606945847166</v>
      </c>
      <c r="L19" s="293"/>
      <c r="M19" s="231">
        <v>5</v>
      </c>
      <c r="N19" s="232">
        <f>M$16*101*(M19/101)^N$16</f>
        <v>3.0984398072236186</v>
      </c>
      <c r="O19" s="232">
        <f t="shared" ref="O19:O20" si="28">DEGREES(ATAN(N19/M19))</f>
        <v>31.785996766254218</v>
      </c>
      <c r="P19" s="166">
        <f>M19*TAN(RADIANS(O19-2.5))</f>
        <v>2.8042625154032526</v>
      </c>
      <c r="Q19" s="166">
        <f>LOG(P19/101)</f>
        <v>-1.5565027069792772</v>
      </c>
      <c r="R19" s="166">
        <f t="shared" ref="R19:R20" si="29">LOG(M19/101)</f>
        <v>-1.3053513694466237</v>
      </c>
      <c r="S19" s="166">
        <f>AVERAGE(R19:R27)</f>
        <v>-0.30929109543783073</v>
      </c>
      <c r="T19" s="166">
        <f>AVERAGE(Q19:Q27)</f>
        <v>-0.70309571484486011</v>
      </c>
      <c r="U19" s="166">
        <f>(R19-S19)*(Q19-T19)</f>
        <v>0.85004480242642722</v>
      </c>
      <c r="V19" s="301">
        <f>(R19-S19)^2</f>
        <v>0.99213606945847166</v>
      </c>
      <c r="W19" s="2"/>
      <c r="X19" s="231">
        <v>5</v>
      </c>
      <c r="Y19" s="232">
        <f>X$16*101*(X19/101)^Y$16</f>
        <v>3.1884061423221186</v>
      </c>
      <c r="Z19" s="232">
        <f t="shared" ref="Z19:Z27" si="30">DEGREES(ATAN(Y19/X19))</f>
        <v>32.524893100127571</v>
      </c>
      <c r="AA19" s="166">
        <f>X19*TAN(RADIANS(Z19-2.5))</f>
        <v>2.8896485165766146</v>
      </c>
      <c r="AB19" s="166">
        <f>LOG(AA19/101)</f>
        <v>-1.5434763533771449</v>
      </c>
      <c r="AC19" s="166">
        <f t="shared" ref="AC19:AC27" si="31">LOG(X19/101)</f>
        <v>-1.3053513694466237</v>
      </c>
      <c r="AD19" s="166">
        <f>AVERAGE(AC19:AC27)</f>
        <v>-0.30929109543783073</v>
      </c>
      <c r="AE19" s="166">
        <f>AVERAGE(AB19:AB27)</f>
        <v>-0.64606518625472054</v>
      </c>
      <c r="AF19" s="166">
        <f>(AC19-AD19)*(AB19-AE19)</f>
        <v>0.89387561302251273</v>
      </c>
      <c r="AG19" s="301">
        <f>(AC19-AD19)^2</f>
        <v>0.99213606945847166</v>
      </c>
      <c r="AH19" s="2"/>
      <c r="AI19" s="2"/>
    </row>
    <row r="20" spans="1:35" hidden="1" x14ac:dyDescent="0.3">
      <c r="A20" s="2"/>
      <c r="B20" s="228">
        <v>10</v>
      </c>
      <c r="C20" s="229">
        <f t="shared" ref="C20:C27" si="32">B$16*101*(B20/101)^C$16</f>
        <v>5.8283412204390386</v>
      </c>
      <c r="D20" s="229">
        <f t="shared" si="26"/>
        <v>30.235091652118012</v>
      </c>
      <c r="E20" s="166">
        <f t="shared" ref="E20" si="33">B20*TAN(RADIANS(D20-2.5))</f>
        <v>5.2579327183080062</v>
      </c>
      <c r="F20" s="166">
        <f t="shared" ref="F20" si="34">LOG(E20/101)</f>
        <v>-1.2835063493068057</v>
      </c>
      <c r="G20" s="166">
        <f t="shared" si="27"/>
        <v>-1.0043213737826426</v>
      </c>
      <c r="H20" s="166">
        <f>H19</f>
        <v>-0.30929109543783073</v>
      </c>
      <c r="I20" s="166">
        <f>I19</f>
        <v>-0.67313814452882892</v>
      </c>
      <c r="J20" s="166">
        <f t="shared" ref="J20" si="35">(G20-H20)*(F20-I20)</f>
        <v>0.42422438325966039</v>
      </c>
      <c r="K20" s="301">
        <f t="shared" ref="K20" si="36">(G20-H20)^2</f>
        <v>0.48306708781606672</v>
      </c>
      <c r="L20" s="293"/>
      <c r="M20" s="231">
        <v>10</v>
      </c>
      <c r="N20" s="232">
        <f t="shared" ref="N20:N27" si="37">M$16*101*(M20/101)^N$16</f>
        <v>5.6507669910433282</v>
      </c>
      <c r="O20" s="232">
        <f t="shared" si="28"/>
        <v>29.469779314643429</v>
      </c>
      <c r="P20" s="166">
        <f t="shared" ref="P20" si="38">M20*TAN(RADIANS(O20-2.5))</f>
        <v>5.0886124280038194</v>
      </c>
      <c r="Q20" s="166">
        <f t="shared" ref="Q20" si="39">LOG(P20/101)</f>
        <v>-1.2977219995037954</v>
      </c>
      <c r="R20" s="166">
        <f t="shared" si="29"/>
        <v>-1.0043213737826426</v>
      </c>
      <c r="S20" s="166">
        <f>S19</f>
        <v>-0.30929109543783073</v>
      </c>
      <c r="T20" s="166">
        <f>T19</f>
        <v>-0.70309571484486011</v>
      </c>
      <c r="U20" s="166">
        <f t="shared" ref="U20" si="40">(R20-S20)*(Q20-T20)</f>
        <v>0.41328327213764116</v>
      </c>
      <c r="V20" s="301">
        <f t="shared" ref="V20" si="41">(R20-S20)^2</f>
        <v>0.48306708781606672</v>
      </c>
      <c r="W20" s="2"/>
      <c r="X20" s="231">
        <v>10</v>
      </c>
      <c r="Y20" s="232">
        <f t="shared" ref="Y20:Y22" si="42">X$16*101*(X20/101)^Y$16</f>
        <v>5.9783202091156271</v>
      </c>
      <c r="Z20" s="232">
        <f t="shared" si="30"/>
        <v>30.87233383507488</v>
      </c>
      <c r="AA20" s="166">
        <f t="shared" ref="AA20:AA27" si="43">X20*TAN(RADIANS(Z20-2.5))</f>
        <v>5.4007411227483662</v>
      </c>
      <c r="AB20" s="166">
        <f t="shared" ref="AB20:AB27" si="44">LOG(AA20/101)</f>
        <v>-1.2718680133235927</v>
      </c>
      <c r="AC20" s="166">
        <f t="shared" si="31"/>
        <v>-1.0043213737826426</v>
      </c>
      <c r="AD20" s="166">
        <f>AD19</f>
        <v>-0.30929109543783073</v>
      </c>
      <c r="AE20" s="166">
        <f>AE19</f>
        <v>-0.64606518625472054</v>
      </c>
      <c r="AF20" s="166">
        <f t="shared" ref="AF20:AF27" si="45">(AC20-AD20)*(AB20-AE20)</f>
        <v>0.43495191308664838</v>
      </c>
      <c r="AG20" s="301">
        <f t="shared" ref="AG20:AG27" si="46">(AC20-AD20)^2</f>
        <v>0.48306708781606672</v>
      </c>
      <c r="AH20" s="2"/>
      <c r="AI20" s="2"/>
    </row>
    <row r="21" spans="1:35" ht="18" hidden="1" x14ac:dyDescent="0.35">
      <c r="A21" s="2"/>
      <c r="B21" s="228">
        <v>12</v>
      </c>
      <c r="C21" s="229">
        <f t="shared" si="32"/>
        <v>6.8512717469848816</v>
      </c>
      <c r="D21" s="229">
        <f t="shared" ref="D21" si="47">DEGREES(ATAN(C21/B21))</f>
        <v>29.723744661366556</v>
      </c>
      <c r="E21" s="166">
        <f t="shared" ref="E21" si="48">B21*TAN(RADIANS(D21-2.5))</f>
        <v>6.1734502163762173</v>
      </c>
      <c r="F21" s="166">
        <f t="shared" ref="F21" si="49">LOG(E21/101)</f>
        <v>-1.2137934235030401</v>
      </c>
      <c r="G21" s="166">
        <f t="shared" ref="G21" si="50">LOG(B21/101)</f>
        <v>-0.92514012773501775</v>
      </c>
      <c r="H21" s="166">
        <f>H20</f>
        <v>-0.30929109543783073</v>
      </c>
      <c r="I21" s="166">
        <f>I20</f>
        <v>-0.67313814452882892</v>
      </c>
      <c r="J21" s="166">
        <f t="shared" ref="J21" si="51">(G21-H21)*(F21-I21)</f>
        <v>0.33296203036263361</v>
      </c>
      <c r="K21" s="301">
        <f t="shared" ref="K21" si="52">(G21-H21)^2</f>
        <v>0.3792700305813817</v>
      </c>
      <c r="L21" s="294"/>
      <c r="M21" s="231">
        <v>12</v>
      </c>
      <c r="N21" s="232">
        <f t="shared" si="37"/>
        <v>6.6183540883001744</v>
      </c>
      <c r="O21" s="232">
        <f t="shared" ref="O21" si="53">DEGREES(ATAN(N21/M21))</f>
        <v>28.878031910680363</v>
      </c>
      <c r="P21" s="166">
        <f t="shared" ref="P21" si="54">M21*TAN(RADIANS(O21-2.5))</f>
        <v>5.9511180747425305</v>
      </c>
      <c r="Q21" s="166">
        <f t="shared" ref="Q21" si="55">LOG(P21/101)</f>
        <v>-1.2297228066970751</v>
      </c>
      <c r="R21" s="166">
        <f t="shared" ref="R21" si="56">LOG(M21/101)</f>
        <v>-0.92514012773501775</v>
      </c>
      <c r="S21" s="166">
        <f>S20</f>
        <v>-0.30929109543783073</v>
      </c>
      <c r="T21" s="166">
        <f>T20</f>
        <v>-0.70309571484486011</v>
      </c>
      <c r="U21" s="166">
        <f t="shared" ref="U21" si="57">(R21-S21)*(Q21-T21)</f>
        <v>0.32432278489866845</v>
      </c>
      <c r="V21" s="301">
        <f t="shared" ref="V21" si="58">(R21-S21)^2</f>
        <v>0.3792700305813817</v>
      </c>
      <c r="W21" s="2"/>
      <c r="X21" s="231">
        <v>12</v>
      </c>
      <c r="Y21" s="232">
        <f t="shared" si="42"/>
        <v>7.0532458463414729</v>
      </c>
      <c r="Z21" s="232">
        <f t="shared" si="30"/>
        <v>30.445755563024605</v>
      </c>
      <c r="AA21" s="166">
        <f t="shared" si="43"/>
        <v>6.365947675505593</v>
      </c>
      <c r="AB21" s="166">
        <f t="shared" si="44"/>
        <v>-1.2004583091383398</v>
      </c>
      <c r="AC21" s="166">
        <f t="shared" si="31"/>
        <v>-0.92514012773501775</v>
      </c>
      <c r="AD21" s="166">
        <f>AD20</f>
        <v>-0.30929109543783073</v>
      </c>
      <c r="AE21" s="166">
        <f>AE20</f>
        <v>-0.64606518625472054</v>
      </c>
      <c r="AF21" s="166">
        <f t="shared" si="45"/>
        <v>0.34142246824009242</v>
      </c>
      <c r="AG21" s="301">
        <f t="shared" si="46"/>
        <v>0.3792700305813817</v>
      </c>
      <c r="AH21" s="2"/>
      <c r="AI21" s="2"/>
    </row>
    <row r="22" spans="1:35" hidden="1" x14ac:dyDescent="0.3">
      <c r="A22" s="2"/>
      <c r="B22" s="228">
        <v>25</v>
      </c>
      <c r="C22" s="229">
        <f t="shared" si="32"/>
        <v>13.136505659420935</v>
      </c>
      <c r="D22" s="229">
        <f t="shared" ref="D22:D27" si="59">DEGREES(ATAN(C22/B22))</f>
        <v>27.720140350790391</v>
      </c>
      <c r="E22" s="166">
        <f t="shared" ref="E22" si="60">B22*TAN(RADIANS(D22-2.5))</f>
        <v>11.774842600460495</v>
      </c>
      <c r="F22" s="166">
        <f t="shared" ref="F22" si="61">LOG(E22/101)</f>
        <v>-0.93336626334972095</v>
      </c>
      <c r="G22" s="166">
        <f t="shared" ref="G22" si="62">LOG(B22/101)</f>
        <v>-0.60638136511060492</v>
      </c>
      <c r="H22" s="166">
        <f>H20</f>
        <v>-0.30929109543783073</v>
      </c>
      <c r="I22" s="166">
        <f>I20</f>
        <v>-0.67313814452882892</v>
      </c>
      <c r="J22" s="166">
        <f t="shared" ref="J22" si="63">(G22-H22)*(F22-I22)</f>
        <v>7.7311241996937535E-2</v>
      </c>
      <c r="K22" s="301">
        <f t="shared" ref="K22" si="64">(G22-H22)^2</f>
        <v>8.8262628334241686E-2</v>
      </c>
      <c r="L22" s="292"/>
      <c r="M22" s="231">
        <v>25</v>
      </c>
      <c r="N22" s="232">
        <f t="shared" si="37"/>
        <v>12.504993980883855</v>
      </c>
      <c r="O22" s="232">
        <f t="shared" ref="O22:O27" si="65">DEGREES(ATAN(N22/M22))</f>
        <v>26.574206734320853</v>
      </c>
      <c r="P22" s="166">
        <f t="shared" ref="P22:P27" si="66">M22*TAN(RADIANS(O22-2.5))</f>
        <v>11.169536738164421</v>
      </c>
      <c r="Q22" s="166">
        <f t="shared" ref="Q22:Q27" si="67">LOG(P22/101)</f>
        <v>-0.95628621286319093</v>
      </c>
      <c r="R22" s="166">
        <f t="shared" ref="R22:R27" si="68">LOG(M22/101)</f>
        <v>-0.60638136511060492</v>
      </c>
      <c r="S22" s="166">
        <f>S20</f>
        <v>-0.30929109543783073</v>
      </c>
      <c r="T22" s="166">
        <f>T20</f>
        <v>-0.70309571484486011</v>
      </c>
      <c r="U22" s="166">
        <f t="shared" ref="U22:U27" si="69">(R22-S22)*(Q22-T22)</f>
        <v>7.5220433334849901E-2</v>
      </c>
      <c r="V22" s="301">
        <f t="shared" ref="V22:V27" si="70">(R22-S22)^2</f>
        <v>8.8262628334241686E-2</v>
      </c>
      <c r="W22" s="2"/>
      <c r="X22" s="231">
        <v>25</v>
      </c>
      <c r="Y22" s="232">
        <f t="shared" si="42"/>
        <v>13.723751978214381</v>
      </c>
      <c r="Z22" s="232">
        <f t="shared" si="30"/>
        <v>28.764588212533457</v>
      </c>
      <c r="AA22" s="166">
        <f t="shared" si="43"/>
        <v>12.336549947923661</v>
      </c>
      <c r="AB22" s="166">
        <f t="shared" si="44"/>
        <v>-0.91312765234092608</v>
      </c>
      <c r="AC22" s="166">
        <f t="shared" si="31"/>
        <v>-0.60638136511060492</v>
      </c>
      <c r="AD22" s="166">
        <f>AD20</f>
        <v>-0.30929109543783073</v>
      </c>
      <c r="AE22" s="166">
        <f>AE20</f>
        <v>-0.64606518625472054</v>
      </c>
      <c r="AF22" s="166">
        <f t="shared" si="45"/>
        <v>7.9341660069026917E-2</v>
      </c>
      <c r="AG22" s="301">
        <f t="shared" si="46"/>
        <v>8.8262628334241686E-2</v>
      </c>
      <c r="AH22" s="2"/>
      <c r="AI22" s="2"/>
    </row>
    <row r="23" spans="1:35" hidden="1" x14ac:dyDescent="0.3">
      <c r="A23" s="2"/>
      <c r="B23" s="228">
        <v>50</v>
      </c>
      <c r="C23" s="229">
        <f>B$16*101*(B23/101)^C$16</f>
        <v>24.292085058119248</v>
      </c>
      <c r="D23" s="229">
        <f t="shared" si="59"/>
        <v>25.912414539984063</v>
      </c>
      <c r="E23" s="166">
        <f>B23*TAN(RADIANS(D23-2.5))</f>
        <v>21.649795802471662</v>
      </c>
      <c r="F23" s="166">
        <f t="shared" ref="F23" si="71">LOG(E23/101)</f>
        <v>-0.66886756927238034</v>
      </c>
      <c r="G23" s="166">
        <f t="shared" ref="G23" si="72">LOG(B23/101)</f>
        <v>-0.30535136944662378</v>
      </c>
      <c r="H23" s="166">
        <f>H20</f>
        <v>-0.30929109543783073</v>
      </c>
      <c r="I23" s="166">
        <f>I20</f>
        <v>-0.67313814452882892</v>
      </c>
      <c r="J23" s="166">
        <f t="shared" ref="J23" si="73">(G23-H23)*(F23-I23)</f>
        <v>1.6824896335235791E-5</v>
      </c>
      <c r="K23" s="301">
        <f t="shared" ref="K23" si="74">(G23-H23)^2</f>
        <v>1.5521440885791623E-5</v>
      </c>
      <c r="L23" s="292"/>
      <c r="M23" s="231">
        <v>50</v>
      </c>
      <c r="N23" s="232">
        <f>M$16*101*(M23/101)^N$16</f>
        <v>22.805931890505871</v>
      </c>
      <c r="O23" s="232">
        <f t="shared" si="65"/>
        <v>24.518612877449982</v>
      </c>
      <c r="P23" s="166">
        <f t="shared" si="66"/>
        <v>20.220208001366728</v>
      </c>
      <c r="Q23" s="166">
        <f t="shared" si="67"/>
        <v>-0.69853575500139065</v>
      </c>
      <c r="R23" s="166">
        <f t="shared" si="68"/>
        <v>-0.30535136944662378</v>
      </c>
      <c r="S23" s="166">
        <f>S20</f>
        <v>-0.30929109543783073</v>
      </c>
      <c r="T23" s="166">
        <f>T20</f>
        <v>-0.70309571484486011</v>
      </c>
      <c r="U23" s="166">
        <f t="shared" si="69"/>
        <v>1.7964992314176643E-5</v>
      </c>
      <c r="V23" s="301">
        <f t="shared" si="70"/>
        <v>1.5521440885791623E-5</v>
      </c>
      <c r="W23" s="2"/>
      <c r="X23" s="231">
        <v>50</v>
      </c>
      <c r="Y23" s="232">
        <f>X$16*101*(X23/101)^Y$16</f>
        <v>25.73228758632867</v>
      </c>
      <c r="Z23" s="232">
        <f t="shared" si="30"/>
        <v>27.23242296217845</v>
      </c>
      <c r="AA23" s="166">
        <f t="shared" si="43"/>
        <v>23.03171957264431</v>
      </c>
      <c r="AB23" s="166">
        <f t="shared" si="44"/>
        <v>-0.64199500972064827</v>
      </c>
      <c r="AC23" s="166">
        <f t="shared" si="31"/>
        <v>-0.30535136944662378</v>
      </c>
      <c r="AD23" s="166">
        <f>AD20</f>
        <v>-0.30929109543783073</v>
      </c>
      <c r="AE23" s="166">
        <f>AE20</f>
        <v>-0.64606518625472054</v>
      </c>
      <c r="AF23" s="166">
        <f t="shared" si="45"/>
        <v>1.603538028008515E-5</v>
      </c>
      <c r="AG23" s="301">
        <f t="shared" si="46"/>
        <v>1.5521440885791623E-5</v>
      </c>
      <c r="AH23" s="2"/>
      <c r="AI23" s="2"/>
    </row>
    <row r="24" spans="1:35" hidden="1" x14ac:dyDescent="0.3">
      <c r="A24" s="2"/>
      <c r="B24" s="228">
        <v>100</v>
      </c>
      <c r="C24" s="229">
        <f t="shared" si="32"/>
        <v>44.921032409231493</v>
      </c>
      <c r="D24" s="229">
        <f t="shared" si="59"/>
        <v>24.190108341120954</v>
      </c>
      <c r="E24" s="166">
        <f>B24*TAN(RADIANS(D24-2.5))</f>
        <v>39.77483638765672</v>
      </c>
      <c r="F24" s="166">
        <f>LOG(E24/101)</f>
        <v>-0.40471297191490968</v>
      </c>
      <c r="G24" s="166">
        <f>LOG(B24/101)</f>
        <v>-4.3213737826425782E-3</v>
      </c>
      <c r="H24" s="166">
        <f>H20</f>
        <v>-0.30929109543783073</v>
      </c>
      <c r="I24" s="166">
        <f>I20</f>
        <v>-0.67313814452882892</v>
      </c>
      <c r="J24" s="166">
        <f>(G24-H24)*(F24-I24)</f>
        <v>8.1861550177312781E-2</v>
      </c>
      <c r="K24" s="301">
        <f>(G24-H24)^2</f>
        <v>9.3006531126442943E-2</v>
      </c>
      <c r="L24" s="292"/>
      <c r="M24" s="231">
        <v>100</v>
      </c>
      <c r="N24" s="232">
        <f t="shared" si="37"/>
        <v>41.592225489230614</v>
      </c>
      <c r="O24" s="232">
        <f t="shared" si="65"/>
        <v>22.583513108771893</v>
      </c>
      <c r="P24" s="166">
        <f t="shared" si="66"/>
        <v>36.562178208977038</v>
      </c>
      <c r="Q24" s="166">
        <f t="shared" si="67"/>
        <v>-0.44128931265192439</v>
      </c>
      <c r="R24" s="166">
        <f t="shared" si="68"/>
        <v>-4.3213737826425782E-3</v>
      </c>
      <c r="S24" s="166">
        <f t="shared" ref="S24:T24" si="75">S23</f>
        <v>-0.30929109543783073</v>
      </c>
      <c r="T24" s="166">
        <f t="shared" si="75"/>
        <v>-0.70309571484486011</v>
      </c>
      <c r="U24" s="166">
        <f t="shared" si="69"/>
        <v>7.9843025604325851E-2</v>
      </c>
      <c r="V24" s="301">
        <f t="shared" si="70"/>
        <v>9.3006531126442943E-2</v>
      </c>
      <c r="W24" s="2"/>
      <c r="X24" s="231">
        <v>100</v>
      </c>
      <c r="Y24" s="232">
        <f t="shared" ref="Y24:Y25" si="76">X$16*101*(X24/101)^Y$16</f>
        <v>48.248512904972969</v>
      </c>
      <c r="Z24" s="232">
        <f t="shared" si="30"/>
        <v>25.756618066993262</v>
      </c>
      <c r="AA24" s="166">
        <f t="shared" si="43"/>
        <v>42.977074072149655</v>
      </c>
      <c r="AB24" s="166">
        <f t="shared" si="44"/>
        <v>-0.3710845288807012</v>
      </c>
      <c r="AC24" s="166">
        <f t="shared" si="31"/>
        <v>-4.3213737826425782E-3</v>
      </c>
      <c r="AD24" s="166">
        <f t="shared" ref="AD24:AE24" si="77">AD23</f>
        <v>-0.30929109543783073</v>
      </c>
      <c r="AE24" s="166">
        <f t="shared" si="77"/>
        <v>-0.64606518625472054</v>
      </c>
      <c r="AF24" s="166">
        <f t="shared" si="45"/>
        <v>8.3860774539915334E-2</v>
      </c>
      <c r="AG24" s="301">
        <f t="shared" si="46"/>
        <v>9.3006531126442943E-2</v>
      </c>
      <c r="AH24" s="2"/>
      <c r="AI24" s="2"/>
    </row>
    <row r="25" spans="1:35" hidden="1" x14ac:dyDescent="0.3">
      <c r="A25" s="2"/>
      <c r="B25" s="228">
        <v>200</v>
      </c>
      <c r="C25" s="229">
        <f t="shared" si="32"/>
        <v>83.068174176212779</v>
      </c>
      <c r="D25" s="229">
        <f t="shared" si="59"/>
        <v>22.555109048856966</v>
      </c>
      <c r="E25" s="166">
        <f>B25*TAN(RADIANS(D25-2.5))</f>
        <v>73.011973754628869</v>
      </c>
      <c r="F25" s="166">
        <f>LOG(E25/101)</f>
        <v>-0.14092728476991273</v>
      </c>
      <c r="G25" s="166">
        <f>LOG(B25/101)</f>
        <v>0.29670862188133862</v>
      </c>
      <c r="H25" s="166">
        <f t="shared" ref="H25:I27" si="78">H24</f>
        <v>-0.30929109543783073</v>
      </c>
      <c r="I25" s="166">
        <f t="shared" si="78"/>
        <v>-0.67313814452882892</v>
      </c>
      <c r="J25" s="166">
        <f>(G25-H25)*(F25-I25)</f>
        <v>0.32251963056809524</v>
      </c>
      <c r="K25" s="301">
        <f>(G25-H25)^2</f>
        <v>0.36723565739091318</v>
      </c>
      <c r="L25" s="292"/>
      <c r="M25" s="231">
        <v>200</v>
      </c>
      <c r="N25" s="232">
        <f t="shared" si="37"/>
        <v>75.853651999511968</v>
      </c>
      <c r="O25" s="232">
        <f t="shared" si="65"/>
        <v>20.770146659777783</v>
      </c>
      <c r="P25" s="166">
        <f t="shared" si="66"/>
        <v>66.028090412881539</v>
      </c>
      <c r="Q25" s="166">
        <f t="shared" si="67"/>
        <v>-0.18459263648449967</v>
      </c>
      <c r="R25" s="166">
        <f t="shared" si="68"/>
        <v>0.29670862188133862</v>
      </c>
      <c r="S25" s="166">
        <f t="shared" ref="S25:T25" si="79">S24</f>
        <v>-0.30929109543783073</v>
      </c>
      <c r="T25" s="166">
        <f t="shared" si="79"/>
        <v>-0.70309571484486011</v>
      </c>
      <c r="U25" s="166">
        <f t="shared" si="69"/>
        <v>0.31421271891549757</v>
      </c>
      <c r="V25" s="301">
        <f t="shared" si="70"/>
        <v>0.36723565739091318</v>
      </c>
      <c r="W25" s="2"/>
      <c r="X25" s="231">
        <v>200</v>
      </c>
      <c r="Y25" s="232">
        <f t="shared" si="76"/>
        <v>90.466849856681392</v>
      </c>
      <c r="Z25" s="232">
        <f t="shared" si="30"/>
        <v>24.338868593909204</v>
      </c>
      <c r="AA25" s="166">
        <f t="shared" si="43"/>
        <v>80.151717762643543</v>
      </c>
      <c r="AB25" s="166">
        <f t="shared" si="44"/>
        <v>-0.10040853945875235</v>
      </c>
      <c r="AC25" s="166">
        <f t="shared" si="31"/>
        <v>0.29670862188133862</v>
      </c>
      <c r="AD25" s="166">
        <f t="shared" ref="AD25:AE25" si="80">AD24</f>
        <v>-0.30929109543783073</v>
      </c>
      <c r="AE25" s="166">
        <f t="shared" si="80"/>
        <v>-0.64606518625472054</v>
      </c>
      <c r="AF25" s="166">
        <f t="shared" si="45"/>
        <v>0.33066777371168254</v>
      </c>
      <c r="AG25" s="301">
        <f t="shared" si="46"/>
        <v>0.36723565739091318</v>
      </c>
      <c r="AH25" s="2"/>
      <c r="AI25" s="2"/>
    </row>
    <row r="26" spans="1:35" hidden="1" x14ac:dyDescent="0.3">
      <c r="A26" s="2"/>
      <c r="B26" s="228">
        <v>300</v>
      </c>
      <c r="C26" s="229">
        <f t="shared" si="32"/>
        <v>119.01750467529803</v>
      </c>
      <c r="D26" s="229">
        <f t="shared" si="59"/>
        <v>21.639466011997943</v>
      </c>
      <c r="E26" s="166">
        <f>B26*TAN(RADIANS(D26-2.5))</f>
        <v>104.11579175027722</v>
      </c>
      <c r="F26" s="166">
        <f>LOG(E26/101)</f>
        <v>1.3195232287596313E-2</v>
      </c>
      <c r="G26" s="166">
        <f>LOG(B26/101)</f>
        <v>0.47279988093701986</v>
      </c>
      <c r="H26" s="166">
        <f t="shared" si="78"/>
        <v>-0.30929109543783073</v>
      </c>
      <c r="I26" s="166">
        <f t="shared" si="78"/>
        <v>-0.67313814452882892</v>
      </c>
      <c r="J26" s="166">
        <f>(G26-H26)*(F26-I26)</f>
        <v>0.53677514079300626</v>
      </c>
      <c r="K26" s="301">
        <f>(G26-H26)^2</f>
        <v>0.61166629532696715</v>
      </c>
      <c r="L26" s="292"/>
      <c r="M26" s="231">
        <v>300</v>
      </c>
      <c r="N26" s="232">
        <f>M$16*101*(M26/101)^N$16</f>
        <v>107.80299966167831</v>
      </c>
      <c r="O26" s="232">
        <f t="shared" si="65"/>
        <v>19.765561761301736</v>
      </c>
      <c r="P26" s="166">
        <f t="shared" si="66"/>
        <v>93.241820807284654</v>
      </c>
      <c r="Q26" s="166">
        <f t="shared" si="67"/>
        <v>-3.4710628037113757E-2</v>
      </c>
      <c r="R26" s="166">
        <f t="shared" si="68"/>
        <v>0.47279988093701986</v>
      </c>
      <c r="S26" s="166">
        <f t="shared" ref="S26:T26" si="81">S25</f>
        <v>-0.30929109543783073</v>
      </c>
      <c r="T26" s="166">
        <f t="shared" si="81"/>
        <v>-0.70309571484486011</v>
      </c>
      <c r="U26" s="166">
        <f t="shared" si="69"/>
        <v>0.52273794513585958</v>
      </c>
      <c r="V26" s="301">
        <f t="shared" si="70"/>
        <v>0.61166629532696715</v>
      </c>
      <c r="W26" s="2"/>
      <c r="X26" s="231">
        <v>300</v>
      </c>
      <c r="Y26" s="232">
        <f>X$16*101*(X26/101)^Y$16</f>
        <v>130.67348357440372</v>
      </c>
      <c r="Z26" s="232">
        <f t="shared" si="30"/>
        <v>23.536895266354165</v>
      </c>
      <c r="AA26" s="166">
        <f t="shared" si="43"/>
        <v>115.3809143540782</v>
      </c>
      <c r="AB26" s="166">
        <f t="shared" si="44"/>
        <v>5.7812602487576144E-2</v>
      </c>
      <c r="AC26" s="166">
        <f t="shared" si="31"/>
        <v>0.47279988093701986</v>
      </c>
      <c r="AD26" s="166">
        <f t="shared" ref="AD26:AE26" si="82">AD25</f>
        <v>-0.30929109543783073</v>
      </c>
      <c r="AE26" s="166">
        <f t="shared" si="82"/>
        <v>-0.64606518625472054</v>
      </c>
      <c r="AF26" s="166">
        <f t="shared" si="45"/>
        <v>0.55049646704603361</v>
      </c>
      <c r="AG26" s="301">
        <f t="shared" si="46"/>
        <v>0.61166629532696715</v>
      </c>
      <c r="AH26" s="2"/>
      <c r="AI26" s="2"/>
    </row>
    <row r="27" spans="1:35" hidden="1" x14ac:dyDescent="0.3">
      <c r="A27" s="2"/>
      <c r="B27" s="228">
        <v>400</v>
      </c>
      <c r="C27" s="229">
        <f t="shared" si="32"/>
        <v>153.61003946008088</v>
      </c>
      <c r="D27" s="229">
        <f t="shared" si="59"/>
        <v>21.008042668063116</v>
      </c>
      <c r="E27" s="166">
        <f>B27*TAN(RADIANS(D27-2.5))</f>
        <v>133.90056519035909</v>
      </c>
      <c r="F27" s="166">
        <f>LOG(E27/101)</f>
        <v>0.12246103637750787</v>
      </c>
      <c r="G27" s="166">
        <f>LOG(B27/101)</f>
        <v>0.59773861754531976</v>
      </c>
      <c r="H27" s="166">
        <f t="shared" si="78"/>
        <v>-0.30929109543783073</v>
      </c>
      <c r="I27" s="166">
        <f t="shared" si="78"/>
        <v>-0.67313814452882892</v>
      </c>
      <c r="J27" s="166">
        <f>(G27-H27)*(F27-I27)</f>
        <v>0.72163209670710426</v>
      </c>
      <c r="K27" s="301">
        <f>(G27-H27)^2</f>
        <v>0.82270290023429637</v>
      </c>
      <c r="L27" s="134"/>
      <c r="M27" s="231">
        <v>400</v>
      </c>
      <c r="N27" s="232">
        <f t="shared" si="37"/>
        <v>138.33778918978209</v>
      </c>
      <c r="O27" s="232">
        <f t="shared" si="65"/>
        <v>19.077661391109523</v>
      </c>
      <c r="P27" s="166">
        <f t="shared" si="66"/>
        <v>119.07538610506509</v>
      </c>
      <c r="Q27" s="166">
        <f t="shared" si="67"/>
        <v>7.1500624614526109E-2</v>
      </c>
      <c r="R27" s="166">
        <f t="shared" si="68"/>
        <v>0.59773861754531976</v>
      </c>
      <c r="S27" s="166">
        <f t="shared" ref="S27:T27" si="83">S26</f>
        <v>-0.30929109543783073</v>
      </c>
      <c r="T27" s="166">
        <f t="shared" si="83"/>
        <v>-0.70309571484486011</v>
      </c>
      <c r="U27" s="166">
        <f t="shared" si="69"/>
        <v>0.70258189545764604</v>
      </c>
      <c r="V27" s="301">
        <f t="shared" si="70"/>
        <v>0.82270290023429637</v>
      </c>
      <c r="W27" s="2"/>
      <c r="X27" s="231">
        <v>400</v>
      </c>
      <c r="Y27" s="232">
        <f t="shared" ref="Y27" si="84">X$16*101*(X27/101)^Y$16</f>
        <v>169.62700879735894</v>
      </c>
      <c r="Z27" s="232">
        <f t="shared" si="30"/>
        <v>22.980223626821253</v>
      </c>
      <c r="AA27" s="166">
        <f t="shared" si="43"/>
        <v>149.3965268722215</v>
      </c>
      <c r="AB27" s="166">
        <f t="shared" si="44"/>
        <v>0.17001912746004408</v>
      </c>
      <c r="AC27" s="166">
        <f t="shared" si="31"/>
        <v>0.59773861754531976</v>
      </c>
      <c r="AD27" s="166">
        <f t="shared" ref="AD27:AE27" si="85">AD26</f>
        <v>-0.30929109543783073</v>
      </c>
      <c r="AE27" s="166">
        <f t="shared" si="85"/>
        <v>-0.64606518625472054</v>
      </c>
      <c r="AF27" s="166">
        <f t="shared" si="45"/>
        <v>0.74021272083875433</v>
      </c>
      <c r="AG27" s="301">
        <f t="shared" si="46"/>
        <v>0.82270290023429637</v>
      </c>
      <c r="AH27" s="2"/>
      <c r="AI27" s="2"/>
    </row>
    <row r="28" spans="1:35" ht="21" hidden="1" customHeight="1" thickBot="1" x14ac:dyDescent="0.35">
      <c r="A28" s="2"/>
      <c r="L28" s="287"/>
      <c r="M28" s="288"/>
      <c r="N28" s="289"/>
      <c r="O28" s="290"/>
      <c r="P28" s="29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21" hidden="1" customHeight="1" x14ac:dyDescent="0.35">
      <c r="A29" s="2"/>
      <c r="B29" s="95">
        <f>IF($B$5&lt;15,"NA",IF($B$5&lt;=250,(-0.1155919163 * LN($B$5) + 0.9009033321-0.0666667),"NA"))</f>
        <v>0.38203839629287528</v>
      </c>
      <c r="C29" s="95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7-0.04),"NA"))</f>
        <v>0.8469047593614647</v>
      </c>
      <c r="D29" s="164"/>
      <c r="E29" s="297"/>
      <c r="F29" s="298"/>
      <c r="G29" s="298"/>
      <c r="H29" s="298"/>
      <c r="I29" s="298"/>
      <c r="J29" s="298"/>
      <c r="K29" s="299"/>
      <c r="L29" s="292"/>
      <c r="M29" s="95">
        <f>IF($B$5&lt;15,"NA",IF($B$5&lt;=250,(-0.1155919163 * LN($B$5) + 0.9009033321-0.1),"NA"))</f>
        <v>0.34870509629287527</v>
      </c>
      <c r="N29" s="95">
        <f>IF($B$5&lt;15,"NA",IF($B$5&lt;=250,(1.01942688696052 - 0.0073472240400078 *$B$5 + 0.000178309220623747 *$B$5^ 2 - 2.38795286739483E-06 *$B$5^ 3 + 1.68890854353566E-08 *$B$5^ 4 - 6.33820210851731E-11 *$B$5^ 5 + 1.20443010803692E-13 *$B$5^ 6- 9.17672439667536E-17 *$B$5^ 7-0.06),"NA"))</f>
        <v>0.82690475936146468</v>
      </c>
      <c r="O29" s="164"/>
      <c r="P29" s="297"/>
      <c r="Q29" s="298"/>
      <c r="R29" s="298"/>
      <c r="S29" s="298"/>
      <c r="T29" s="298"/>
      <c r="U29" s="298"/>
      <c r="V29" s="299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21" hidden="1" customHeight="1" x14ac:dyDescent="0.3">
      <c r="A30" s="2"/>
      <c r="B30" s="177" t="s">
        <v>34</v>
      </c>
      <c r="C30" s="96" t="s">
        <v>35</v>
      </c>
      <c r="D30" s="178" t="s">
        <v>36</v>
      </c>
      <c r="E30" s="96"/>
      <c r="F30" s="295"/>
      <c r="G30" s="295"/>
      <c r="H30" s="295"/>
      <c r="I30" s="296"/>
      <c r="J30" s="296" t="s">
        <v>33</v>
      </c>
      <c r="K30" s="300" t="s">
        <v>32</v>
      </c>
      <c r="L30" s="292"/>
      <c r="M30" s="177" t="s">
        <v>34</v>
      </c>
      <c r="N30" s="96" t="s">
        <v>35</v>
      </c>
      <c r="O30" s="178" t="s">
        <v>36</v>
      </c>
      <c r="P30" s="96"/>
      <c r="Q30" s="295"/>
      <c r="R30" s="295"/>
      <c r="S30" s="295"/>
      <c r="T30" s="296"/>
      <c r="U30" s="296" t="s">
        <v>33</v>
      </c>
      <c r="V30" s="300" t="s">
        <v>32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21" hidden="1" customHeight="1" x14ac:dyDescent="0.3">
      <c r="A31" s="2"/>
      <c r="B31" s="228">
        <v>0</v>
      </c>
      <c r="C31" s="229">
        <v>0</v>
      </c>
      <c r="D31" s="229">
        <v>0</v>
      </c>
      <c r="E31" s="166"/>
      <c r="F31" s="166" t="s">
        <v>83</v>
      </c>
      <c r="G31" s="166" t="s">
        <v>84</v>
      </c>
      <c r="H31" s="295" t="s">
        <v>85</v>
      </c>
      <c r="I31" s="295" t="s">
        <v>86</v>
      </c>
      <c r="J31" s="166">
        <f>(SUM(J32:J40))/(SUM(K32:K40))</f>
        <v>0.83203659957268516</v>
      </c>
      <c r="K31" s="301">
        <f>10^(I32-(J31*H32))</f>
        <v>0.33179119233534604</v>
      </c>
      <c r="L31" s="292"/>
      <c r="M31" s="231">
        <v>0</v>
      </c>
      <c r="N31" s="232">
        <v>0</v>
      </c>
      <c r="O31" s="232">
        <v>0</v>
      </c>
      <c r="P31" s="166"/>
      <c r="Q31" s="166" t="s">
        <v>83</v>
      </c>
      <c r="R31" s="166" t="s">
        <v>84</v>
      </c>
      <c r="S31" s="295" t="s">
        <v>85</v>
      </c>
      <c r="T31" s="295" t="s">
        <v>86</v>
      </c>
      <c r="U31" s="166">
        <f>(SUM(U32:U40))/(SUM(V32:V40))</f>
        <v>0.80795708591555926</v>
      </c>
      <c r="V31" s="301">
        <f>10^(T32-(U31*S32))</f>
        <v>0.29916209406447536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21" hidden="1" customHeight="1" x14ac:dyDescent="0.3">
      <c r="A32" s="2"/>
      <c r="B32" s="228">
        <v>5</v>
      </c>
      <c r="C32" s="229">
        <f>B$29*101*(B32/101)^C$29</f>
        <v>3.0263565960793448</v>
      </c>
      <c r="D32" s="229">
        <f>DEGREES(ATAN(C32/B32))</f>
        <v>31.1853168915436</v>
      </c>
      <c r="E32" s="166">
        <f t="shared" ref="E32:E35" si="86">B32*TAN(RADIANS(D32-2.5))</f>
        <v>2.7357548633163824</v>
      </c>
      <c r="F32" s="166">
        <f>LOG(E32/101)</f>
        <v>-1.5672441938480852</v>
      </c>
      <c r="G32" s="166">
        <f t="shared" ref="G32:G36" si="87">LOG(B32/101)</f>
        <v>-1.3053513694466237</v>
      </c>
      <c r="H32" s="166">
        <f>AVERAGE(G32:G40)</f>
        <v>-0.30929109543783073</v>
      </c>
      <c r="I32" s="166">
        <f>AVERAGE(F32:F40)</f>
        <v>-0.73647665818194741</v>
      </c>
      <c r="J32" s="166">
        <f>(G32-H32)*(F32-I32)</f>
        <v>0.82749453921322291</v>
      </c>
      <c r="K32" s="301">
        <f>(G32-H32)^2</f>
        <v>0.99213606945847166</v>
      </c>
      <c r="L32" s="293"/>
      <c r="M32" s="231">
        <v>5</v>
      </c>
      <c r="N32" s="232">
        <f>M$29*101*(M32/101)^N$29</f>
        <v>2.9334480964520555</v>
      </c>
      <c r="O32" s="232">
        <f>DEGREES(ATAN(N32/M32))</f>
        <v>30.399706063397037</v>
      </c>
      <c r="P32" s="166">
        <f>M32*TAN(RADIANS(O32-2.5))</f>
        <v>2.6473308842087167</v>
      </c>
      <c r="Q32" s="166">
        <f>LOG(P32/101)</f>
        <v>-1.58151314755301</v>
      </c>
      <c r="R32" s="166">
        <f t="shared" ref="R32:R34" si="88">LOG(M32/101)</f>
        <v>-1.3053513694466237</v>
      </c>
      <c r="S32" s="166">
        <f>AVERAGE(R32:R40)</f>
        <v>-0.30929109543783073</v>
      </c>
      <c r="T32" s="166">
        <f>AVERAGE(Q32:Q40)</f>
        <v>-0.77398736764805465</v>
      </c>
      <c r="U32" s="166">
        <f>(R32-S32)*(Q32-T32)</f>
        <v>0.80434434960129397</v>
      </c>
      <c r="V32" s="301">
        <f>(R32-S32)^2</f>
        <v>0.99213606945847166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21" hidden="1" customHeight="1" x14ac:dyDescent="0.3">
      <c r="A33" s="2"/>
      <c r="B33" s="228">
        <v>10</v>
      </c>
      <c r="C33" s="229">
        <f t="shared" ref="C33:C40" si="89">B$29*101*(B33/101)^C$29</f>
        <v>5.4433196178258623</v>
      </c>
      <c r="D33" s="229">
        <f t="shared" ref="D33:D34" si="90">DEGREES(ATAN(C33/B33))</f>
        <v>28.560865343554028</v>
      </c>
      <c r="E33" s="166">
        <f>B33*TAN(RADIANS(D33-2.5))</f>
        <v>4.8904827473490897</v>
      </c>
      <c r="F33" s="166">
        <f t="shared" ref="F33:F36" si="91">LOG(E33/101)</f>
        <v>-1.3149696426422826</v>
      </c>
      <c r="G33" s="166">
        <f t="shared" si="87"/>
        <v>-1.0043213737826426</v>
      </c>
      <c r="H33" s="166">
        <f>H32</f>
        <v>-0.30929109543783073</v>
      </c>
      <c r="I33" s="166">
        <f>I32</f>
        <v>-0.73647665818194741</v>
      </c>
      <c r="J33" s="166">
        <f t="shared" ref="J33:J36" si="92">(G33-H33)*(F33-I33)</f>
        <v>0.4020701400099877</v>
      </c>
      <c r="K33" s="301">
        <f t="shared" ref="K33:K36" si="93">(G33-H33)^2</f>
        <v>0.48306708781606672</v>
      </c>
      <c r="L33" s="293"/>
      <c r="M33" s="231">
        <v>10</v>
      </c>
      <c r="N33" s="232">
        <f t="shared" ref="N33:N40" si="94">M$29*101*(M33/101)^N$29</f>
        <v>5.2035717166320623</v>
      </c>
      <c r="O33" s="232">
        <f t="shared" ref="O33:O34" si="95">DEGREES(ATAN(N33/M33))</f>
        <v>27.490537921077234</v>
      </c>
      <c r="P33" s="166">
        <f t="shared" ref="P33:P34" si="96">M33*TAN(RADIANS(O33-2.5))</f>
        <v>4.6610661973063809</v>
      </c>
      <c r="Q33" s="166">
        <f t="shared" ref="Q33:Q34" si="97">LOG(P33/101)</f>
        <v>-1.3358361028773629</v>
      </c>
      <c r="R33" s="166">
        <f t="shared" si="88"/>
        <v>-1.0043213737826426</v>
      </c>
      <c r="S33" s="166">
        <f>S32</f>
        <v>-0.30929109543783073</v>
      </c>
      <c r="T33" s="166">
        <f>T32</f>
        <v>-0.77398736764805465</v>
      </c>
      <c r="U33" s="166">
        <f t="shared" ref="U33:U34" si="98">(R33-S33)*(Q33-T33)</f>
        <v>0.39050188283410664</v>
      </c>
      <c r="V33" s="301">
        <f t="shared" ref="V33:V34" si="99">(R33-S33)^2</f>
        <v>0.48306708781606672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21" hidden="1" customHeight="1" x14ac:dyDescent="0.35">
      <c r="A34" s="2"/>
      <c r="B34" s="228">
        <v>12</v>
      </c>
      <c r="C34" s="229">
        <f>B$29*101*(B34/101)^C$29</f>
        <v>6.3521802015559254</v>
      </c>
      <c r="D34" s="229">
        <f t="shared" si="90"/>
        <v>27.894432986231788</v>
      </c>
      <c r="E34" s="166">
        <f t="shared" si="86"/>
        <v>5.6965901602185927</v>
      </c>
      <c r="F34" s="166">
        <f t="shared" si="91"/>
        <v>-1.2487063984119975</v>
      </c>
      <c r="G34" s="166">
        <f t="shared" si="87"/>
        <v>-0.92514012773501775</v>
      </c>
      <c r="H34" s="166">
        <f>H33</f>
        <v>-0.30929109543783073</v>
      </c>
      <c r="I34" s="166">
        <f>I33</f>
        <v>-0.73647665818194741</v>
      </c>
      <c r="J34" s="166">
        <f t="shared" si="92"/>
        <v>0.31545618983451584</v>
      </c>
      <c r="K34" s="301">
        <f t="shared" si="93"/>
        <v>0.3792700305813817</v>
      </c>
      <c r="L34" s="294"/>
      <c r="M34" s="231">
        <v>12</v>
      </c>
      <c r="N34" s="232">
        <f t="shared" si="94"/>
        <v>6.0502997812277801</v>
      </c>
      <c r="O34" s="232">
        <f t="shared" si="95"/>
        <v>26.756859873140712</v>
      </c>
      <c r="P34" s="166">
        <f t="shared" si="96"/>
        <v>5.4073342078696074</v>
      </c>
      <c r="Q34" s="166">
        <f t="shared" si="97"/>
        <v>-1.2713381611983157</v>
      </c>
      <c r="R34" s="166">
        <f t="shared" si="88"/>
        <v>-0.92514012773501775</v>
      </c>
      <c r="S34" s="166">
        <f>S33</f>
        <v>-0.30929109543783073</v>
      </c>
      <c r="T34" s="166">
        <f>T33</f>
        <v>-0.77398736764805465</v>
      </c>
      <c r="U34" s="166">
        <f t="shared" si="98"/>
        <v>0.30629300492016631</v>
      </c>
      <c r="V34" s="301">
        <f t="shared" si="99"/>
        <v>0.3792700305813817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21" hidden="1" customHeight="1" x14ac:dyDescent="0.3">
      <c r="A35" s="2"/>
      <c r="B35" s="228">
        <v>25</v>
      </c>
      <c r="C35" s="229">
        <f t="shared" si="89"/>
        <v>11.827177727273632</v>
      </c>
      <c r="D35" s="229">
        <f t="shared" ref="D35:D40" si="100">DEGREES(ATAN(C35/B35))</f>
        <v>25.318227604283742</v>
      </c>
      <c r="E35" s="166">
        <f t="shared" si="86"/>
        <v>10.518392247554411</v>
      </c>
      <c r="F35" s="166">
        <f t="shared" si="91"/>
        <v>-0.98237201147215092</v>
      </c>
      <c r="G35" s="166">
        <f t="shared" si="87"/>
        <v>-0.60638136511060492</v>
      </c>
      <c r="H35" s="166">
        <f>H33</f>
        <v>-0.30929109543783073</v>
      </c>
      <c r="I35" s="166">
        <f>I33</f>
        <v>-0.73647665818194741</v>
      </c>
      <c r="J35" s="166">
        <f t="shared" si="92"/>
        <v>7.3053116820268646E-2</v>
      </c>
      <c r="K35" s="301">
        <f t="shared" si="93"/>
        <v>8.8262628334241686E-2</v>
      </c>
      <c r="L35" s="292"/>
      <c r="M35" s="231">
        <v>25</v>
      </c>
      <c r="N35" s="232">
        <f>M$29*101*(M35/101)^N$29</f>
        <v>11.100947061446938</v>
      </c>
      <c r="O35" s="232">
        <f t="shared" ref="O35:O40" si="101">DEGREES(ATAN(N35/M35))</f>
        <v>23.943034110304133</v>
      </c>
      <c r="P35" s="166">
        <f t="shared" ref="P35:P40" si="102">M35*TAN(RADIANS(O35-2.5))</f>
        <v>9.8190602614730462</v>
      </c>
      <c r="Q35" s="166">
        <f t="shared" ref="Q35:Q40" si="103">LOG(P35/101)</f>
        <v>-1.0122514483975151</v>
      </c>
      <c r="R35" s="166">
        <f t="shared" ref="R35:R40" si="104">LOG(M35/101)</f>
        <v>-0.60638136511060492</v>
      </c>
      <c r="S35" s="166">
        <f>S33</f>
        <v>-0.30929109543783073</v>
      </c>
      <c r="T35" s="166">
        <f>T33</f>
        <v>-0.77398736764805465</v>
      </c>
      <c r="U35" s="166">
        <f t="shared" ref="U35:U40" si="105">(R35-S35)*(Q35-T35)</f>
        <v>7.0785940003192854E-2</v>
      </c>
      <c r="V35" s="301">
        <f t="shared" ref="V35:V40" si="106">(R35-S35)^2</f>
        <v>8.8262628334241686E-2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21" hidden="1" customHeight="1" x14ac:dyDescent="0.3">
      <c r="A36" s="2"/>
      <c r="B36" s="228">
        <v>50</v>
      </c>
      <c r="C36" s="229">
        <f t="shared" si="89"/>
        <v>21.272809896158638</v>
      </c>
      <c r="D36" s="229">
        <f t="shared" si="100"/>
        <v>23.047627676132571</v>
      </c>
      <c r="E36" s="166">
        <f>B36*TAN(RADIANS(D36-2.5))</f>
        <v>18.741621781116187</v>
      </c>
      <c r="F36" s="166">
        <f t="shared" si="91"/>
        <v>-0.73151420451398963</v>
      </c>
      <c r="G36" s="166">
        <f t="shared" si="87"/>
        <v>-0.30535136944662378</v>
      </c>
      <c r="H36" s="166">
        <f>H33</f>
        <v>-0.30929109543783073</v>
      </c>
      <c r="I36" s="166">
        <f>I33</f>
        <v>-0.73647665818194741</v>
      </c>
      <c r="J36" s="166">
        <f t="shared" si="92"/>
        <v>1.9550707695813546E-5</v>
      </c>
      <c r="K36" s="301">
        <f t="shared" si="93"/>
        <v>1.5521440885791623E-5</v>
      </c>
      <c r="L36" s="292"/>
      <c r="M36" s="231">
        <v>50</v>
      </c>
      <c r="N36" s="232">
        <f t="shared" si="94"/>
        <v>19.691698048668432</v>
      </c>
      <c r="O36" s="232">
        <f t="shared" si="101"/>
        <v>21.49620480307382</v>
      </c>
      <c r="P36" s="166">
        <f t="shared" si="102"/>
        <v>17.212676146970601</v>
      </c>
      <c r="Q36" s="166">
        <f t="shared" si="103"/>
        <v>-0.76847297611586707</v>
      </c>
      <c r="R36" s="166">
        <f t="shared" si="104"/>
        <v>-0.30535136944662378</v>
      </c>
      <c r="S36" s="166">
        <f>S33</f>
        <v>-0.30929109543783073</v>
      </c>
      <c r="T36" s="166">
        <f>T33</f>
        <v>-0.77398736764805465</v>
      </c>
      <c r="U36" s="166">
        <f t="shared" si="105"/>
        <v>2.172519164505095E-5</v>
      </c>
      <c r="V36" s="301">
        <f t="shared" si="106"/>
        <v>1.5521440885791623E-5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21" hidden="1" customHeight="1" x14ac:dyDescent="0.3">
      <c r="A37" s="2"/>
      <c r="B37" s="228">
        <v>100</v>
      </c>
      <c r="C37" s="229">
        <f t="shared" si="89"/>
        <v>38.262081733544846</v>
      </c>
      <c r="D37" s="229">
        <f t="shared" si="100"/>
        <v>20.937891105481722</v>
      </c>
      <c r="E37" s="166">
        <f>B37*TAN(RADIANS(D37-2.5))</f>
        <v>33.339039266364239</v>
      </c>
      <c r="F37" s="166">
        <f>LOG(E37/101)</f>
        <v>-0.48136829320752378</v>
      </c>
      <c r="G37" s="166">
        <f>LOG(B37/101)</f>
        <v>-4.3213737826425782E-3</v>
      </c>
      <c r="H37" s="166">
        <f>H33</f>
        <v>-0.30929109543783073</v>
      </c>
      <c r="I37" s="166">
        <f>I33</f>
        <v>-0.73647665818194741</v>
      </c>
      <c r="J37" s="166">
        <f>(G37-H37)*(F37-I37)</f>
        <v>7.7800327058160118E-2</v>
      </c>
      <c r="K37" s="301">
        <f>(G37-H37)^2</f>
        <v>9.3006531126442943E-2</v>
      </c>
      <c r="L37" s="292"/>
      <c r="M37" s="231">
        <v>100</v>
      </c>
      <c r="N37" s="232">
        <f t="shared" si="94"/>
        <v>34.93062077438551</v>
      </c>
      <c r="O37" s="232">
        <f t="shared" si="101"/>
        <v>19.254625315639661</v>
      </c>
      <c r="P37" s="166">
        <f t="shared" si="102"/>
        <v>30.105388054452796</v>
      </c>
      <c r="Q37" s="166">
        <f t="shared" si="103"/>
        <v>-0.52567714420521705</v>
      </c>
      <c r="R37" s="166">
        <f t="shared" si="104"/>
        <v>-4.3213737826425782E-3</v>
      </c>
      <c r="S37" s="166">
        <f t="shared" ref="S37:T37" si="107">S36</f>
        <v>-0.30929109543783073</v>
      </c>
      <c r="T37" s="166">
        <f t="shared" si="107"/>
        <v>-0.77398736764805465</v>
      </c>
      <c r="U37" s="166">
        <f t="shared" si="105"/>
        <v>7.5727099727499761E-2</v>
      </c>
      <c r="V37" s="301">
        <f t="shared" si="106"/>
        <v>9.3006531126442943E-2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21" hidden="1" customHeight="1" x14ac:dyDescent="0.3">
      <c r="A38" s="2"/>
      <c r="B38" s="228">
        <v>200</v>
      </c>
      <c r="C38" s="229">
        <f t="shared" si="89"/>
        <v>68.819629646050061</v>
      </c>
      <c r="D38" s="229">
        <f t="shared" si="100"/>
        <v>18.988245341938846</v>
      </c>
      <c r="E38" s="166">
        <f>B38*TAN(RADIANS(D38-2.5))</f>
        <v>59.198070003336767</v>
      </c>
      <c r="F38" s="166">
        <f>LOG(E38/101)</f>
        <v>-0.23201382585303729</v>
      </c>
      <c r="G38" s="166">
        <f>LOG(B38/101)</f>
        <v>0.29670862188133862</v>
      </c>
      <c r="H38" s="166">
        <f t="shared" ref="H38:I40" si="108">H37</f>
        <v>-0.30929109543783073</v>
      </c>
      <c r="I38" s="166">
        <f t="shared" si="108"/>
        <v>-0.73647665818194741</v>
      </c>
      <c r="J38" s="166">
        <f>(G38-H38)*(F38-I38)</f>
        <v>0.30570433378934703</v>
      </c>
      <c r="K38" s="301">
        <f>(G38-H38)^2</f>
        <v>0.36723565739091318</v>
      </c>
      <c r="L38" s="292"/>
      <c r="M38" s="231">
        <v>200</v>
      </c>
      <c r="N38" s="232">
        <f t="shared" si="94"/>
        <v>61.962572484521708</v>
      </c>
      <c r="O38" s="232">
        <f t="shared" si="101"/>
        <v>17.213653542845737</v>
      </c>
      <c r="P38" s="166">
        <f t="shared" si="102"/>
        <v>52.519961006663131</v>
      </c>
      <c r="Q38" s="166">
        <f t="shared" si="103"/>
        <v>-0.28399697880612468</v>
      </c>
      <c r="R38" s="166">
        <f t="shared" si="104"/>
        <v>0.29670862188133862</v>
      </c>
      <c r="S38" s="166">
        <f t="shared" ref="S38:T38" si="109">S37</f>
        <v>-0.30929109543783073</v>
      </c>
      <c r="T38" s="166">
        <f t="shared" si="109"/>
        <v>-0.77398736764805465</v>
      </c>
      <c r="U38" s="166">
        <f t="shared" si="105"/>
        <v>0.29693403712731942</v>
      </c>
      <c r="V38" s="301">
        <f t="shared" si="106"/>
        <v>0.36723565739091318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21" hidden="1" customHeight="1" x14ac:dyDescent="0.3">
      <c r="A39" s="2"/>
      <c r="B39" s="228">
        <v>300</v>
      </c>
      <c r="C39" s="229">
        <f t="shared" si="89"/>
        <v>97.016333282059421</v>
      </c>
      <c r="D39" s="229">
        <f t="shared" si="100"/>
        <v>17.920573344830352</v>
      </c>
      <c r="E39" s="166">
        <f>B39*TAN(RADIANS(D39-2.5))</f>
        <v>82.749673405139603</v>
      </c>
      <c r="F39" s="166">
        <f>LOG(E39/101)</f>
        <v>-8.6555085396826895E-2</v>
      </c>
      <c r="G39" s="166">
        <f>LOG(B39/101)</f>
        <v>0.47279988093701986</v>
      </c>
      <c r="H39" s="166">
        <f t="shared" si="108"/>
        <v>-0.30929109543783073</v>
      </c>
      <c r="I39" s="166">
        <f t="shared" si="108"/>
        <v>-0.73647665818194741</v>
      </c>
      <c r="J39" s="166">
        <f>(G39-H39)*(F39-I39)</f>
        <v>0.50829779742659342</v>
      </c>
      <c r="K39" s="301">
        <f>(G39-H39)^2</f>
        <v>0.61166629532696715</v>
      </c>
      <c r="L39" s="292"/>
      <c r="M39" s="231">
        <v>300</v>
      </c>
      <c r="N39" s="232">
        <f t="shared" si="94"/>
        <v>86.644328479261361</v>
      </c>
      <c r="O39" s="232">
        <f t="shared" si="101"/>
        <v>16.109480499466244</v>
      </c>
      <c r="P39" s="166">
        <f t="shared" si="102"/>
        <v>72.630185485309511</v>
      </c>
      <c r="Q39" s="166">
        <f t="shared" si="103"/>
        <v>-0.14320422050458015</v>
      </c>
      <c r="R39" s="166">
        <f t="shared" si="104"/>
        <v>0.47279988093701986</v>
      </c>
      <c r="S39" s="166">
        <f t="shared" ref="S39:T39" si="110">S38</f>
        <v>-0.30929109543783073</v>
      </c>
      <c r="T39" s="166">
        <f t="shared" si="110"/>
        <v>-0.77398736764805465</v>
      </c>
      <c r="U39" s="166">
        <f t="shared" si="105"/>
        <v>0.49332980743024102</v>
      </c>
      <c r="V39" s="301">
        <f t="shared" si="106"/>
        <v>0.61166629532696715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21" hidden="1" customHeight="1" x14ac:dyDescent="0.3">
      <c r="A40" s="2"/>
      <c r="B40" s="228">
        <v>400</v>
      </c>
      <c r="C40" s="229">
        <f t="shared" si="89"/>
        <v>123.78159289925037</v>
      </c>
      <c r="D40" s="229">
        <f t="shared" si="100"/>
        <v>17.194890125994032</v>
      </c>
      <c r="E40" s="166">
        <f>B40*TAN(RADIANS(D40-2.5))</f>
        <v>104.89990756161714</v>
      </c>
      <c r="F40" s="166">
        <f>LOG(E40/101)</f>
        <v>1.6453731708367347E-2</v>
      </c>
      <c r="G40" s="166">
        <f>LOG(B40/101)</f>
        <v>0.59773861754531976</v>
      </c>
      <c r="H40" s="166">
        <f t="shared" si="108"/>
        <v>-0.30929109543783073</v>
      </c>
      <c r="I40" s="166">
        <f t="shared" si="108"/>
        <v>-0.73647665818194741</v>
      </c>
      <c r="J40" s="166">
        <f>(G40-H40)*(F40-I40)</f>
        <v>0.68293023543850384</v>
      </c>
      <c r="K40" s="301">
        <f>(G40-H40)^2</f>
        <v>0.82270290023429637</v>
      </c>
      <c r="L40" s="134"/>
      <c r="M40" s="231">
        <v>400</v>
      </c>
      <c r="N40" s="232">
        <f t="shared" si="94"/>
        <v>109.91388941232316</v>
      </c>
      <c r="O40" s="232">
        <f t="shared" si="101"/>
        <v>15.364783393525956</v>
      </c>
      <c r="P40" s="166">
        <f t="shared" si="102"/>
        <v>91.353511275354137</v>
      </c>
      <c r="Q40" s="166">
        <f t="shared" si="103"/>
        <v>-4.3596129174499607E-2</v>
      </c>
      <c r="R40" s="166">
        <f t="shared" si="104"/>
        <v>0.59773861754531976</v>
      </c>
      <c r="S40" s="166">
        <f t="shared" ref="S40:T40" si="111">S39</f>
        <v>-0.30929109543783073</v>
      </c>
      <c r="T40" s="166">
        <f t="shared" si="111"/>
        <v>-0.77398736764805465</v>
      </c>
      <c r="U40" s="166">
        <f t="shared" si="105"/>
        <v>0.66248655539807644</v>
      </c>
      <c r="V40" s="301">
        <f t="shared" si="106"/>
        <v>0.82270290023429637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21" hidden="1" customHeight="1" x14ac:dyDescent="0.35">
      <c r="A41" s="2"/>
      <c r="B41" s="132"/>
      <c r="C41" s="163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8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409"/>
      <c r="K42" s="410"/>
      <c r="L42" s="410"/>
      <c r="M42" s="410"/>
      <c r="N42" s="410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8.899999999999999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132"/>
      <c r="K43" s="454" t="s">
        <v>110</v>
      </c>
      <c r="L43" s="455"/>
      <c r="M43" s="455"/>
      <c r="N43" s="456"/>
      <c r="O43" s="2"/>
      <c r="P43" s="386" t="s">
        <v>91</v>
      </c>
      <c r="Q43" s="387"/>
      <c r="R43" s="387"/>
      <c r="S43" s="388"/>
      <c r="T43" s="230"/>
      <c r="U43" s="490" t="s">
        <v>101</v>
      </c>
      <c r="V43" s="491"/>
      <c r="W43" s="491"/>
      <c r="X43" s="492"/>
      <c r="Y43" s="230"/>
      <c r="Z43" s="487" t="s">
        <v>102</v>
      </c>
      <c r="AA43" s="488"/>
      <c r="AB43" s="488"/>
      <c r="AC43" s="489"/>
      <c r="AD43" s="230"/>
      <c r="AE43" s="472" t="s">
        <v>103</v>
      </c>
      <c r="AF43" s="473"/>
      <c r="AG43" s="473"/>
      <c r="AH43" s="474"/>
      <c r="AI43" s="2"/>
    </row>
    <row r="44" spans="1:35" ht="18.899999999999999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132"/>
      <c r="K44" s="455"/>
      <c r="L44" s="455"/>
      <c r="M44" s="455"/>
      <c r="N44" s="456"/>
      <c r="O44" s="2"/>
      <c r="P44" s="387"/>
      <c r="Q44" s="387"/>
      <c r="R44" s="387"/>
      <c r="S44" s="388"/>
      <c r="T44" s="230"/>
      <c r="U44" s="491"/>
      <c r="V44" s="491"/>
      <c r="W44" s="491"/>
      <c r="X44" s="492"/>
      <c r="Y44" s="230"/>
      <c r="Z44" s="488"/>
      <c r="AA44" s="488"/>
      <c r="AB44" s="488"/>
      <c r="AC44" s="489"/>
      <c r="AD44" s="230"/>
      <c r="AE44" s="473"/>
      <c r="AF44" s="473"/>
      <c r="AG44" s="473"/>
      <c r="AH44" s="474"/>
      <c r="AI44" s="2"/>
    </row>
    <row r="45" spans="1:35" ht="18.899999999999999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132"/>
      <c r="K45" s="334" t="s">
        <v>31</v>
      </c>
      <c r="L45" s="335"/>
      <c r="M45" s="175"/>
      <c r="N45" s="165"/>
      <c r="O45" s="2"/>
      <c r="P45" s="334" t="s">
        <v>31</v>
      </c>
      <c r="Q45" s="335"/>
      <c r="R45" s="175"/>
      <c r="S45" s="165"/>
      <c r="T45" s="2"/>
      <c r="U45" s="334" t="s">
        <v>31</v>
      </c>
      <c r="V45" s="335"/>
      <c r="W45" s="175"/>
      <c r="X45" s="165"/>
      <c r="Y45" s="2"/>
      <c r="Z45" s="334" t="s">
        <v>31</v>
      </c>
      <c r="AA45" s="335"/>
      <c r="AB45" s="175"/>
      <c r="AC45" s="165"/>
      <c r="AD45" s="2"/>
      <c r="AE45" s="334" t="s">
        <v>31</v>
      </c>
      <c r="AF45" s="335"/>
      <c r="AG45" s="175"/>
      <c r="AH45" s="165"/>
      <c r="AI45" s="2"/>
    </row>
    <row r="46" spans="1:35" ht="18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132"/>
      <c r="K46" s="94" t="s">
        <v>32</v>
      </c>
      <c r="L46" s="94" t="s">
        <v>33</v>
      </c>
      <c r="M46" s="164"/>
      <c r="N46" s="165"/>
      <c r="O46" s="2"/>
      <c r="P46" s="94" t="s">
        <v>32</v>
      </c>
      <c r="Q46" s="94" t="s">
        <v>33</v>
      </c>
      <c r="R46" s="164"/>
      <c r="S46" s="165"/>
      <c r="T46" s="2"/>
      <c r="U46" s="94" t="s">
        <v>32</v>
      </c>
      <c r="V46" s="94" t="s">
        <v>33</v>
      </c>
      <c r="W46" s="164"/>
      <c r="X46" s="165"/>
      <c r="Y46" s="2"/>
      <c r="Z46" s="94" t="s">
        <v>32</v>
      </c>
      <c r="AA46" s="94" t="s">
        <v>33</v>
      </c>
      <c r="AB46" s="164"/>
      <c r="AC46" s="165"/>
      <c r="AD46" s="2"/>
      <c r="AE46" s="94" t="s">
        <v>32</v>
      </c>
      <c r="AF46" s="94" t="s">
        <v>33</v>
      </c>
      <c r="AG46" s="164"/>
      <c r="AH46" s="165"/>
      <c r="AI46" s="2"/>
    </row>
    <row r="47" spans="1:35" ht="20.100000000000001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132"/>
      <c r="K47" s="526">
        <f>AG18</f>
        <v>0.42893852005592886</v>
      </c>
      <c r="L47" s="526">
        <f>AF18</f>
        <v>0.90031765993591117</v>
      </c>
      <c r="M47" s="164"/>
      <c r="N47" s="176"/>
      <c r="O47" s="2"/>
      <c r="P47" s="526">
        <f>K18</f>
        <v>0.39667834482975745</v>
      </c>
      <c r="Q47" s="526">
        <f>J18</f>
        <v>0.8780616091877288</v>
      </c>
      <c r="R47" s="164"/>
      <c r="S47" s="176"/>
      <c r="T47" s="2"/>
      <c r="U47" s="526">
        <f>V18</f>
        <v>0.3642961158039873</v>
      </c>
      <c r="V47" s="526">
        <f>U18</f>
        <v>0.85534391219625883</v>
      </c>
      <c r="W47" s="164"/>
      <c r="X47" s="176"/>
      <c r="Y47" s="2"/>
      <c r="Z47" s="526">
        <f>K31</f>
        <v>0.33179119233534604</v>
      </c>
      <c r="AA47" s="526">
        <f>J31</f>
        <v>0.83203659957268516</v>
      </c>
      <c r="AB47" s="164"/>
      <c r="AC47" s="176"/>
      <c r="AD47" s="2"/>
      <c r="AE47" s="526">
        <f>V31</f>
        <v>0.29916209406447536</v>
      </c>
      <c r="AF47" s="526">
        <f>U31</f>
        <v>0.80795708591555926</v>
      </c>
      <c r="AG47" s="164"/>
      <c r="AH47" s="176"/>
      <c r="AI47" s="2"/>
    </row>
    <row r="48" spans="1:35" ht="18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132"/>
      <c r="K48" s="177" t="s">
        <v>34</v>
      </c>
      <c r="L48" s="96" t="s">
        <v>35</v>
      </c>
      <c r="M48" s="178" t="s">
        <v>36</v>
      </c>
      <c r="N48" s="96" t="s">
        <v>79</v>
      </c>
      <c r="O48" s="2"/>
      <c r="P48" s="177" t="s">
        <v>34</v>
      </c>
      <c r="Q48" s="96" t="s">
        <v>35</v>
      </c>
      <c r="R48" s="178" t="s">
        <v>36</v>
      </c>
      <c r="S48" s="96" t="s">
        <v>79</v>
      </c>
      <c r="T48" s="2"/>
      <c r="U48" s="177" t="s">
        <v>34</v>
      </c>
      <c r="V48" s="96" t="s">
        <v>35</v>
      </c>
      <c r="W48" s="178" t="s">
        <v>36</v>
      </c>
      <c r="X48" s="96" t="s">
        <v>79</v>
      </c>
      <c r="Y48" s="2"/>
      <c r="Z48" s="177" t="s">
        <v>34</v>
      </c>
      <c r="AA48" s="96" t="s">
        <v>35</v>
      </c>
      <c r="AB48" s="178" t="s">
        <v>36</v>
      </c>
      <c r="AC48" s="96" t="s">
        <v>79</v>
      </c>
      <c r="AD48" s="2"/>
      <c r="AE48" s="177" t="s">
        <v>34</v>
      </c>
      <c r="AF48" s="96" t="s">
        <v>35</v>
      </c>
      <c r="AG48" s="178" t="s">
        <v>36</v>
      </c>
      <c r="AH48" s="96" t="s">
        <v>79</v>
      </c>
      <c r="AI48" s="2"/>
    </row>
    <row r="49" spans="1:36" ht="22.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132"/>
      <c r="K49" s="317">
        <v>0</v>
      </c>
      <c r="L49" s="318">
        <v>0</v>
      </c>
      <c r="M49" s="318">
        <v>0</v>
      </c>
      <c r="N49" s="318">
        <f>L49*20.89</f>
        <v>0</v>
      </c>
      <c r="O49" s="2"/>
      <c r="P49" s="228">
        <v>0</v>
      </c>
      <c r="Q49" s="229">
        <v>0</v>
      </c>
      <c r="R49" s="229">
        <v>0</v>
      </c>
      <c r="S49" s="229">
        <f>Q49*20.89</f>
        <v>0</v>
      </c>
      <c r="T49" s="279"/>
      <c r="U49" s="231">
        <v>0</v>
      </c>
      <c r="V49" s="232">
        <v>0</v>
      </c>
      <c r="W49" s="232">
        <v>0</v>
      </c>
      <c r="X49" s="232">
        <f>V49*20.89</f>
        <v>0</v>
      </c>
      <c r="Y49" s="279"/>
      <c r="Z49" s="233">
        <v>0</v>
      </c>
      <c r="AA49" s="234">
        <v>0</v>
      </c>
      <c r="AB49" s="234">
        <v>0</v>
      </c>
      <c r="AC49" s="234">
        <f>AA49*20.89</f>
        <v>0</v>
      </c>
      <c r="AD49" s="279"/>
      <c r="AE49" s="235">
        <v>0</v>
      </c>
      <c r="AF49" s="236">
        <v>0</v>
      </c>
      <c r="AG49" s="236">
        <v>0</v>
      </c>
      <c r="AH49" s="236">
        <f>AF49*20.89</f>
        <v>0</v>
      </c>
      <c r="AI49" s="2"/>
      <c r="AJ49" s="302"/>
    </row>
    <row r="50" spans="1:36" ht="20.10000000000000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132"/>
      <c r="K50" s="317">
        <v>5</v>
      </c>
      <c r="L50" s="318">
        <f t="shared" ref="L50:L57" si="112">K$47*101*(K50/101)^L$47</f>
        <v>2.893913411383255</v>
      </c>
      <c r="M50" s="318">
        <f>Z19-2.5</f>
        <v>30.024893100127571</v>
      </c>
      <c r="N50" s="318">
        <f t="shared" ref="N50:N57" si="113">L50*20.89</f>
        <v>60.453851163796195</v>
      </c>
      <c r="O50" s="2"/>
      <c r="P50" s="228">
        <v>5</v>
      </c>
      <c r="Q50" s="229">
        <f t="shared" ref="Q50:Q57" si="114">P$47*101*(P50/101)^Q$47</f>
        <v>2.8614156110600932</v>
      </c>
      <c r="R50" s="229">
        <f>D19-2.5</f>
        <v>29.725773505679463</v>
      </c>
      <c r="S50" s="229">
        <f t="shared" ref="S50:S57" si="115">Q50*20.89</f>
        <v>59.774972115045351</v>
      </c>
      <c r="T50" s="279"/>
      <c r="U50" s="231">
        <v>5</v>
      </c>
      <c r="V50" s="232">
        <f t="shared" ref="V50:V57" si="116">U$47*101*(U50/101)^V$47</f>
        <v>2.8135301107192503</v>
      </c>
      <c r="W50" s="232">
        <f>O19-2.5</f>
        <v>29.285996766254218</v>
      </c>
      <c r="X50" s="232">
        <f t="shared" ref="X50:X57" si="117">V50*20.89</f>
        <v>58.774644012925137</v>
      </c>
      <c r="Y50" s="279"/>
      <c r="Z50" s="233">
        <v>5</v>
      </c>
      <c r="AA50" s="234">
        <f t="shared" ref="AA50:AA57" si="118">Z$47*101*(Z50/101)^AA$47</f>
        <v>2.7484390616960663</v>
      </c>
      <c r="AB50" s="234">
        <f>D32-2.5</f>
        <v>28.6853168915436</v>
      </c>
      <c r="AC50" s="234">
        <f t="shared" ref="AC50:AC57" si="119">AA50*20.89</f>
        <v>57.414891998830825</v>
      </c>
      <c r="AD50" s="279"/>
      <c r="AE50" s="235">
        <v>5</v>
      </c>
      <c r="AF50" s="236">
        <f t="shared" ref="AF50:AF57" si="120">AE$47*101*(AE50/101)^AF$47</f>
        <v>2.6641584435819903</v>
      </c>
      <c r="AG50" s="236">
        <f>O32-2.5</f>
        <v>27.899706063397037</v>
      </c>
      <c r="AH50" s="236">
        <f t="shared" ref="AH50:AH57" si="121">AF50*20.89</f>
        <v>55.654269886427777</v>
      </c>
      <c r="AI50" s="2"/>
      <c r="AJ50" s="302"/>
    </row>
    <row r="51" spans="1:36" ht="20.100000000000001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132"/>
      <c r="K51" s="317">
        <v>10</v>
      </c>
      <c r="L51" s="318">
        <f t="shared" si="112"/>
        <v>5.4014225567240883</v>
      </c>
      <c r="M51" s="318">
        <f>Z20-2.5</f>
        <v>28.37233383507488</v>
      </c>
      <c r="N51" s="318">
        <f t="shared" si="113"/>
        <v>112.83571720996621</v>
      </c>
      <c r="O51" s="2"/>
      <c r="P51" s="228">
        <v>10</v>
      </c>
      <c r="Q51" s="229">
        <f t="shared" si="114"/>
        <v>5.2590079170959187</v>
      </c>
      <c r="R51" s="229">
        <f>D20-2.5</f>
        <v>27.735091652118012</v>
      </c>
      <c r="S51" s="229">
        <f t="shared" si="115"/>
        <v>109.86067538813374</v>
      </c>
      <c r="T51" s="279"/>
      <c r="U51" s="231">
        <v>10</v>
      </c>
      <c r="V51" s="232">
        <f t="shared" si="116"/>
        <v>5.090210489329019</v>
      </c>
      <c r="W51" s="232">
        <f>O20-2.5</f>
        <v>26.969779314643429</v>
      </c>
      <c r="X51" s="232">
        <f t="shared" si="117"/>
        <v>106.33449712208321</v>
      </c>
      <c r="Y51" s="279"/>
      <c r="Z51" s="233">
        <v>10</v>
      </c>
      <c r="AA51" s="234">
        <f t="shared" si="118"/>
        <v>4.8927619486461165</v>
      </c>
      <c r="AB51" s="234">
        <f>D33-2.5</f>
        <v>26.060865343554028</v>
      </c>
      <c r="AC51" s="234">
        <f t="shared" si="119"/>
        <v>102.20979710721737</v>
      </c>
      <c r="AD51" s="279"/>
      <c r="AE51" s="235">
        <v>10</v>
      </c>
      <c r="AF51" s="236">
        <f t="shared" si="120"/>
        <v>4.6642236618681521</v>
      </c>
      <c r="AG51" s="236">
        <f>O33-2.5</f>
        <v>24.990537921077234</v>
      </c>
      <c r="AH51" s="236">
        <f t="shared" si="121"/>
        <v>97.435632296425695</v>
      </c>
      <c r="AI51" s="2"/>
      <c r="AJ51" s="302"/>
    </row>
    <row r="52" spans="1:36" ht="20.100000000000001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132"/>
      <c r="K52" s="317">
        <v>25</v>
      </c>
      <c r="L52" s="318">
        <f t="shared" si="112"/>
        <v>12.324819599315196</v>
      </c>
      <c r="M52" s="318">
        <f t="shared" ref="M52:M57" si="122">Z22-2.5</f>
        <v>26.264588212533457</v>
      </c>
      <c r="N52" s="318">
        <f t="shared" si="113"/>
        <v>257.46548142969448</v>
      </c>
      <c r="O52" s="2"/>
      <c r="P52" s="228">
        <v>25</v>
      </c>
      <c r="Q52" s="229">
        <f t="shared" si="114"/>
        <v>11.757626743238093</v>
      </c>
      <c r="R52" s="229">
        <f t="shared" ref="R52:R57" si="123">D22-2.5</f>
        <v>25.220140350790391</v>
      </c>
      <c r="S52" s="229">
        <f t="shared" si="115"/>
        <v>245.61682266624379</v>
      </c>
      <c r="T52" s="279"/>
      <c r="U52" s="231">
        <v>25</v>
      </c>
      <c r="V52" s="232">
        <f t="shared" si="116"/>
        <v>11.145801529104981</v>
      </c>
      <c r="W52" s="232">
        <f t="shared" ref="W52:W57" si="124">O22-2.5</f>
        <v>24.074206734320853</v>
      </c>
      <c r="X52" s="232">
        <f t="shared" si="117"/>
        <v>232.83579394300307</v>
      </c>
      <c r="Y52" s="279"/>
      <c r="Z52" s="233">
        <v>25</v>
      </c>
      <c r="AA52" s="234">
        <f t="shared" si="118"/>
        <v>10.487083787571601</v>
      </c>
      <c r="AB52" s="234">
        <f t="shared" ref="AB52:AB57" si="125">D35-2.5</f>
        <v>22.818227604283742</v>
      </c>
      <c r="AC52" s="234">
        <f t="shared" si="119"/>
        <v>219.07518032237076</v>
      </c>
      <c r="AD52" s="279"/>
      <c r="AE52" s="235">
        <v>25</v>
      </c>
      <c r="AF52" s="236">
        <f t="shared" si="120"/>
        <v>9.7790759155589217</v>
      </c>
      <c r="AG52" s="236">
        <f t="shared" ref="AG52:AG57" si="126">O35-2.5</f>
        <v>21.443034110304133</v>
      </c>
      <c r="AH52" s="236">
        <f t="shared" si="121"/>
        <v>204.28489587602587</v>
      </c>
      <c r="AI52" s="2"/>
      <c r="AJ52" s="302"/>
    </row>
    <row r="53" spans="1:36" ht="20.100000000000001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132"/>
      <c r="K53" s="317">
        <v>50</v>
      </c>
      <c r="L53" s="318">
        <f t="shared" si="112"/>
        <v>23.003991180052573</v>
      </c>
      <c r="M53" s="318">
        <f t="shared" si="122"/>
        <v>24.73242296217845</v>
      </c>
      <c r="N53" s="318">
        <f t="shared" si="113"/>
        <v>480.55337575129823</v>
      </c>
      <c r="O53" s="2"/>
      <c r="P53" s="228">
        <v>50</v>
      </c>
      <c r="Q53" s="229">
        <f t="shared" si="114"/>
        <v>21.609392179851795</v>
      </c>
      <c r="R53" s="229">
        <f t="shared" si="123"/>
        <v>23.412414539984063</v>
      </c>
      <c r="S53" s="229">
        <f t="shared" si="115"/>
        <v>451.42020263710401</v>
      </c>
      <c r="T53" s="279"/>
      <c r="U53" s="231">
        <v>50</v>
      </c>
      <c r="V53" s="232">
        <f t="shared" si="116"/>
        <v>20.164872463698632</v>
      </c>
      <c r="W53" s="232">
        <f t="shared" si="124"/>
        <v>22.018612877449982</v>
      </c>
      <c r="X53" s="232">
        <f t="shared" si="117"/>
        <v>421.24418576666443</v>
      </c>
      <c r="Y53" s="279"/>
      <c r="Z53" s="233">
        <v>50</v>
      </c>
      <c r="AA53" s="234">
        <f t="shared" si="118"/>
        <v>18.669071191423807</v>
      </c>
      <c r="AB53" s="234">
        <f t="shared" si="125"/>
        <v>20.547627676132571</v>
      </c>
      <c r="AC53" s="234">
        <f t="shared" si="119"/>
        <v>389.99689718884332</v>
      </c>
      <c r="AD53" s="279"/>
      <c r="AE53" s="235">
        <v>50</v>
      </c>
      <c r="AF53" s="236">
        <f t="shared" si="120"/>
        <v>17.120527266850285</v>
      </c>
      <c r="AG53" s="236">
        <f t="shared" si="126"/>
        <v>18.99620480307382</v>
      </c>
      <c r="AH53" s="236">
        <f t="shared" si="121"/>
        <v>357.64781460450246</v>
      </c>
      <c r="AI53" s="2"/>
      <c r="AJ53" s="302"/>
    </row>
    <row r="54" spans="1:36" ht="20.100000000000001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132"/>
      <c r="K54" s="317">
        <v>100</v>
      </c>
      <c r="L54" s="318">
        <f t="shared" si="112"/>
        <v>42.936418334377841</v>
      </c>
      <c r="M54" s="318">
        <f t="shared" si="122"/>
        <v>23.256618066993262</v>
      </c>
      <c r="N54" s="318">
        <f t="shared" si="113"/>
        <v>896.94177900515308</v>
      </c>
      <c r="O54" s="2"/>
      <c r="P54" s="228">
        <v>100</v>
      </c>
      <c r="Q54" s="229">
        <f t="shared" si="114"/>
        <v>39.715993761342673</v>
      </c>
      <c r="R54" s="229">
        <f t="shared" si="123"/>
        <v>21.690108341120954</v>
      </c>
      <c r="S54" s="229">
        <f t="shared" si="115"/>
        <v>829.66710967444851</v>
      </c>
      <c r="T54" s="279"/>
      <c r="U54" s="231">
        <v>100</v>
      </c>
      <c r="V54" s="232">
        <f t="shared" si="116"/>
        <v>36.482085242180304</v>
      </c>
      <c r="W54" s="232">
        <f t="shared" si="124"/>
        <v>20.083513108771893</v>
      </c>
      <c r="X54" s="232">
        <f t="shared" si="117"/>
        <v>762.11076070914658</v>
      </c>
      <c r="Y54" s="279"/>
      <c r="Z54" s="233">
        <v>100</v>
      </c>
      <c r="AA54" s="234">
        <f t="shared" si="118"/>
        <v>33.234617574382646</v>
      </c>
      <c r="AB54" s="234">
        <f t="shared" si="125"/>
        <v>18.437891105481722</v>
      </c>
      <c r="AC54" s="234">
        <f t="shared" si="119"/>
        <v>694.27116112885346</v>
      </c>
      <c r="AD54" s="279"/>
      <c r="AE54" s="235">
        <v>100</v>
      </c>
      <c r="AF54" s="236">
        <f t="shared" si="120"/>
        <v>29.973430662155902</v>
      </c>
      <c r="AG54" s="236">
        <f t="shared" si="126"/>
        <v>16.754625315639661</v>
      </c>
      <c r="AH54" s="236">
        <f t="shared" si="121"/>
        <v>626.1449665324368</v>
      </c>
      <c r="AI54" s="2"/>
      <c r="AJ54" s="302"/>
    </row>
    <row r="55" spans="1:36" ht="20.100000000000001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132"/>
      <c r="K55" s="317">
        <v>200</v>
      </c>
      <c r="L55" s="318">
        <f t="shared" si="112"/>
        <v>80.139833342628023</v>
      </c>
      <c r="M55" s="318">
        <f t="shared" si="122"/>
        <v>21.838868593909204</v>
      </c>
      <c r="N55" s="318">
        <f t="shared" si="113"/>
        <v>1674.1211185274994</v>
      </c>
      <c r="O55" s="2"/>
      <c r="P55" s="228">
        <v>200</v>
      </c>
      <c r="Q55" s="229">
        <f t="shared" si="114"/>
        <v>72.994193789574169</v>
      </c>
      <c r="R55" s="229">
        <f t="shared" si="123"/>
        <v>20.055109048856966</v>
      </c>
      <c r="S55" s="229">
        <f t="shared" si="115"/>
        <v>1524.8487082642043</v>
      </c>
      <c r="T55" s="279"/>
      <c r="U55" s="231">
        <v>200</v>
      </c>
      <c r="V55" s="232">
        <f t="shared" si="116"/>
        <v>66.003023129142505</v>
      </c>
      <c r="W55" s="232">
        <f t="shared" si="124"/>
        <v>18.270146659777783</v>
      </c>
      <c r="X55" s="232">
        <f t="shared" si="117"/>
        <v>1378.8031531677871</v>
      </c>
      <c r="Y55" s="279"/>
      <c r="Z55" s="233">
        <v>200</v>
      </c>
      <c r="AA55" s="234">
        <f t="shared" si="118"/>
        <v>59.164154123685954</v>
      </c>
      <c r="AB55" s="234">
        <f t="shared" si="125"/>
        <v>16.488245341938846</v>
      </c>
      <c r="AC55" s="234">
        <f t="shared" si="119"/>
        <v>1235.9391796437997</v>
      </c>
      <c r="AD55" s="279"/>
      <c r="AE55" s="235">
        <v>200</v>
      </c>
      <c r="AF55" s="236">
        <f t="shared" si="120"/>
        <v>52.475401700893414</v>
      </c>
      <c r="AG55" s="236">
        <f t="shared" si="126"/>
        <v>14.713653542845737</v>
      </c>
      <c r="AH55" s="236">
        <f t="shared" si="121"/>
        <v>1096.2111415316635</v>
      </c>
      <c r="AI55" s="2"/>
      <c r="AJ55" s="302"/>
    </row>
    <row r="56" spans="1:36" ht="20.100000000000001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132"/>
      <c r="K56" s="317">
        <v>300</v>
      </c>
      <c r="L56" s="318">
        <f t="shared" si="112"/>
        <v>115.44802433780038</v>
      </c>
      <c r="M56" s="318">
        <f t="shared" si="122"/>
        <v>21.036895266354165</v>
      </c>
      <c r="N56" s="318">
        <f t="shared" si="113"/>
        <v>2411.7092284166501</v>
      </c>
      <c r="O56" s="2"/>
      <c r="P56" s="228">
        <v>300</v>
      </c>
      <c r="Q56" s="229">
        <f t="shared" si="114"/>
        <v>104.20949480642383</v>
      </c>
      <c r="R56" s="229">
        <f t="shared" si="123"/>
        <v>19.139466011997943</v>
      </c>
      <c r="S56" s="229">
        <f t="shared" si="115"/>
        <v>2176.9363465061938</v>
      </c>
      <c r="T56" s="279"/>
      <c r="U56" s="231">
        <v>300</v>
      </c>
      <c r="V56" s="232">
        <f t="shared" si="116"/>
        <v>93.364637289041127</v>
      </c>
      <c r="W56" s="232">
        <f t="shared" si="124"/>
        <v>17.265561761301736</v>
      </c>
      <c r="X56" s="232">
        <f t="shared" si="117"/>
        <v>1950.3872729680693</v>
      </c>
      <c r="Y56" s="279"/>
      <c r="Z56" s="233">
        <v>300</v>
      </c>
      <c r="AA56" s="234">
        <f t="shared" si="118"/>
        <v>82.903531738330273</v>
      </c>
      <c r="AB56" s="234">
        <f t="shared" si="125"/>
        <v>15.420573344830352</v>
      </c>
      <c r="AC56" s="234">
        <f t="shared" si="119"/>
        <v>1731.8547780137194</v>
      </c>
      <c r="AD56" s="279"/>
      <c r="AE56" s="235">
        <v>300</v>
      </c>
      <c r="AF56" s="236">
        <f t="shared" si="120"/>
        <v>72.816525491775565</v>
      </c>
      <c r="AG56" s="236">
        <f t="shared" si="126"/>
        <v>13.609480499466244</v>
      </c>
      <c r="AH56" s="236">
        <f t="shared" si="121"/>
        <v>1521.1372175231916</v>
      </c>
      <c r="AI56" s="2"/>
      <c r="AJ56" s="302"/>
    </row>
    <row r="57" spans="1:36" ht="20.100000000000001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132"/>
      <c r="K57" s="317">
        <v>400</v>
      </c>
      <c r="L57" s="318">
        <f t="shared" si="112"/>
        <v>149.57914836231191</v>
      </c>
      <c r="M57" s="318">
        <f t="shared" si="122"/>
        <v>20.480223626821253</v>
      </c>
      <c r="N57" s="318">
        <f t="shared" si="113"/>
        <v>3124.7084092886957</v>
      </c>
      <c r="O57" s="2"/>
      <c r="P57" s="228">
        <v>400</v>
      </c>
      <c r="Q57" s="229">
        <f t="shared" si="114"/>
        <v>134.15633910628799</v>
      </c>
      <c r="R57" s="229">
        <f t="shared" si="123"/>
        <v>18.508042668063116</v>
      </c>
      <c r="S57" s="229">
        <f t="shared" si="115"/>
        <v>2802.5259239303559</v>
      </c>
      <c r="T57" s="279"/>
      <c r="U57" s="231">
        <v>400</v>
      </c>
      <c r="V57" s="232">
        <f t="shared" si="116"/>
        <v>119.41200820257075</v>
      </c>
      <c r="W57" s="232">
        <f t="shared" si="124"/>
        <v>16.577661391109523</v>
      </c>
      <c r="X57" s="232">
        <f t="shared" si="117"/>
        <v>2494.5168513517028</v>
      </c>
      <c r="Y57" s="279"/>
      <c r="Z57" s="233">
        <v>400</v>
      </c>
      <c r="AA57" s="234">
        <f t="shared" si="118"/>
        <v>105.32382764257784</v>
      </c>
      <c r="AB57" s="234">
        <f t="shared" si="125"/>
        <v>14.694890125994032</v>
      </c>
      <c r="AC57" s="234">
        <f t="shared" si="119"/>
        <v>2200.2147594534513</v>
      </c>
      <c r="AD57" s="279"/>
      <c r="AE57" s="235">
        <v>400</v>
      </c>
      <c r="AF57" s="236">
        <f t="shared" si="120"/>
        <v>91.870290548584933</v>
      </c>
      <c r="AG57" s="236">
        <f t="shared" si="126"/>
        <v>12.864783393525956</v>
      </c>
      <c r="AH57" s="236">
        <f t="shared" si="121"/>
        <v>1919.1703695599392</v>
      </c>
      <c r="AI57" s="2"/>
      <c r="AJ57" s="302"/>
    </row>
    <row r="58" spans="1:36" ht="21" customHeight="1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13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302"/>
    </row>
    <row r="59" spans="1:36" ht="20.100000000000001" customHeight="1" x14ac:dyDescent="0.3">
      <c r="A59" s="2"/>
      <c r="B59" s="132"/>
      <c r="C59" s="132"/>
      <c r="D59" s="132"/>
      <c r="E59" s="132"/>
      <c r="F59" s="132"/>
      <c r="G59" s="2"/>
      <c r="H59" s="2"/>
      <c r="I59" s="2"/>
      <c r="J59" s="132"/>
      <c r="K59" s="457" t="s">
        <v>111</v>
      </c>
      <c r="L59" s="458"/>
      <c r="M59" s="458"/>
      <c r="N59" s="459"/>
      <c r="O59" s="2"/>
      <c r="P59" s="463" t="s">
        <v>92</v>
      </c>
      <c r="Q59" s="518"/>
      <c r="R59" s="518"/>
      <c r="S59" s="519"/>
      <c r="T59" s="2"/>
      <c r="U59" s="493" t="s">
        <v>106</v>
      </c>
      <c r="V59" s="494"/>
      <c r="W59" s="494"/>
      <c r="X59" s="495"/>
      <c r="Y59" s="132"/>
      <c r="Z59" s="475" t="s">
        <v>105</v>
      </c>
      <c r="AA59" s="476"/>
      <c r="AB59" s="476"/>
      <c r="AC59" s="477"/>
      <c r="AD59" s="132"/>
      <c r="AE59" s="481" t="s">
        <v>104</v>
      </c>
      <c r="AF59" s="482"/>
      <c r="AG59" s="482"/>
      <c r="AH59" s="483"/>
      <c r="AI59" s="2"/>
    </row>
    <row r="60" spans="1:36" ht="22.5" customHeight="1" thickBot="1" x14ac:dyDescent="0.35">
      <c r="A60" s="2"/>
      <c r="B60" s="132"/>
      <c r="C60" s="2"/>
      <c r="D60" s="2"/>
      <c r="E60" s="2"/>
      <c r="F60" s="2"/>
      <c r="G60" s="2"/>
      <c r="H60" s="100"/>
      <c r="I60" s="2"/>
      <c r="J60" s="132"/>
      <c r="K60" s="460"/>
      <c r="L60" s="461"/>
      <c r="M60" s="461"/>
      <c r="N60" s="462"/>
      <c r="O60" s="2"/>
      <c r="P60" s="520"/>
      <c r="Q60" s="521"/>
      <c r="R60" s="521"/>
      <c r="S60" s="522"/>
      <c r="T60" s="2"/>
      <c r="U60" s="496"/>
      <c r="V60" s="497"/>
      <c r="W60" s="497"/>
      <c r="X60" s="498"/>
      <c r="Y60" s="132"/>
      <c r="Z60" s="478"/>
      <c r="AA60" s="479"/>
      <c r="AB60" s="479"/>
      <c r="AC60" s="480"/>
      <c r="AD60" s="132"/>
      <c r="AE60" s="484"/>
      <c r="AF60" s="485"/>
      <c r="AG60" s="485"/>
      <c r="AH60" s="486"/>
      <c r="AI60" s="2"/>
    </row>
    <row r="61" spans="1:36" ht="19.350000000000001" customHeight="1" x14ac:dyDescent="0.3">
      <c r="A61" s="2"/>
      <c r="B61" s="132"/>
      <c r="C61" s="2"/>
      <c r="D61" s="2"/>
      <c r="E61" s="2"/>
      <c r="F61" s="2"/>
      <c r="G61" s="2"/>
      <c r="H61" s="103"/>
      <c r="I61" s="2"/>
      <c r="J61" s="132"/>
      <c r="K61" s="523" t="s">
        <v>31</v>
      </c>
      <c r="L61" s="524"/>
      <c r="M61" s="148"/>
      <c r="N61" s="149"/>
      <c r="O61" s="2"/>
      <c r="P61" s="523" t="s">
        <v>31</v>
      </c>
      <c r="Q61" s="524"/>
      <c r="R61" s="148"/>
      <c r="S61" s="149"/>
      <c r="T61" s="2"/>
      <c r="U61" s="523" t="s">
        <v>31</v>
      </c>
      <c r="V61" s="524"/>
      <c r="W61" s="148"/>
      <c r="X61" s="149"/>
      <c r="Y61" s="2"/>
      <c r="Z61" s="523" t="s">
        <v>31</v>
      </c>
      <c r="AA61" s="524"/>
      <c r="AB61" s="148"/>
      <c r="AC61" s="149"/>
      <c r="AD61" s="2"/>
      <c r="AE61" s="523" t="s">
        <v>31</v>
      </c>
      <c r="AF61" s="524"/>
      <c r="AG61" s="148"/>
      <c r="AH61" s="149"/>
      <c r="AI61" s="2"/>
    </row>
    <row r="62" spans="1:36" ht="19.350000000000001" customHeight="1" x14ac:dyDescent="0.3">
      <c r="A62" s="2"/>
      <c r="B62" s="132"/>
      <c r="C62" s="2"/>
      <c r="D62" s="2"/>
      <c r="E62" s="2"/>
      <c r="F62" s="2"/>
      <c r="G62" s="2"/>
      <c r="H62" s="99"/>
      <c r="I62" s="2"/>
      <c r="J62" s="132"/>
      <c r="K62" s="150" t="s">
        <v>32</v>
      </c>
      <c r="L62" s="94" t="s">
        <v>33</v>
      </c>
      <c r="M62" s="132"/>
      <c r="N62" s="149"/>
      <c r="O62" s="2"/>
      <c r="P62" s="150" t="s">
        <v>32</v>
      </c>
      <c r="Q62" s="94" t="s">
        <v>33</v>
      </c>
      <c r="R62" s="132"/>
      <c r="S62" s="149"/>
      <c r="T62" s="2"/>
      <c r="U62" s="150" t="s">
        <v>32</v>
      </c>
      <c r="V62" s="94" t="s">
        <v>33</v>
      </c>
      <c r="W62" s="132"/>
      <c r="X62" s="149"/>
      <c r="Y62" s="2"/>
      <c r="Z62" s="150" t="s">
        <v>32</v>
      </c>
      <c r="AA62" s="94" t="s">
        <v>33</v>
      </c>
      <c r="AB62" s="132"/>
      <c r="AC62" s="149"/>
      <c r="AD62" s="2"/>
      <c r="AE62" s="150" t="s">
        <v>32</v>
      </c>
      <c r="AF62" s="94" t="s">
        <v>33</v>
      </c>
      <c r="AG62" s="132"/>
      <c r="AH62" s="149"/>
      <c r="AI62" s="2"/>
    </row>
    <row r="63" spans="1:36" ht="19.350000000000001" customHeight="1" x14ac:dyDescent="0.3">
      <c r="A63" s="2"/>
      <c r="B63" s="132"/>
      <c r="C63" s="2"/>
      <c r="D63" s="2"/>
      <c r="E63" s="2"/>
      <c r="F63" s="2"/>
      <c r="G63" s="2"/>
      <c r="H63" s="2"/>
      <c r="I63" s="2"/>
      <c r="J63" s="132"/>
      <c r="K63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+0.02)))</f>
        <v>0.246752452280142</v>
      </c>
      <c r="L63" s="526">
        <f>IF($B$5&lt;15,"NA",IF($B$5&lt;=250,(1.07-0.0083*$B$5+0.0000836*($B$5)^2-0.0000003027*($B$5)^3+0.000000000376*$B$5^4+0.0533333),"NA"))</f>
        <v>0.88184580000000001</v>
      </c>
      <c r="M63" s="132"/>
      <c r="N63" s="153"/>
      <c r="O63" s="2"/>
      <c r="P63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)))</f>
        <v>0.22675245228014201</v>
      </c>
      <c r="Q63" s="526">
        <f>IF($B$5&lt;15,"NA",IF($B$5&lt;=250,(1.07-0.0083*$B$5+0.0000836*($B$5)^2-0.0000003027*($B$5)^3+0.000000000376*$B$5^4),"NA"))</f>
        <v>0.82851249999999999</v>
      </c>
      <c r="R63" s="132"/>
      <c r="S63" s="153"/>
      <c r="T63" s="132"/>
      <c r="U63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-0.02)))</f>
        <v>0.20675245228014202</v>
      </c>
      <c r="V63" s="526">
        <f>IF($B$5&lt;15,"NA",IF($B$5&lt;=250,(1.07-0.0083*$B$5+0.0000836*($B$5)^2-0.0000003027*($B$5)^3+0.000000000376*$B$5^4-0.0533333),"NA"))</f>
        <v>0.77517919999999996</v>
      </c>
      <c r="W63" s="132"/>
      <c r="X63" s="153"/>
      <c r="Y63" s="2"/>
      <c r="Z63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-0.04)))</f>
        <v>0.18675245228014201</v>
      </c>
      <c r="AA63" s="526">
        <f>IF($B$5&lt;15,"NA",IF($B$5&lt;=250,(1.07-0.0083*$B$5+0.0000836*($B$5)^2-0.0000003027*($B$5)^3+0.000000000376*$B$5^4-0.10666666667),"NA"))</f>
        <v>0.72184583332999996</v>
      </c>
      <c r="AB63" s="132"/>
      <c r="AC63" s="153"/>
      <c r="AD63" s="132"/>
      <c r="AE63" s="527">
        <f>IF($B$5&lt;15,"NA",IF($B$5&gt;250,"NA",(0.875483390907475-0.0379223905806743*$B$5+0.00100007021088594*$B$5^2-0.000015699786737641*$B$5^3+1.51391036295424E-07*$B$5^4-9.04154722792759E-10*$B$5^5+3.25686407342957E-12*$B$5^6-6.47821219076123E-15*$B$5^7+(5.46256767204312E-18*$B$5^8)-0.06)))</f>
        <v>0.16675245228014202</v>
      </c>
      <c r="AF63" s="526">
        <f>IF($B$5&lt;15,"NA",IF($B$5&lt;=250,(1.07-0.0083*$B$5+0.0000836*($B$5)^2-0.0000003027*($B$5)^3+0.000000000376*$B$5^4-0.16),"NA"))</f>
        <v>0.66851249999999995</v>
      </c>
      <c r="AG63" s="132"/>
      <c r="AH63" s="153"/>
      <c r="AI63" s="2"/>
    </row>
    <row r="64" spans="1:36" ht="21.9" customHeight="1" x14ac:dyDescent="0.55000000000000004">
      <c r="A64" s="2"/>
      <c r="B64" s="132"/>
      <c r="C64" s="2"/>
      <c r="D64" s="2"/>
      <c r="E64" s="2"/>
      <c r="F64" s="2"/>
      <c r="G64" s="2"/>
      <c r="H64" s="167"/>
      <c r="I64" s="168"/>
      <c r="J64" s="132"/>
      <c r="K64" s="151" t="s">
        <v>34</v>
      </c>
      <c r="L64" s="96" t="s">
        <v>35</v>
      </c>
      <c r="M64" s="97" t="s">
        <v>36</v>
      </c>
      <c r="N64" s="152" t="s">
        <v>79</v>
      </c>
      <c r="O64" s="2"/>
      <c r="P64" s="151" t="s">
        <v>34</v>
      </c>
      <c r="Q64" s="96" t="s">
        <v>35</v>
      </c>
      <c r="R64" s="97" t="s">
        <v>36</v>
      </c>
      <c r="S64" s="152" t="s">
        <v>79</v>
      </c>
      <c r="T64" s="2"/>
      <c r="U64" s="151" t="s">
        <v>34</v>
      </c>
      <c r="V64" s="96" t="s">
        <v>35</v>
      </c>
      <c r="W64" s="97" t="s">
        <v>36</v>
      </c>
      <c r="X64" s="152" t="s">
        <v>79</v>
      </c>
      <c r="Y64" s="2"/>
      <c r="Z64" s="151" t="s">
        <v>34</v>
      </c>
      <c r="AA64" s="96" t="s">
        <v>35</v>
      </c>
      <c r="AB64" s="97" t="s">
        <v>36</v>
      </c>
      <c r="AC64" s="152" t="s">
        <v>79</v>
      </c>
      <c r="AD64" s="2"/>
      <c r="AE64" s="151" t="s">
        <v>34</v>
      </c>
      <c r="AF64" s="96" t="s">
        <v>35</v>
      </c>
      <c r="AG64" s="97" t="s">
        <v>36</v>
      </c>
      <c r="AH64" s="152" t="s">
        <v>79</v>
      </c>
      <c r="AI64" s="2"/>
    </row>
    <row r="65" spans="1:36" ht="21.9" customHeight="1" x14ac:dyDescent="0.55000000000000004">
      <c r="A65" s="2"/>
      <c r="B65" s="132"/>
      <c r="C65" s="2"/>
      <c r="D65" s="2"/>
      <c r="E65" s="2"/>
      <c r="F65" s="2"/>
      <c r="G65" s="2"/>
      <c r="H65" s="167"/>
      <c r="I65" s="168"/>
      <c r="J65" s="132"/>
      <c r="K65" s="319">
        <v>0</v>
      </c>
      <c r="L65" s="320">
        <v>0</v>
      </c>
      <c r="M65" s="320">
        <v>0</v>
      </c>
      <c r="N65" s="321">
        <f>L65*20.89</f>
        <v>0</v>
      </c>
      <c r="O65" s="2"/>
      <c r="P65" s="253">
        <v>0</v>
      </c>
      <c r="Q65" s="254">
        <v>0</v>
      </c>
      <c r="R65" s="254">
        <v>0</v>
      </c>
      <c r="S65" s="255">
        <f>Q65*20.89</f>
        <v>0</v>
      </c>
      <c r="T65" s="256"/>
      <c r="U65" s="257">
        <v>0</v>
      </c>
      <c r="V65" s="258">
        <v>0</v>
      </c>
      <c r="W65" s="258">
        <v>0</v>
      </c>
      <c r="X65" s="259">
        <f>V65*20.89</f>
        <v>0</v>
      </c>
      <c r="Y65" s="256"/>
      <c r="Z65" s="261">
        <v>0</v>
      </c>
      <c r="AA65" s="262">
        <v>0</v>
      </c>
      <c r="AB65" s="262">
        <v>0</v>
      </c>
      <c r="AC65" s="263">
        <f>AA65*20.89</f>
        <v>0</v>
      </c>
      <c r="AD65" s="256"/>
      <c r="AE65" s="264">
        <v>0</v>
      </c>
      <c r="AF65" s="265">
        <v>0</v>
      </c>
      <c r="AG65" s="265">
        <v>0</v>
      </c>
      <c r="AH65" s="266">
        <f>AF65*20.89</f>
        <v>0</v>
      </c>
      <c r="AI65" s="2"/>
      <c r="AJ65" s="302"/>
    </row>
    <row r="66" spans="1:36" ht="21.9" customHeight="1" x14ac:dyDescent="0.55000000000000004">
      <c r="A66" s="2"/>
      <c r="B66" s="132"/>
      <c r="C66" s="2"/>
      <c r="D66" s="2"/>
      <c r="E66" s="2"/>
      <c r="F66" s="2"/>
      <c r="G66" s="2"/>
      <c r="H66" s="167"/>
      <c r="I66" s="168"/>
      <c r="J66" s="132"/>
      <c r="K66" s="319">
        <v>5</v>
      </c>
      <c r="L66" s="320">
        <f t="shared" ref="L66:L74" si="127">K$63*101*(K66/101)^L$63</f>
        <v>1.7598037085768663</v>
      </c>
      <c r="M66" s="320">
        <f t="shared" ref="M66:M74" si="128">DEGREES(ATAN(L66/K66))</f>
        <v>19.390067128389532</v>
      </c>
      <c r="N66" s="321">
        <f t="shared" ref="N66:N74" si="129">L66*20.89</f>
        <v>36.762299472170739</v>
      </c>
      <c r="O66" s="2"/>
      <c r="P66" s="253">
        <v>5</v>
      </c>
      <c r="Q66" s="254">
        <f t="shared" ref="Q66:Q74" si="130">P$63*101*(P66/101)^Q$63</f>
        <v>1.8983375565371832</v>
      </c>
      <c r="R66" s="254">
        <f t="shared" ref="R66:R74" si="131">DEGREES(ATAN(Q66/P66))</f>
        <v>20.790142723893222</v>
      </c>
      <c r="S66" s="255">
        <f t="shared" ref="S66:S74" si="132">Q66*20.89</f>
        <v>39.65627155606176</v>
      </c>
      <c r="T66" s="256"/>
      <c r="U66" s="257">
        <v>5</v>
      </c>
      <c r="V66" s="258">
        <f t="shared" ref="V66:V74" si="133">U$63*101*(U66/101)^V$63</f>
        <v>2.0318461150037672</v>
      </c>
      <c r="W66" s="258">
        <f t="shared" ref="W66:W74" si="134">DEGREES(ATAN(V66/U66))</f>
        <v>22.115311401040262</v>
      </c>
      <c r="X66" s="259">
        <f t="shared" ref="X66:X74" si="135">V66*20.89</f>
        <v>42.445265342428698</v>
      </c>
      <c r="Y66" s="256"/>
      <c r="Z66" s="261">
        <v>5</v>
      </c>
      <c r="AA66" s="262">
        <f t="shared" ref="AA66:AA74" si="136">Z$63*101*(Z66/101)^AA$63</f>
        <v>2.1543945414459613</v>
      </c>
      <c r="AB66" s="262">
        <f t="shared" ref="AB66:AB74" si="137">DEGREES(ATAN(AA66/Z66))</f>
        <v>23.310190816943138</v>
      </c>
      <c r="AC66" s="263">
        <f t="shared" ref="AC66:AC74" si="138">AA66*20.89</f>
        <v>45.00530197080613</v>
      </c>
      <c r="AD66" s="256"/>
      <c r="AE66" s="264">
        <v>5</v>
      </c>
      <c r="AF66" s="265">
        <f t="shared" ref="AF66:AF74" si="139">AE$63*101*(AE66/101)^AF$63</f>
        <v>2.2581349671055095</v>
      </c>
      <c r="AG66" s="265">
        <f t="shared" ref="AG66:AG74" si="140">DEGREES(ATAN(AF66/AE66))</f>
        <v>24.305219810087316</v>
      </c>
      <c r="AH66" s="266">
        <f t="shared" ref="AH66:AH74" si="141">AF66*20.89</f>
        <v>47.172439462834099</v>
      </c>
      <c r="AI66" s="2"/>
      <c r="AJ66" s="302"/>
    </row>
    <row r="67" spans="1:36" ht="21.9" customHeight="1" x14ac:dyDescent="0.3">
      <c r="A67" s="2"/>
      <c r="B67" s="132"/>
      <c r="C67" s="2"/>
      <c r="D67" s="2"/>
      <c r="E67" s="2"/>
      <c r="F67" s="2"/>
      <c r="G67" s="2"/>
      <c r="H67" s="132"/>
      <c r="I67" s="132"/>
      <c r="J67" s="132"/>
      <c r="K67" s="319">
        <v>10</v>
      </c>
      <c r="L67" s="320">
        <f t="shared" si="127"/>
        <v>3.2428455598432318</v>
      </c>
      <c r="M67" s="320">
        <f t="shared" si="128"/>
        <v>17.967078020157071</v>
      </c>
      <c r="N67" s="321">
        <f t="shared" si="129"/>
        <v>67.743043745125107</v>
      </c>
      <c r="O67" s="2"/>
      <c r="P67" s="253">
        <v>10</v>
      </c>
      <c r="Q67" s="254">
        <f t="shared" si="130"/>
        <v>3.371169228786941</v>
      </c>
      <c r="R67" s="254">
        <f t="shared" si="131"/>
        <v>18.629832204021536</v>
      </c>
      <c r="S67" s="255">
        <f t="shared" si="132"/>
        <v>70.423725189359203</v>
      </c>
      <c r="T67" s="256"/>
      <c r="U67" s="257">
        <v>10</v>
      </c>
      <c r="V67" s="258">
        <f t="shared" si="133"/>
        <v>3.4773067542143603</v>
      </c>
      <c r="W67" s="258">
        <f t="shared" si="134"/>
        <v>19.17413119879906</v>
      </c>
      <c r="X67" s="259">
        <f t="shared" si="135"/>
        <v>72.64093809553799</v>
      </c>
      <c r="Y67" s="256"/>
      <c r="Z67" s="261">
        <v>10</v>
      </c>
      <c r="AA67" s="262">
        <f t="shared" si="136"/>
        <v>3.5532231921429749</v>
      </c>
      <c r="AB67" s="262">
        <f t="shared" si="137"/>
        <v>19.561261299747454</v>
      </c>
      <c r="AC67" s="263">
        <f t="shared" si="138"/>
        <v>74.226832483866744</v>
      </c>
      <c r="AD67" s="256"/>
      <c r="AE67" s="264">
        <v>10</v>
      </c>
      <c r="AF67" s="265">
        <f t="shared" si="139"/>
        <v>3.5891549734022647</v>
      </c>
      <c r="AG67" s="265">
        <f t="shared" si="140"/>
        <v>19.743849008561778</v>
      </c>
      <c r="AH67" s="266">
        <f t="shared" si="141"/>
        <v>74.977447394373314</v>
      </c>
      <c r="AI67" s="2"/>
      <c r="AJ67" s="302"/>
    </row>
    <row r="68" spans="1:36" ht="21.9" customHeight="1" x14ac:dyDescent="0.55000000000000004">
      <c r="A68" s="2"/>
      <c r="B68" s="132"/>
      <c r="C68" s="169"/>
      <c r="D68" s="406" t="s">
        <v>44</v>
      </c>
      <c r="E68" s="407"/>
      <c r="F68" s="407"/>
      <c r="G68" s="2"/>
      <c r="H68" s="167"/>
      <c r="I68" s="168"/>
      <c r="J68" s="132"/>
      <c r="K68" s="319">
        <v>25</v>
      </c>
      <c r="L68" s="320">
        <f t="shared" si="127"/>
        <v>7.2752511664046775</v>
      </c>
      <c r="M68" s="320">
        <f t="shared" si="128"/>
        <v>16.22552656646711</v>
      </c>
      <c r="N68" s="321">
        <f t="shared" si="129"/>
        <v>151.97999686619372</v>
      </c>
      <c r="O68" s="2"/>
      <c r="P68" s="253">
        <v>25</v>
      </c>
      <c r="Q68" s="254">
        <f t="shared" si="130"/>
        <v>7.2024263430590985</v>
      </c>
      <c r="R68" s="254">
        <f t="shared" si="131"/>
        <v>16.071535265283661</v>
      </c>
      <c r="S68" s="255">
        <f t="shared" si="132"/>
        <v>150.45868630650457</v>
      </c>
      <c r="T68" s="256"/>
      <c r="U68" s="257">
        <v>25</v>
      </c>
      <c r="V68" s="258">
        <f t="shared" si="133"/>
        <v>7.0748595338089499</v>
      </c>
      <c r="W68" s="258">
        <f t="shared" si="134"/>
        <v>15.801215012487594</v>
      </c>
      <c r="X68" s="259">
        <f t="shared" si="135"/>
        <v>147.79381566126898</v>
      </c>
      <c r="Y68" s="256"/>
      <c r="Z68" s="261">
        <v>25</v>
      </c>
      <c r="AA68" s="262">
        <f t="shared" si="136"/>
        <v>6.8845225263032752</v>
      </c>
      <c r="AB68" s="262">
        <f t="shared" si="137"/>
        <v>15.396538892476439</v>
      </c>
      <c r="AC68" s="263">
        <f t="shared" si="138"/>
        <v>143.81767557447543</v>
      </c>
      <c r="AD68" s="256"/>
      <c r="AE68" s="264">
        <v>25</v>
      </c>
      <c r="AF68" s="265">
        <f t="shared" si="139"/>
        <v>6.622471238993163</v>
      </c>
      <c r="AG68" s="265">
        <f t="shared" si="140"/>
        <v>14.836811712106316</v>
      </c>
      <c r="AH68" s="266">
        <f t="shared" si="141"/>
        <v>138.34342418256719</v>
      </c>
      <c r="AI68" s="2"/>
      <c r="AJ68" s="302"/>
    </row>
    <row r="69" spans="1:36" ht="21.9" customHeight="1" x14ac:dyDescent="0.55000000000000004">
      <c r="A69" s="2"/>
      <c r="B69" s="132"/>
      <c r="C69" s="169"/>
      <c r="D69" s="2"/>
      <c r="E69" s="2"/>
      <c r="F69" s="2"/>
      <c r="G69" s="2"/>
      <c r="H69" s="167"/>
      <c r="I69" s="168"/>
      <c r="J69" s="132"/>
      <c r="K69" s="319">
        <v>50</v>
      </c>
      <c r="L69" s="320">
        <f t="shared" si="127"/>
        <v>13.40633380117076</v>
      </c>
      <c r="M69" s="320">
        <f t="shared" si="128"/>
        <v>15.009487441812796</v>
      </c>
      <c r="N69" s="321">
        <f t="shared" si="129"/>
        <v>280.05831310645721</v>
      </c>
      <c r="O69" s="2"/>
      <c r="P69" s="253">
        <v>50</v>
      </c>
      <c r="Q69" s="254">
        <f t="shared" si="130"/>
        <v>12.790453403143058</v>
      </c>
      <c r="R69" s="254">
        <f t="shared" si="131"/>
        <v>14.349069321079517</v>
      </c>
      <c r="S69" s="255">
        <f t="shared" si="132"/>
        <v>267.19257159165846</v>
      </c>
      <c r="T69" s="256"/>
      <c r="U69" s="257">
        <v>50</v>
      </c>
      <c r="V69" s="258">
        <f t="shared" si="133"/>
        <v>12.107933105940997</v>
      </c>
      <c r="W69" s="258">
        <f t="shared" si="134"/>
        <v>13.612621990743079</v>
      </c>
      <c r="X69" s="259">
        <f t="shared" si="135"/>
        <v>252.93472258310743</v>
      </c>
      <c r="Y69" s="256"/>
      <c r="Z69" s="261">
        <v>50</v>
      </c>
      <c r="AA69" s="262">
        <f t="shared" si="136"/>
        <v>11.354579969773434</v>
      </c>
      <c r="AB69" s="262">
        <f t="shared" si="137"/>
        <v>12.79439753439396</v>
      </c>
      <c r="AC69" s="263">
        <f t="shared" si="138"/>
        <v>237.19717556856705</v>
      </c>
      <c r="AD69" s="256"/>
      <c r="AE69" s="264">
        <v>50</v>
      </c>
      <c r="AF69" s="265">
        <f t="shared" si="139"/>
        <v>10.525976493828935</v>
      </c>
      <c r="AG69" s="265">
        <f t="shared" si="140"/>
        <v>11.888285735922342</v>
      </c>
      <c r="AH69" s="266">
        <f t="shared" si="141"/>
        <v>219.88764895608645</v>
      </c>
      <c r="AI69" s="2"/>
      <c r="AJ69" s="302"/>
    </row>
    <row r="70" spans="1:36" ht="21.9" customHeight="1" x14ac:dyDescent="0.55000000000000004">
      <c r="A70" s="2"/>
      <c r="B70" s="132"/>
      <c r="C70" s="169"/>
      <c r="D70" s="169"/>
      <c r="E70" s="161"/>
      <c r="F70" s="161"/>
      <c r="G70" s="2"/>
      <c r="H70" s="167"/>
      <c r="I70" s="168"/>
      <c r="J70" s="132"/>
      <c r="K70" s="319">
        <v>100</v>
      </c>
      <c r="L70" s="320">
        <f t="shared" si="127"/>
        <v>24.704272316859882</v>
      </c>
      <c r="M70" s="320">
        <f t="shared" si="128"/>
        <v>13.876660384650597</v>
      </c>
      <c r="N70" s="321">
        <f t="shared" si="129"/>
        <v>516.07224869920299</v>
      </c>
      <c r="O70" s="2"/>
      <c r="P70" s="253">
        <v>100</v>
      </c>
      <c r="Q70" s="254">
        <f t="shared" si="130"/>
        <v>22.713970329683306</v>
      </c>
      <c r="R70" s="254">
        <f t="shared" si="131"/>
        <v>12.79701849194776</v>
      </c>
      <c r="S70" s="255">
        <f t="shared" si="132"/>
        <v>474.49484018708426</v>
      </c>
      <c r="T70" s="256"/>
      <c r="U70" s="257">
        <v>100</v>
      </c>
      <c r="V70" s="258">
        <f t="shared" si="133"/>
        <v>20.721548378079909</v>
      </c>
      <c r="W70" s="258">
        <f t="shared" si="134"/>
        <v>11.706891419076142</v>
      </c>
      <c r="X70" s="259">
        <f t="shared" si="135"/>
        <v>432.87314561808932</v>
      </c>
      <c r="Y70" s="256"/>
      <c r="Z70" s="261">
        <v>100</v>
      </c>
      <c r="AA70" s="262">
        <f t="shared" si="136"/>
        <v>18.727004784630818</v>
      </c>
      <c r="AB70" s="262">
        <f t="shared" si="137"/>
        <v>10.606926920918063</v>
      </c>
      <c r="AC70" s="263">
        <f t="shared" si="138"/>
        <v>391.20712995093783</v>
      </c>
      <c r="AD70" s="256"/>
      <c r="AE70" s="264">
        <v>100</v>
      </c>
      <c r="AF70" s="265">
        <f t="shared" si="139"/>
        <v>16.730337837674625</v>
      </c>
      <c r="AG70" s="265">
        <f t="shared" si="140"/>
        <v>9.4978134626469384</v>
      </c>
      <c r="AH70" s="266">
        <f t="shared" si="141"/>
        <v>349.49675742902292</v>
      </c>
      <c r="AI70" s="2"/>
      <c r="AJ70" s="302"/>
    </row>
    <row r="71" spans="1:36" ht="21.9" customHeight="1" x14ac:dyDescent="0.55000000000000004">
      <c r="A71" s="2"/>
      <c r="B71" s="132"/>
      <c r="C71" s="251"/>
      <c r="D71" s="251"/>
      <c r="E71" s="303"/>
      <c r="F71" s="303"/>
      <c r="G71" s="304"/>
      <c r="H71" s="305"/>
      <c r="I71" s="168"/>
      <c r="J71" s="132"/>
      <c r="K71" s="319">
        <v>200</v>
      </c>
      <c r="L71" s="320">
        <f t="shared" si="127"/>
        <v>45.523338427711877</v>
      </c>
      <c r="M71" s="320">
        <f t="shared" si="128"/>
        <v>12.823004443414034</v>
      </c>
      <c r="N71" s="321">
        <f t="shared" si="129"/>
        <v>950.98253975490115</v>
      </c>
      <c r="O71" s="2"/>
      <c r="P71" s="253">
        <v>200</v>
      </c>
      <c r="Q71" s="254">
        <f t="shared" si="130"/>
        <v>40.336681732561026</v>
      </c>
      <c r="R71" s="254">
        <f t="shared" si="131"/>
        <v>11.40264489018862</v>
      </c>
      <c r="S71" s="255">
        <f t="shared" si="132"/>
        <v>842.63328139319981</v>
      </c>
      <c r="T71" s="256"/>
      <c r="U71" s="257">
        <v>200</v>
      </c>
      <c r="V71" s="258">
        <f t="shared" si="133"/>
        <v>35.462912078232499</v>
      </c>
      <c r="W71" s="258">
        <f t="shared" si="134"/>
        <v>10.054868643598089</v>
      </c>
      <c r="X71" s="259">
        <f t="shared" si="135"/>
        <v>740.82023331427695</v>
      </c>
      <c r="Y71" s="256"/>
      <c r="Z71" s="261">
        <v>200</v>
      </c>
      <c r="AA71" s="262">
        <f t="shared" si="136"/>
        <v>30.886277531812862</v>
      </c>
      <c r="AB71" s="262">
        <f t="shared" si="137"/>
        <v>8.778915512587286</v>
      </c>
      <c r="AC71" s="263">
        <f t="shared" si="138"/>
        <v>645.21433763957066</v>
      </c>
      <c r="AD71" s="256"/>
      <c r="AE71" s="264">
        <v>200</v>
      </c>
      <c r="AF71" s="265">
        <f t="shared" si="139"/>
        <v>26.591756529840886</v>
      </c>
      <c r="AG71" s="265">
        <f t="shared" si="140"/>
        <v>7.5735570116590987</v>
      </c>
      <c r="AH71" s="266">
        <f t="shared" si="141"/>
        <v>555.50179390837616</v>
      </c>
      <c r="AI71" s="2"/>
      <c r="AJ71" s="302"/>
    </row>
    <row r="72" spans="1:36" ht="21.9" customHeight="1" x14ac:dyDescent="0.3">
      <c r="A72" s="2"/>
      <c r="B72" s="132"/>
      <c r="C72" s="251"/>
      <c r="D72" s="99"/>
      <c r="E72" s="99"/>
      <c r="F72" s="469" t="s">
        <v>66</v>
      </c>
      <c r="G72" s="470"/>
      <c r="H72" s="250"/>
      <c r="I72" s="132"/>
      <c r="J72" s="132"/>
      <c r="K72" s="319">
        <v>300</v>
      </c>
      <c r="L72" s="320">
        <f t="shared" si="127"/>
        <v>65.090774704268938</v>
      </c>
      <c r="M72" s="320">
        <f t="shared" si="128"/>
        <v>12.241680961637915</v>
      </c>
      <c r="N72" s="321">
        <f t="shared" si="129"/>
        <v>1359.7462835721781</v>
      </c>
      <c r="O72" s="2"/>
      <c r="P72" s="253">
        <v>300</v>
      </c>
      <c r="Q72" s="254">
        <f t="shared" si="130"/>
        <v>56.440906153863658</v>
      </c>
      <c r="R72" s="254">
        <f t="shared" si="131"/>
        <v>10.654873324622878</v>
      </c>
      <c r="S72" s="255">
        <f t="shared" si="132"/>
        <v>1179.0505295542118</v>
      </c>
      <c r="T72" s="256"/>
      <c r="U72" s="257">
        <v>300</v>
      </c>
      <c r="V72" s="258">
        <f t="shared" si="133"/>
        <v>48.559776214655464</v>
      </c>
      <c r="W72" s="258">
        <f t="shared" si="134"/>
        <v>9.1944872877213069</v>
      </c>
      <c r="X72" s="259">
        <f t="shared" si="135"/>
        <v>1014.4137251241527</v>
      </c>
      <c r="Y72" s="256"/>
      <c r="Z72" s="261">
        <v>300</v>
      </c>
      <c r="AA72" s="262">
        <f t="shared" si="136"/>
        <v>41.388178281245203</v>
      </c>
      <c r="AB72" s="262">
        <f t="shared" si="137"/>
        <v>7.8549753263363753</v>
      </c>
      <c r="AC72" s="263">
        <f t="shared" si="138"/>
        <v>864.59904429521237</v>
      </c>
      <c r="AD72" s="256"/>
      <c r="AE72" s="264">
        <v>300</v>
      </c>
      <c r="AF72" s="265">
        <f t="shared" si="139"/>
        <v>34.871147076603997</v>
      </c>
      <c r="AG72" s="265">
        <f t="shared" si="140"/>
        <v>6.630145210737207</v>
      </c>
      <c r="AH72" s="266">
        <f t="shared" si="141"/>
        <v>728.45826243025749</v>
      </c>
      <c r="AI72" s="2"/>
      <c r="AJ72" s="302"/>
    </row>
    <row r="73" spans="1:36" ht="21.9" customHeight="1" x14ac:dyDescent="0.55000000000000004">
      <c r="A73" s="2"/>
      <c r="B73" s="132"/>
      <c r="C73" s="251"/>
      <c r="D73" s="404" t="s">
        <v>38</v>
      </c>
      <c r="E73" s="405"/>
      <c r="F73" s="101" t="s">
        <v>39</v>
      </c>
      <c r="G73" s="102" t="s">
        <v>40</v>
      </c>
      <c r="H73" s="305"/>
      <c r="I73" s="168"/>
      <c r="J73" s="132"/>
      <c r="K73" s="319">
        <v>400</v>
      </c>
      <c r="L73" s="320">
        <f t="shared" si="127"/>
        <v>83.887285366007688</v>
      </c>
      <c r="M73" s="320">
        <f t="shared" si="128"/>
        <v>11.844314992278878</v>
      </c>
      <c r="N73" s="321">
        <f t="shared" si="129"/>
        <v>1752.4053912959007</v>
      </c>
      <c r="O73" s="2"/>
      <c r="P73" s="253">
        <v>400</v>
      </c>
      <c r="Q73" s="254">
        <f t="shared" si="130"/>
        <v>71.632033923529761</v>
      </c>
      <c r="R73" s="254">
        <f t="shared" si="131"/>
        <v>10.152912409270872</v>
      </c>
      <c r="S73" s="255">
        <f t="shared" si="132"/>
        <v>1496.3931886625367</v>
      </c>
      <c r="T73" s="256"/>
      <c r="U73" s="257">
        <v>400</v>
      </c>
      <c r="V73" s="258">
        <f t="shared" si="133"/>
        <v>60.691320461303349</v>
      </c>
      <c r="W73" s="258">
        <f t="shared" si="134"/>
        <v>8.6275863114181881</v>
      </c>
      <c r="X73" s="259">
        <f t="shared" si="135"/>
        <v>1267.841684436627</v>
      </c>
      <c r="Y73" s="256"/>
      <c r="Z73" s="261">
        <v>400</v>
      </c>
      <c r="AA73" s="262">
        <f t="shared" si="136"/>
        <v>50.940454746670504</v>
      </c>
      <c r="AB73" s="262">
        <f t="shared" si="137"/>
        <v>7.2576154963970154</v>
      </c>
      <c r="AC73" s="263">
        <f t="shared" si="138"/>
        <v>1064.1460996579469</v>
      </c>
      <c r="AD73" s="256"/>
      <c r="AE73" s="264">
        <v>400</v>
      </c>
      <c r="AF73" s="265">
        <f t="shared" si="139"/>
        <v>42.265824049887762</v>
      </c>
      <c r="AG73" s="265">
        <f t="shared" si="140"/>
        <v>6.0317516193874123</v>
      </c>
      <c r="AH73" s="266">
        <f t="shared" si="141"/>
        <v>882.93306440215542</v>
      </c>
      <c r="AI73" s="2"/>
      <c r="AJ73" s="302"/>
    </row>
    <row r="74" spans="1:36" ht="21.9" customHeight="1" thickBot="1" x14ac:dyDescent="0.6">
      <c r="A74" s="2"/>
      <c r="B74" s="132"/>
      <c r="C74" s="251"/>
      <c r="D74" s="404" t="s">
        <v>67</v>
      </c>
      <c r="E74" s="405"/>
      <c r="F74" s="104">
        <v>15</v>
      </c>
      <c r="G74" s="105">
        <v>250</v>
      </c>
      <c r="H74" s="305"/>
      <c r="I74" s="168"/>
      <c r="J74" s="132"/>
      <c r="K74" s="322">
        <v>700</v>
      </c>
      <c r="L74" s="323">
        <f t="shared" si="127"/>
        <v>137.40996313959135</v>
      </c>
      <c r="M74" s="323">
        <f t="shared" si="128"/>
        <v>11.105944532898707</v>
      </c>
      <c r="N74" s="324">
        <f t="shared" si="129"/>
        <v>2870.4941299860634</v>
      </c>
      <c r="O74" s="2"/>
      <c r="P74" s="267">
        <v>700</v>
      </c>
      <c r="Q74" s="268">
        <f t="shared" si="130"/>
        <v>113.88521447631219</v>
      </c>
      <c r="R74" s="268">
        <f t="shared" si="131"/>
        <v>9.2406686380083709</v>
      </c>
      <c r="S74" s="269">
        <f t="shared" si="132"/>
        <v>2379.0621304101614</v>
      </c>
      <c r="T74" s="256"/>
      <c r="U74" s="270">
        <v>700</v>
      </c>
      <c r="V74" s="271">
        <f t="shared" si="133"/>
        <v>93.653632472764158</v>
      </c>
      <c r="W74" s="271">
        <f t="shared" si="134"/>
        <v>7.6204007280176782</v>
      </c>
      <c r="X74" s="272">
        <f t="shared" si="135"/>
        <v>1956.4243823560432</v>
      </c>
      <c r="Y74" s="256"/>
      <c r="Z74" s="273">
        <v>700</v>
      </c>
      <c r="AA74" s="274">
        <f t="shared" si="136"/>
        <v>76.295481885204509</v>
      </c>
      <c r="AB74" s="274">
        <f t="shared" si="137"/>
        <v>6.2203160948257166</v>
      </c>
      <c r="AC74" s="275">
        <f t="shared" si="138"/>
        <v>1593.8126165819222</v>
      </c>
      <c r="AD74" s="256"/>
      <c r="AE74" s="276">
        <v>700</v>
      </c>
      <c r="AF74" s="277">
        <f t="shared" si="139"/>
        <v>61.44171284824759</v>
      </c>
      <c r="AG74" s="277">
        <f t="shared" si="140"/>
        <v>5.0162169086076673</v>
      </c>
      <c r="AH74" s="278">
        <f t="shared" si="141"/>
        <v>1283.5173813998922</v>
      </c>
      <c r="AI74" s="2"/>
      <c r="AJ74" s="302"/>
    </row>
    <row r="75" spans="1:36" ht="21.9" customHeight="1" x14ac:dyDescent="0.3">
      <c r="A75" s="2"/>
      <c r="B75" s="132"/>
      <c r="C75" s="525"/>
      <c r="D75" s="525"/>
      <c r="E75" s="161"/>
      <c r="F75" s="161"/>
      <c r="G75" s="2"/>
      <c r="H75" s="132"/>
      <c r="I75" s="132"/>
      <c r="J75" s="132"/>
      <c r="K75" s="132"/>
      <c r="L75" s="132"/>
      <c r="M75" s="132"/>
      <c r="N75" s="13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6" ht="21.9" customHeight="1" x14ac:dyDescent="0.55000000000000004">
      <c r="A76" s="2"/>
      <c r="B76" s="132"/>
      <c r="C76" s="169"/>
      <c r="D76" s="169"/>
      <c r="E76" s="161"/>
      <c r="F76" s="161"/>
      <c r="G76" s="2"/>
      <c r="H76" s="167"/>
      <c r="I76" s="168"/>
      <c r="J76" s="168"/>
      <c r="K76" s="133"/>
      <c r="L76" s="132"/>
      <c r="M76" s="132"/>
      <c r="N76" s="132"/>
      <c r="O76" s="132"/>
      <c r="P76" s="132"/>
      <c r="Q76" s="13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6" hidden="1" x14ac:dyDescent="0.3"/>
    <row r="78" spans="1:36" ht="18" hidden="1" x14ac:dyDescent="0.35">
      <c r="B78" s="397"/>
      <c r="C78" s="398"/>
      <c r="D78" s="398"/>
      <c r="E78" s="398"/>
      <c r="F78" s="398"/>
      <c r="G78" s="399"/>
    </row>
    <row r="79" spans="1:36" hidden="1" x14ac:dyDescent="0.3"/>
    <row r="80" spans="1:36" hidden="1" x14ac:dyDescent="0.3"/>
    <row r="81" spans="2:5" hidden="1" x14ac:dyDescent="0.3"/>
    <row r="82" spans="2:5" hidden="1" x14ac:dyDescent="0.3">
      <c r="B82" s="106"/>
      <c r="C82" s="106"/>
      <c r="D82" s="106"/>
      <c r="E82" s="106"/>
    </row>
    <row r="83" spans="2:5" hidden="1" x14ac:dyDescent="0.3">
      <c r="B83" s="107"/>
      <c r="C83" s="108"/>
      <c r="E83" s="108"/>
    </row>
    <row r="84" spans="2:5" hidden="1" x14ac:dyDescent="0.3">
      <c r="B84" s="107"/>
      <c r="C84" s="108"/>
      <c r="E84" s="108"/>
    </row>
    <row r="85" spans="2:5" hidden="1" x14ac:dyDescent="0.3">
      <c r="B85" s="107"/>
      <c r="C85" s="108"/>
      <c r="E85" s="108"/>
    </row>
    <row r="86" spans="2:5" hidden="1" x14ac:dyDescent="0.3">
      <c r="B86" s="107"/>
      <c r="C86" s="108"/>
      <c r="E86" s="108"/>
    </row>
    <row r="87" spans="2:5" hidden="1" x14ac:dyDescent="0.3">
      <c r="B87" s="107"/>
      <c r="C87" s="108"/>
      <c r="E87" s="108"/>
    </row>
    <row r="88" spans="2:5" hidden="1" x14ac:dyDescent="0.3">
      <c r="B88" s="107"/>
      <c r="C88" s="108"/>
      <c r="E88" s="108"/>
    </row>
    <row r="89" spans="2:5" hidden="1" x14ac:dyDescent="0.3">
      <c r="B89" s="107"/>
      <c r="C89" s="108"/>
      <c r="E89" s="108"/>
    </row>
    <row r="90" spans="2:5" hidden="1" x14ac:dyDescent="0.3">
      <c r="B90" s="107"/>
      <c r="C90" s="108"/>
      <c r="E90" s="108"/>
    </row>
    <row r="91" spans="2:5" hidden="1" x14ac:dyDescent="0.3">
      <c r="B91" s="107"/>
      <c r="C91" s="108"/>
      <c r="E91" s="108"/>
    </row>
    <row r="92" spans="2:5" hidden="1" x14ac:dyDescent="0.3">
      <c r="B92" s="107"/>
      <c r="C92" s="108"/>
      <c r="E92" s="108"/>
    </row>
    <row r="93" spans="2:5" hidden="1" x14ac:dyDescent="0.3">
      <c r="B93" s="107"/>
      <c r="C93" s="108"/>
      <c r="E93" s="108"/>
    </row>
    <row r="94" spans="2:5" hidden="1" x14ac:dyDescent="0.3"/>
    <row r="95" spans="2:5" hidden="1" x14ac:dyDescent="0.3"/>
    <row r="96" spans="2:5" hidden="1" x14ac:dyDescent="0.3">
      <c r="B96" s="109"/>
      <c r="C96" s="110"/>
      <c r="D96" s="111"/>
      <c r="E96" s="110"/>
    </row>
    <row r="97" spans="2:12" hidden="1" x14ac:dyDescent="0.3">
      <c r="B97" s="112"/>
    </row>
    <row r="98" spans="2:12" hidden="1" x14ac:dyDescent="0.3"/>
    <row r="99" spans="2:12" ht="18" hidden="1" x14ac:dyDescent="0.35">
      <c r="B99" s="397"/>
      <c r="C99" s="398"/>
      <c r="D99" s="398"/>
      <c r="E99" s="398"/>
      <c r="F99" s="398"/>
      <c r="G99" s="399"/>
    </row>
    <row r="100" spans="2:12" hidden="1" x14ac:dyDescent="0.3">
      <c r="B100" s="113"/>
      <c r="C100" s="114"/>
    </row>
    <row r="101" spans="2:12" hidden="1" x14ac:dyDescent="0.3">
      <c r="B101" s="115"/>
    </row>
    <row r="102" spans="2:12" hidden="1" x14ac:dyDescent="0.3">
      <c r="B102" s="115"/>
    </row>
    <row r="103" spans="2:12" hidden="1" x14ac:dyDescent="0.3">
      <c r="B103" s="115"/>
      <c r="L103" s="85">
        <f>0.5*(0.0023+0.004)</f>
        <v>3.15E-3</v>
      </c>
    </row>
    <row r="104" spans="2:12" hidden="1" x14ac:dyDescent="0.3">
      <c r="B104" s="115"/>
    </row>
    <row r="105" spans="2:12" hidden="1" x14ac:dyDescent="0.3">
      <c r="B105" s="115"/>
    </row>
    <row r="106" spans="2:12" hidden="1" x14ac:dyDescent="0.3">
      <c r="B106" s="115"/>
    </row>
    <row r="107" spans="2:12" hidden="1" x14ac:dyDescent="0.3">
      <c r="B107" s="115"/>
    </row>
    <row r="108" spans="2:12" hidden="1" x14ac:dyDescent="0.3">
      <c r="B108" s="115"/>
    </row>
    <row r="109" spans="2:12" hidden="1" x14ac:dyDescent="0.3">
      <c r="B109" s="115"/>
    </row>
    <row r="110" spans="2:12" hidden="1" x14ac:dyDescent="0.3">
      <c r="B110" s="115"/>
    </row>
    <row r="111" spans="2:12" hidden="1" x14ac:dyDescent="0.3">
      <c r="B111" s="115"/>
    </row>
    <row r="112" spans="2:12" hidden="1" x14ac:dyDescent="0.3"/>
    <row r="113" spans="2:9" ht="15.6" hidden="1" customHeight="1" x14ac:dyDescent="0.3">
      <c r="B113" s="85"/>
      <c r="I113" s="85"/>
    </row>
    <row r="114" spans="2:9" hidden="1" x14ac:dyDescent="0.3">
      <c r="B114" s="85"/>
      <c r="I114" s="85"/>
    </row>
    <row r="115" spans="2:9" hidden="1" x14ac:dyDescent="0.3">
      <c r="B115" s="85"/>
      <c r="I115" s="85"/>
    </row>
    <row r="116" spans="2:9" ht="18" hidden="1" x14ac:dyDescent="0.35">
      <c r="B116" s="397"/>
      <c r="C116" s="398"/>
      <c r="D116" s="398"/>
      <c r="E116" s="398"/>
      <c r="F116" s="398"/>
      <c r="G116" s="399"/>
      <c r="I116" s="85"/>
    </row>
    <row r="117" spans="2:9" hidden="1" x14ac:dyDescent="0.3">
      <c r="B117" s="109"/>
      <c r="I117" s="85"/>
    </row>
    <row r="118" spans="2:9" hidden="1" x14ac:dyDescent="0.3">
      <c r="B118" s="117"/>
      <c r="I118" s="85"/>
    </row>
    <row r="119" spans="2:9" hidden="1" x14ac:dyDescent="0.3">
      <c r="B119" s="85"/>
      <c r="I119" s="85"/>
    </row>
    <row r="120" spans="2:9" hidden="1" x14ac:dyDescent="0.3">
      <c r="B120" s="85"/>
      <c r="I120" s="85"/>
    </row>
    <row r="121" spans="2:9" hidden="1" x14ac:dyDescent="0.3">
      <c r="B121" s="160"/>
      <c r="C121" s="401"/>
      <c r="D121" s="401"/>
      <c r="E121" s="118"/>
      <c r="F121" s="401"/>
      <c r="G121" s="401"/>
      <c r="I121" s="85"/>
    </row>
    <row r="122" spans="2:9" hidden="1" x14ac:dyDescent="0.3">
      <c r="B122" s="119"/>
      <c r="C122" s="120"/>
      <c r="D122" s="120"/>
      <c r="E122" s="120"/>
      <c r="F122" s="120"/>
      <c r="G122" s="120"/>
      <c r="I122" s="85"/>
    </row>
    <row r="123" spans="2:9" hidden="1" x14ac:dyDescent="0.3">
      <c r="D123" s="85"/>
      <c r="E123" s="121"/>
      <c r="G123" s="85"/>
      <c r="I123" s="85"/>
    </row>
    <row r="124" spans="2:9" hidden="1" x14ac:dyDescent="0.3">
      <c r="D124" s="85"/>
      <c r="E124" s="121"/>
      <c r="G124" s="85"/>
      <c r="I124" s="85"/>
    </row>
    <row r="125" spans="2:9" hidden="1" x14ac:dyDescent="0.3">
      <c r="D125" s="85"/>
      <c r="E125" s="121"/>
      <c r="G125" s="85"/>
      <c r="I125" s="85"/>
    </row>
    <row r="126" spans="2:9" hidden="1" x14ac:dyDescent="0.3">
      <c r="D126" s="85"/>
      <c r="E126" s="121"/>
      <c r="G126" s="85"/>
      <c r="I126" s="85"/>
    </row>
    <row r="127" spans="2:9" hidden="1" x14ac:dyDescent="0.3">
      <c r="D127" s="85"/>
      <c r="E127" s="121"/>
      <c r="G127" s="85"/>
      <c r="I127" s="85"/>
    </row>
    <row r="128" spans="2:9" hidden="1" x14ac:dyDescent="0.3">
      <c r="B128" s="122"/>
      <c r="D128" s="85"/>
      <c r="E128" s="121"/>
      <c r="G128" s="85"/>
      <c r="I128" s="85"/>
    </row>
    <row r="129" spans="2:9" hidden="1" x14ac:dyDescent="0.3">
      <c r="B129" s="122"/>
      <c r="D129" s="85"/>
      <c r="E129" s="121"/>
      <c r="G129" s="85"/>
      <c r="I129" s="85"/>
    </row>
    <row r="130" spans="2:9" hidden="1" x14ac:dyDescent="0.3">
      <c r="B130" s="122"/>
      <c r="D130" s="85"/>
      <c r="E130" s="121"/>
      <c r="G130" s="85"/>
      <c r="I130" s="85"/>
    </row>
    <row r="131" spans="2:9" hidden="1" x14ac:dyDescent="0.3">
      <c r="B131" s="122"/>
      <c r="D131" s="85"/>
      <c r="E131" s="121"/>
      <c r="G131" s="85"/>
      <c r="I131" s="85"/>
    </row>
    <row r="132" spans="2:9" hidden="1" x14ac:dyDescent="0.3">
      <c r="B132" s="122"/>
      <c r="D132" s="85"/>
      <c r="E132" s="121"/>
      <c r="G132" s="85"/>
      <c r="I132" s="85"/>
    </row>
    <row r="133" spans="2:9" hidden="1" x14ac:dyDescent="0.3">
      <c r="B133" s="123"/>
      <c r="D133" s="85"/>
      <c r="E133" s="120"/>
      <c r="G133" s="85"/>
      <c r="I133" s="85"/>
    </row>
    <row r="134" spans="2:9" hidden="1" x14ac:dyDescent="0.3">
      <c r="B134" s="85"/>
      <c r="I134" s="85"/>
    </row>
    <row r="135" spans="2:9" hidden="1" x14ac:dyDescent="0.3">
      <c r="B135" s="85"/>
      <c r="C135" s="85"/>
      <c r="D135" s="85"/>
      <c r="E135" s="85"/>
      <c r="F135" s="85"/>
      <c r="G135" s="85"/>
      <c r="I135" s="85"/>
    </row>
    <row r="136" spans="2:9" hidden="1" x14ac:dyDescent="0.3">
      <c r="B136" s="85"/>
      <c r="I136" s="85"/>
    </row>
    <row r="137" spans="2:9" hidden="1" x14ac:dyDescent="0.3">
      <c r="B137" s="85"/>
      <c r="I137" s="85"/>
    </row>
    <row r="138" spans="2:9" hidden="1" x14ac:dyDescent="0.3">
      <c r="B138" s="85"/>
      <c r="I138" s="85"/>
    </row>
    <row r="139" spans="2:9" hidden="1" x14ac:dyDescent="0.3">
      <c r="I139" s="85"/>
    </row>
    <row r="140" spans="2:9" hidden="1" x14ac:dyDescent="0.3">
      <c r="I140" s="85"/>
    </row>
    <row r="141" spans="2:9" hidden="1" x14ac:dyDescent="0.3">
      <c r="I141" s="85"/>
    </row>
    <row r="142" spans="2:9" hidden="1" x14ac:dyDescent="0.3">
      <c r="I142" s="85"/>
    </row>
    <row r="143" spans="2:9" hidden="1" x14ac:dyDescent="0.3">
      <c r="I143" s="85"/>
    </row>
    <row r="144" spans="2:9" hidden="1" x14ac:dyDescent="0.3">
      <c r="I144" s="85"/>
    </row>
    <row r="145" spans="2:9" hidden="1" x14ac:dyDescent="0.3">
      <c r="I145" s="85"/>
    </row>
    <row r="146" spans="2:9" hidden="1" x14ac:dyDescent="0.3">
      <c r="I146" s="85"/>
    </row>
    <row r="147" spans="2:9" hidden="1" x14ac:dyDescent="0.3">
      <c r="I147" s="85"/>
    </row>
    <row r="148" spans="2:9" hidden="1" x14ac:dyDescent="0.3"/>
    <row r="149" spans="2:9" hidden="1" x14ac:dyDescent="0.3">
      <c r="B149" s="109"/>
      <c r="C149" s="110"/>
      <c r="D149" s="111"/>
      <c r="E149" s="110"/>
    </row>
    <row r="150" spans="2:9" hidden="1" x14ac:dyDescent="0.3">
      <c r="B150" s="112"/>
    </row>
    <row r="151" spans="2:9" hidden="1" x14ac:dyDescent="0.3"/>
    <row r="152" spans="2:9" ht="18" hidden="1" x14ac:dyDescent="0.35">
      <c r="B152" s="397"/>
      <c r="C152" s="398"/>
      <c r="D152" s="398"/>
      <c r="E152" s="398"/>
      <c r="F152" s="398"/>
      <c r="G152" s="399"/>
    </row>
    <row r="153" spans="2:9" hidden="1" x14ac:dyDescent="0.3">
      <c r="B153" s="113"/>
      <c r="C153" s="114"/>
    </row>
    <row r="154" spans="2:9" hidden="1" x14ac:dyDescent="0.3">
      <c r="B154" s="115"/>
    </row>
    <row r="155" spans="2:9" hidden="1" x14ac:dyDescent="0.3">
      <c r="B155" s="115"/>
    </row>
    <row r="156" spans="2:9" hidden="1" x14ac:dyDescent="0.3">
      <c r="B156" s="115"/>
    </row>
    <row r="157" spans="2:9" hidden="1" x14ac:dyDescent="0.3">
      <c r="B157" s="115"/>
    </row>
    <row r="158" spans="2:9" hidden="1" x14ac:dyDescent="0.3">
      <c r="B158" s="115"/>
    </row>
    <row r="159" spans="2:9" hidden="1" x14ac:dyDescent="0.3">
      <c r="B159" s="115"/>
    </row>
    <row r="160" spans="2:9" hidden="1" x14ac:dyDescent="0.3">
      <c r="B160" s="115"/>
    </row>
    <row r="161" spans="2:2" hidden="1" x14ac:dyDescent="0.3">
      <c r="B161" s="115"/>
    </row>
    <row r="162" spans="2:2" hidden="1" x14ac:dyDescent="0.3">
      <c r="B162" s="115"/>
    </row>
    <row r="163" spans="2:2" hidden="1" x14ac:dyDescent="0.3">
      <c r="B163" s="115"/>
    </row>
    <row r="164" spans="2:2" hidden="1" x14ac:dyDescent="0.3">
      <c r="B164" s="115"/>
    </row>
    <row r="165" spans="2:2" hidden="1" x14ac:dyDescent="0.3"/>
  </sheetData>
  <sheetProtection algorithmName="SHA-512" hashValue="kQcA17FIw6j2OwbvNuvnv1JnPPKZ1c8D70lX1ofzN+FMJOfRr1ld6Yxft9IjUL45txOm4k1FYe1iW5m8AGWm0A==" saltValue="sfuGQWhpLGA3m2eW+5dngw==" spinCount="100000" sheet="1" objects="1" scenarios="1" selectLockedCells="1"/>
  <mergeCells count="37">
    <mergeCell ref="W5:AC11"/>
    <mergeCell ref="Z61:AA61"/>
    <mergeCell ref="AE61:AF61"/>
    <mergeCell ref="Z43:AC44"/>
    <mergeCell ref="AE43:AH44"/>
    <mergeCell ref="Z45:AA45"/>
    <mergeCell ref="AE45:AF45"/>
    <mergeCell ref="Z59:AC60"/>
    <mergeCell ref="AE59:AH60"/>
    <mergeCell ref="U43:X44"/>
    <mergeCell ref="U45:V45"/>
    <mergeCell ref="U59:X60"/>
    <mergeCell ref="U61:V61"/>
    <mergeCell ref="B152:G152"/>
    <mergeCell ref="F72:G72"/>
    <mergeCell ref="D73:E73"/>
    <mergeCell ref="D74:E74"/>
    <mergeCell ref="B78:G78"/>
    <mergeCell ref="B99:G99"/>
    <mergeCell ref="B116:G116"/>
    <mergeCell ref="C121:D121"/>
    <mergeCell ref="F121:G121"/>
    <mergeCell ref="C75:D75"/>
    <mergeCell ref="K43:N44"/>
    <mergeCell ref="K45:L45"/>
    <mergeCell ref="B2:T2"/>
    <mergeCell ref="D68:F68"/>
    <mergeCell ref="J42:N42"/>
    <mergeCell ref="P43:S44"/>
    <mergeCell ref="P59:S60"/>
    <mergeCell ref="P45:Q45"/>
    <mergeCell ref="P61:Q61"/>
    <mergeCell ref="K59:N60"/>
    <mergeCell ref="K61:L61"/>
    <mergeCell ref="D3:H3"/>
    <mergeCell ref="I3:N3"/>
    <mergeCell ref="O3:T3"/>
  </mergeCells>
  <hyperlinks>
    <hyperlink ref="D68" r:id="rId1" xr:uid="{B3CBF10C-D3C7-49D2-84FE-561903B492C1}"/>
  </hyperlinks>
  <pageMargins left="0.7" right="0.7" top="0.75" bottom="0.75" header="0.3" footer="0.3"/>
  <pageSetup orientation="portrait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Stark Correlations (2023)LL&amp;CF</vt:lpstr>
      <vt:lpstr>Stark Correlations (2023)(PI)</vt:lpstr>
      <vt:lpstr>Laboratory (2023) (LL&amp;CF)</vt:lpstr>
      <vt:lpstr>Laboratory (2023) (PI)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Abedalqader Idries</cp:lastModifiedBy>
  <dcterms:created xsi:type="dcterms:W3CDTF">2019-06-06T22:24:25Z</dcterms:created>
  <dcterms:modified xsi:type="dcterms:W3CDTF">2023-05-20T21:30:51Z</dcterms:modified>
</cp:coreProperties>
</file>