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edalqader Idries\Box\Prof. Stark\Prof. Stark's spreadsheet\2022\"/>
    </mc:Choice>
  </mc:AlternateContent>
  <xr:revisionPtr revIDLastSave="0" documentId="13_ncr:1_{CC918932-A5D9-47EC-B526-3DE131EFC794}" xr6:coauthVersionLast="47" xr6:coauthVersionMax="47" xr10:uidLastSave="{00000000-0000-0000-0000-000000000000}"/>
  <workbookProtection workbookAlgorithmName="SHA-512" workbookHashValue="MLNvd7ttf43YOMt4lvGp7Py0pR3UBR10ycq26IXlSlXygXOmi7BOZqyGWKy0tPGgqJA2/laeFQ39Z6qi1+9Ydg==" workbookSaltValue="u663pBpOOFu+mCA9zGg5yA==" workbookSpinCount="100000" lockStructure="1"/>
  <bookViews>
    <workbookView xWindow="28680" yWindow="-120" windowWidth="29040" windowHeight="17640" xr2:uid="{00000000-000D-0000-FFFF-FFFF00000000}"/>
  </bookViews>
  <sheets>
    <sheet name="Stark Correlations (2021)LL&amp;CF" sheetId="1" r:id="rId1"/>
    <sheet name="Stark Correlations (2021)(+PI)" sheetId="3" r:id="rId2"/>
    <sheet name="Laboratory (LL&amp;CF)" sheetId="4" r:id="rId3"/>
    <sheet name="Laboratory (+PI)" sheetId="6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6" l="1"/>
  <c r="C12" i="6"/>
  <c r="D12" i="6" s="1"/>
  <c r="O6" i="6"/>
  <c r="T4" i="6"/>
  <c r="S4" i="6"/>
  <c r="R4" i="6"/>
  <c r="Q4" i="6"/>
  <c r="P4" i="6"/>
  <c r="O6" i="3"/>
  <c r="T4" i="3"/>
  <c r="S4" i="3"/>
  <c r="R4" i="3"/>
  <c r="Q4" i="3"/>
  <c r="P4" i="3"/>
  <c r="C7" i="6"/>
  <c r="B7" i="6"/>
  <c r="G18" i="6"/>
  <c r="G17" i="6"/>
  <c r="G16" i="6"/>
  <c r="G15" i="6"/>
  <c r="G14" i="6"/>
  <c r="G13" i="6"/>
  <c r="G11" i="6"/>
  <c r="G10" i="6"/>
  <c r="L70" i="6"/>
  <c r="Q28" i="6"/>
  <c r="M28" i="6"/>
  <c r="O26" i="6"/>
  <c r="N26" i="6"/>
  <c r="O12" i="3"/>
  <c r="N12" i="3"/>
  <c r="K12" i="3"/>
  <c r="J12" i="3"/>
  <c r="D6" i="3" s="1"/>
  <c r="D6" i="6" l="1"/>
  <c r="E12" i="6"/>
  <c r="F12" i="6" s="1"/>
  <c r="J6" i="3"/>
  <c r="P6" i="3" s="1"/>
  <c r="C15" i="6"/>
  <c r="D15" i="6" s="1"/>
  <c r="E15" i="6" s="1"/>
  <c r="F15" i="6" s="1"/>
  <c r="C13" i="6"/>
  <c r="D13" i="6" s="1"/>
  <c r="C16" i="6"/>
  <c r="D16" i="6" s="1"/>
  <c r="E16" i="6" s="1"/>
  <c r="F16" i="6" s="1"/>
  <c r="C11" i="6"/>
  <c r="D11" i="6" s="1"/>
  <c r="E11" i="6" s="1"/>
  <c r="F11" i="6" s="1"/>
  <c r="C10" i="6"/>
  <c r="D10" i="6" s="1"/>
  <c r="C18" i="6"/>
  <c r="D18" i="6" s="1"/>
  <c r="E18" i="6" s="1"/>
  <c r="F18" i="6" s="1"/>
  <c r="C17" i="6"/>
  <c r="D17" i="6" s="1"/>
  <c r="E17" i="6" s="1"/>
  <c r="F17" i="6" s="1"/>
  <c r="C14" i="6"/>
  <c r="D14" i="6" s="1"/>
  <c r="L32" i="6" s="1"/>
  <c r="E6" i="6" s="1"/>
  <c r="H10" i="6"/>
  <c r="H11" i="6" s="1"/>
  <c r="H12" i="6" s="1"/>
  <c r="O33" i="6"/>
  <c r="Q33" i="6" s="1"/>
  <c r="O36" i="6"/>
  <c r="O31" i="6"/>
  <c r="O35" i="6"/>
  <c r="O37" i="6"/>
  <c r="O32" i="6"/>
  <c r="O30" i="6"/>
  <c r="O34" i="6"/>
  <c r="O29" i="6"/>
  <c r="K12" i="6" l="1"/>
  <c r="E13" i="6"/>
  <c r="F13" i="6" s="1"/>
  <c r="L31" i="6"/>
  <c r="E14" i="6"/>
  <c r="F14" i="6" s="1"/>
  <c r="L33" i="6"/>
  <c r="F6" i="6" s="1"/>
  <c r="L6" i="6" s="1"/>
  <c r="R6" i="6" s="1"/>
  <c r="L35" i="6"/>
  <c r="P33" i="6"/>
  <c r="F5" i="6" s="1"/>
  <c r="L5" i="6" s="1"/>
  <c r="R5" i="6" s="1"/>
  <c r="K6" i="6"/>
  <c r="Q6" i="6" s="1"/>
  <c r="L34" i="6"/>
  <c r="K10" i="6"/>
  <c r="L36" i="6"/>
  <c r="G6" i="6" s="1"/>
  <c r="M6" i="6" s="1"/>
  <c r="S6" i="6" s="1"/>
  <c r="E10" i="6"/>
  <c r="F10" i="6" s="1"/>
  <c r="I10" i="6" s="1"/>
  <c r="I11" i="6" s="1"/>
  <c r="I12" i="6" s="1"/>
  <c r="J12" i="6" s="1"/>
  <c r="L29" i="6"/>
  <c r="L30" i="6"/>
  <c r="H13" i="6"/>
  <c r="K11" i="6"/>
  <c r="Q34" i="6"/>
  <c r="P34" i="6"/>
  <c r="Q35" i="6"/>
  <c r="P35" i="6"/>
  <c r="P32" i="6"/>
  <c r="E5" i="6" s="1"/>
  <c r="K5" i="6" s="1"/>
  <c r="Q5" i="6" s="1"/>
  <c r="Q32" i="6"/>
  <c r="Q31" i="6"/>
  <c r="P31" i="6"/>
  <c r="Q37" i="6"/>
  <c r="P37" i="6"/>
  <c r="H5" i="6" s="1"/>
  <c r="N5" i="6" s="1"/>
  <c r="T5" i="6" s="1"/>
  <c r="P36" i="6"/>
  <c r="G5" i="6" s="1"/>
  <c r="M5" i="6" s="1"/>
  <c r="S5" i="6" s="1"/>
  <c r="Q36" i="6"/>
  <c r="Q30" i="6"/>
  <c r="P30" i="6"/>
  <c r="Q29" i="6"/>
  <c r="P29" i="6"/>
  <c r="I13" i="6" l="1"/>
  <c r="I14" i="6" s="1"/>
  <c r="I15" i="6" s="1"/>
  <c r="I16" i="6" s="1"/>
  <c r="I17" i="6" s="1"/>
  <c r="I18" i="6" s="1"/>
  <c r="J11" i="6"/>
  <c r="J10" i="6"/>
  <c r="H14" i="6"/>
  <c r="K13" i="6"/>
  <c r="J13" i="6" l="1"/>
  <c r="J14" i="6"/>
  <c r="H15" i="6"/>
  <c r="K14" i="6"/>
  <c r="H16" i="6" l="1"/>
  <c r="J15" i="6"/>
  <c r="K15" i="6"/>
  <c r="H17" i="6" l="1"/>
  <c r="K16" i="6"/>
  <c r="J16" i="6"/>
  <c r="K17" i="6" l="1"/>
  <c r="H18" i="6"/>
  <c r="J17" i="6"/>
  <c r="J18" i="6" l="1"/>
  <c r="K18" i="6"/>
  <c r="J9" i="6" l="1"/>
  <c r="K9" i="6" l="1"/>
  <c r="J26" i="6" s="1"/>
  <c r="K26" i="6"/>
  <c r="J6" i="6" l="1"/>
  <c r="P6" i="6" s="1"/>
  <c r="K34" i="6"/>
  <c r="M34" i="6" s="1"/>
  <c r="K30" i="6"/>
  <c r="M30" i="6" s="1"/>
  <c r="K31" i="6"/>
  <c r="M31" i="6" s="1"/>
  <c r="K32" i="6"/>
  <c r="M32" i="6" s="1"/>
  <c r="K29" i="6"/>
  <c r="M29" i="6" s="1"/>
  <c r="K33" i="6"/>
  <c r="M33" i="6" s="1"/>
  <c r="K36" i="6"/>
  <c r="M36" i="6" s="1"/>
  <c r="K35" i="6"/>
  <c r="M35" i="6" s="1"/>
  <c r="I30" i="4" l="1"/>
  <c r="I29" i="4"/>
  <c r="I28" i="4"/>
  <c r="H30" i="4"/>
  <c r="H29" i="4"/>
  <c r="H28" i="4"/>
  <c r="G131" i="4" l="1"/>
  <c r="D131" i="4"/>
  <c r="H128" i="4"/>
  <c r="G128" i="4"/>
  <c r="E128" i="4"/>
  <c r="D128" i="4"/>
  <c r="C128" i="4"/>
  <c r="B128" i="4"/>
  <c r="G111" i="4"/>
  <c r="D111" i="4"/>
  <c r="C111" i="4"/>
  <c r="G110" i="4"/>
  <c r="D110" i="4"/>
  <c r="C110" i="4"/>
  <c r="M96" i="4"/>
  <c r="C90" i="4"/>
  <c r="F72" i="4"/>
  <c r="D72" i="4"/>
  <c r="C72" i="4"/>
  <c r="R54" i="4"/>
  <c r="N54" i="4"/>
  <c r="R45" i="4"/>
  <c r="Q45" i="4"/>
  <c r="P45" i="4"/>
  <c r="O45" i="4"/>
  <c r="R41" i="4"/>
  <c r="Q41" i="4"/>
  <c r="P41" i="4"/>
  <c r="O41" i="4"/>
  <c r="E30" i="4"/>
  <c r="D30" i="4"/>
  <c r="E29" i="4"/>
  <c r="D29" i="4"/>
  <c r="E28" i="4"/>
  <c r="D28" i="4"/>
  <c r="C22" i="4"/>
  <c r="C23" i="4" s="1"/>
  <c r="C20" i="4"/>
  <c r="F20" i="4" s="1"/>
  <c r="C18" i="4"/>
  <c r="D18" i="4" s="1"/>
  <c r="C15" i="4"/>
  <c r="C13" i="4"/>
  <c r="C14" i="4" s="1"/>
  <c r="G14" i="4" s="1"/>
  <c r="C11" i="4"/>
  <c r="C9" i="4"/>
  <c r="P6" i="4"/>
  <c r="U4" i="4"/>
  <c r="T4" i="4"/>
  <c r="S4" i="4"/>
  <c r="R4" i="4"/>
  <c r="Q4" i="4"/>
  <c r="H11" i="4" l="1"/>
  <c r="F11" i="4"/>
  <c r="G11" i="4"/>
  <c r="H9" i="4"/>
  <c r="E9" i="4"/>
  <c r="C143" i="4"/>
  <c r="C89" i="4"/>
  <c r="C101" i="4" s="1"/>
  <c r="D101" i="4" s="1"/>
  <c r="C142" i="4"/>
  <c r="C12" i="4"/>
  <c r="E11" i="4"/>
  <c r="E13" i="4"/>
  <c r="F18" i="4"/>
  <c r="C10" i="4"/>
  <c r="F13" i="4"/>
  <c r="F15" i="4" s="1"/>
  <c r="G18" i="4"/>
  <c r="G13" i="4"/>
  <c r="G15" i="4" s="1"/>
  <c r="C19" i="4"/>
  <c r="E18" i="4"/>
  <c r="H13" i="4"/>
  <c r="F14" i="4"/>
  <c r="H14" i="4"/>
  <c r="D22" i="4"/>
  <c r="D23" i="4" s="1"/>
  <c r="G20" i="4"/>
  <c r="E22" i="4"/>
  <c r="E23" i="4" s="1"/>
  <c r="S41" i="4"/>
  <c r="S45" i="4"/>
  <c r="F9" i="4"/>
  <c r="E14" i="4"/>
  <c r="C21" i="4"/>
  <c r="F22" i="4"/>
  <c r="F23" i="4" s="1"/>
  <c r="D20" i="4"/>
  <c r="E20" i="4"/>
  <c r="G22" i="4"/>
  <c r="G23" i="4" s="1"/>
  <c r="G9" i="4"/>
  <c r="I30" i="1"/>
  <c r="I29" i="1"/>
  <c r="I28" i="1"/>
  <c r="H30" i="1"/>
  <c r="H29" i="1"/>
  <c r="H28" i="1"/>
  <c r="D29" i="1"/>
  <c r="D28" i="1"/>
  <c r="E15" i="4" l="1"/>
  <c r="H15" i="4"/>
  <c r="F12" i="4"/>
  <c r="G5" i="4" s="1"/>
  <c r="M5" i="4" s="1"/>
  <c r="S5" i="4" s="1"/>
  <c r="H10" i="4"/>
  <c r="F10" i="4"/>
  <c r="G10" i="4"/>
  <c r="E10" i="4"/>
  <c r="F19" i="4"/>
  <c r="D19" i="4"/>
  <c r="G19" i="4"/>
  <c r="E19" i="4"/>
  <c r="C151" i="4"/>
  <c r="D151" i="4" s="1"/>
  <c r="C99" i="4"/>
  <c r="D99" i="4" s="1"/>
  <c r="C98" i="4"/>
  <c r="D98" i="4" s="1"/>
  <c r="C97" i="4"/>
  <c r="D97" i="4" s="1"/>
  <c r="C102" i="4"/>
  <c r="D102" i="4" s="1"/>
  <c r="C94" i="4"/>
  <c r="D94" i="4" s="1"/>
  <c r="C100" i="4"/>
  <c r="D100" i="4" s="1"/>
  <c r="C96" i="4"/>
  <c r="D96" i="4" s="1"/>
  <c r="C103" i="4"/>
  <c r="D103" i="4" s="1"/>
  <c r="C104" i="4"/>
  <c r="D104" i="4" s="1"/>
  <c r="C95" i="4"/>
  <c r="D95" i="4" s="1"/>
  <c r="C149" i="4"/>
  <c r="D149" i="4" s="1"/>
  <c r="C153" i="4"/>
  <c r="D153" i="4" s="1"/>
  <c r="C152" i="4"/>
  <c r="D152" i="4" s="1"/>
  <c r="C156" i="4"/>
  <c r="D156" i="4" s="1"/>
  <c r="C150" i="4"/>
  <c r="D150" i="4" s="1"/>
  <c r="C154" i="4"/>
  <c r="D154" i="4" s="1"/>
  <c r="C155" i="4"/>
  <c r="D155" i="4" s="1"/>
  <c r="C148" i="4"/>
  <c r="D148" i="4" s="1"/>
  <c r="C147" i="4"/>
  <c r="D147" i="4" s="1"/>
  <c r="C157" i="4"/>
  <c r="D157" i="4" s="1"/>
  <c r="G12" i="4"/>
  <c r="E12" i="4"/>
  <c r="H12" i="4"/>
  <c r="E21" i="4"/>
  <c r="D21" i="4"/>
  <c r="G21" i="4"/>
  <c r="F21" i="4"/>
  <c r="G6" i="4" s="1"/>
  <c r="M6" i="4" s="1"/>
  <c r="E29" i="1"/>
  <c r="F6" i="4" l="1"/>
  <c r="L6" i="4" s="1"/>
  <c r="H45" i="4" s="1"/>
  <c r="L45" i="4" s="1"/>
  <c r="F5" i="4"/>
  <c r="L5" i="4" s="1"/>
  <c r="R5" i="4" s="1"/>
  <c r="I5" i="4"/>
  <c r="O5" i="4" s="1"/>
  <c r="U5" i="4" s="1"/>
  <c r="E6" i="4"/>
  <c r="K6" i="4" s="1"/>
  <c r="Q6" i="4" s="1"/>
  <c r="H6" i="4"/>
  <c r="N6" i="4" s="1"/>
  <c r="T6" i="4" s="1"/>
  <c r="H5" i="4"/>
  <c r="N5" i="4" s="1"/>
  <c r="I41" i="4" s="1"/>
  <c r="M41" i="4" s="1"/>
  <c r="I45" i="4"/>
  <c r="M45" i="4" s="1"/>
  <c r="S6" i="4"/>
  <c r="H41" i="4"/>
  <c r="L41" i="4" s="1"/>
  <c r="R54" i="1"/>
  <c r="N54" i="1"/>
  <c r="Q14" i="3"/>
  <c r="M14" i="3"/>
  <c r="L56" i="3"/>
  <c r="E28" i="1"/>
  <c r="E30" i="1"/>
  <c r="D30" i="1"/>
  <c r="R6" i="4" l="1"/>
  <c r="G41" i="4"/>
  <c r="K41" i="4" s="1"/>
  <c r="J41" i="4"/>
  <c r="N41" i="4" s="1"/>
  <c r="G45" i="4"/>
  <c r="K45" i="4" s="1"/>
  <c r="J45" i="4"/>
  <c r="N45" i="4" s="1"/>
  <c r="T5" i="4"/>
  <c r="O19" i="3"/>
  <c r="P19" i="3" s="1"/>
  <c r="F5" i="3" s="1"/>
  <c r="L5" i="3" s="1"/>
  <c r="R5" i="3" s="1"/>
  <c r="O15" i="3"/>
  <c r="O17" i="3"/>
  <c r="O22" i="3"/>
  <c r="O21" i="3"/>
  <c r="O23" i="3"/>
  <c r="K21" i="3"/>
  <c r="K19" i="3"/>
  <c r="K17" i="3"/>
  <c r="K15" i="3"/>
  <c r="K22" i="3"/>
  <c r="L22" i="3" s="1"/>
  <c r="G6" i="3" s="1"/>
  <c r="K20" i="3"/>
  <c r="K18" i="3"/>
  <c r="K16" i="3"/>
  <c r="O16" i="3"/>
  <c r="O18" i="3"/>
  <c r="O20" i="3"/>
  <c r="T41" i="4" l="1"/>
  <c r="U41" i="4" s="1"/>
  <c r="P52" i="4" s="1"/>
  <c r="T45" i="4"/>
  <c r="U45" i="4" s="1"/>
  <c r="L52" i="4" s="1"/>
  <c r="Q19" i="3"/>
  <c r="P18" i="3"/>
  <c r="E5" i="3" s="1"/>
  <c r="K5" i="3" s="1"/>
  <c r="Q5" i="3" s="1"/>
  <c r="Q18" i="3"/>
  <c r="P22" i="3"/>
  <c r="G5" i="3" s="1"/>
  <c r="M5" i="3" s="1"/>
  <c r="S5" i="3" s="1"/>
  <c r="Q22" i="3"/>
  <c r="P16" i="3"/>
  <c r="Q16" i="3"/>
  <c r="L15" i="3"/>
  <c r="M15" i="3"/>
  <c r="L17" i="3"/>
  <c r="M17" i="3"/>
  <c r="L19" i="3"/>
  <c r="M19" i="3"/>
  <c r="M6" i="3"/>
  <c r="S6" i="3" s="1"/>
  <c r="M22" i="3"/>
  <c r="L21" i="3"/>
  <c r="M21" i="3"/>
  <c r="P23" i="3"/>
  <c r="H5" i="3" s="1"/>
  <c r="N5" i="3" s="1"/>
  <c r="T5" i="3" s="1"/>
  <c r="Q23" i="3"/>
  <c r="P17" i="3"/>
  <c r="Q17" i="3"/>
  <c r="L16" i="3"/>
  <c r="M16" i="3"/>
  <c r="P21" i="3"/>
  <c r="Q21" i="3"/>
  <c r="P15" i="3"/>
  <c r="Q15" i="3"/>
  <c r="L18" i="3"/>
  <c r="M18" i="3"/>
  <c r="P20" i="3"/>
  <c r="Q20" i="3"/>
  <c r="L20" i="3"/>
  <c r="M20" i="3"/>
  <c r="F6" i="3" l="1"/>
  <c r="L6" i="3" s="1"/>
  <c r="R6" i="3" s="1"/>
  <c r="E6" i="3"/>
  <c r="K6" i="3" s="1"/>
  <c r="Q6" i="3" s="1"/>
  <c r="V41" i="4"/>
  <c r="O52" i="4" s="1"/>
  <c r="P59" i="4" s="1"/>
  <c r="V45" i="4"/>
  <c r="K52" i="4" s="1"/>
  <c r="L58" i="4" s="1"/>
  <c r="P62" i="4" l="1"/>
  <c r="Q62" i="4" s="1"/>
  <c r="P55" i="4"/>
  <c r="R55" i="4" s="1"/>
  <c r="P60" i="4"/>
  <c r="R60" i="4" s="1"/>
  <c r="P58" i="4"/>
  <c r="R58" i="4" s="1"/>
  <c r="P61" i="4"/>
  <c r="R61" i="4" s="1"/>
  <c r="P56" i="4"/>
  <c r="Q56" i="4" s="1"/>
  <c r="P63" i="4"/>
  <c r="R63" i="4" s="1"/>
  <c r="P57" i="4"/>
  <c r="R57" i="4" s="1"/>
  <c r="L62" i="4"/>
  <c r="M62" i="4" s="1"/>
  <c r="L60" i="4"/>
  <c r="N60" i="4" s="1"/>
  <c r="L57" i="4"/>
  <c r="M57" i="4" s="1"/>
  <c r="L55" i="4"/>
  <c r="N55" i="4" s="1"/>
  <c r="L61" i="4"/>
  <c r="M61" i="4" s="1"/>
  <c r="L59" i="4"/>
  <c r="N59" i="4" s="1"/>
  <c r="L56" i="4"/>
  <c r="N56" i="4" s="1"/>
  <c r="R59" i="4"/>
  <c r="Q59" i="4"/>
  <c r="M58" i="4"/>
  <c r="N58" i="4"/>
  <c r="R45" i="1"/>
  <c r="Q45" i="1"/>
  <c r="P45" i="1"/>
  <c r="O45" i="1"/>
  <c r="P41" i="1"/>
  <c r="Q41" i="1"/>
  <c r="R41" i="1"/>
  <c r="O41" i="1"/>
  <c r="Q60" i="4" l="1"/>
  <c r="Q58" i="4"/>
  <c r="R62" i="4"/>
  <c r="Q57" i="4"/>
  <c r="R56" i="4"/>
  <c r="Q63" i="4"/>
  <c r="Q61" i="4"/>
  <c r="Q55" i="4"/>
  <c r="M60" i="4"/>
  <c r="N62" i="4"/>
  <c r="M55" i="4"/>
  <c r="M56" i="4"/>
  <c r="N57" i="4"/>
  <c r="N61" i="4"/>
  <c r="M59" i="4"/>
  <c r="S41" i="1"/>
  <c r="S45" i="1"/>
  <c r="P6" i="1" l="1"/>
  <c r="R4" i="1"/>
  <c r="S4" i="1"/>
  <c r="T4" i="1"/>
  <c r="U4" i="1"/>
  <c r="Q4" i="1"/>
  <c r="G131" i="1"/>
  <c r="D131" i="1"/>
  <c r="H128" i="1"/>
  <c r="G128" i="1"/>
  <c r="E128" i="1"/>
  <c r="D128" i="1"/>
  <c r="C128" i="1"/>
  <c r="B128" i="1"/>
  <c r="G111" i="1"/>
  <c r="D111" i="1"/>
  <c r="C111" i="1"/>
  <c r="G110" i="1"/>
  <c r="D110" i="1"/>
  <c r="C110" i="1"/>
  <c r="M96" i="1"/>
  <c r="C90" i="1"/>
  <c r="F72" i="1"/>
  <c r="D72" i="1"/>
  <c r="C72" i="1"/>
  <c r="C22" i="1"/>
  <c r="C20" i="1"/>
  <c r="D20" i="1" s="1"/>
  <c r="C18" i="1"/>
  <c r="D18" i="1" s="1"/>
  <c r="C15" i="1"/>
  <c r="C13" i="1"/>
  <c r="H13" i="1" s="1"/>
  <c r="C11" i="1"/>
  <c r="C9" i="1"/>
  <c r="H9" i="1" s="1"/>
  <c r="E13" i="1" l="1"/>
  <c r="H11" i="1"/>
  <c r="G11" i="1"/>
  <c r="F11" i="1"/>
  <c r="E11" i="1"/>
  <c r="E22" i="1"/>
  <c r="D22" i="1"/>
  <c r="G22" i="1"/>
  <c r="F22" i="1"/>
  <c r="G18" i="1"/>
  <c r="F18" i="1"/>
  <c r="F20" i="1"/>
  <c r="G20" i="1"/>
  <c r="E20" i="1"/>
  <c r="E18" i="1"/>
  <c r="C19" i="1"/>
  <c r="C10" i="1"/>
  <c r="E9" i="1"/>
  <c r="G9" i="1"/>
  <c r="F9" i="1"/>
  <c r="C14" i="1"/>
  <c r="F13" i="1"/>
  <c r="G13" i="1"/>
  <c r="C143" i="1"/>
  <c r="C89" i="1"/>
  <c r="C95" i="1" s="1"/>
  <c r="D95" i="1" s="1"/>
  <c r="C142" i="1"/>
  <c r="C12" i="1"/>
  <c r="C21" i="1"/>
  <c r="C23" i="1"/>
  <c r="G19" i="1" l="1"/>
  <c r="F19" i="1"/>
  <c r="E19" i="1"/>
  <c r="D19" i="1"/>
  <c r="H10" i="1"/>
  <c r="G10" i="1"/>
  <c r="F10" i="1"/>
  <c r="E10" i="1"/>
  <c r="F21" i="1"/>
  <c r="D21" i="1"/>
  <c r="E21" i="1"/>
  <c r="G21" i="1"/>
  <c r="G12" i="1"/>
  <c r="F12" i="1"/>
  <c r="H12" i="1"/>
  <c r="E12" i="1"/>
  <c r="D23" i="1"/>
  <c r="E23" i="1"/>
  <c r="G23" i="1"/>
  <c r="F23" i="1"/>
  <c r="G14" i="1"/>
  <c r="G15" i="1" s="1"/>
  <c r="E14" i="1"/>
  <c r="E15" i="1" s="1"/>
  <c r="H14" i="1"/>
  <c r="H15" i="1" s="1"/>
  <c r="I5" i="1" s="1"/>
  <c r="F14" i="1"/>
  <c r="F15" i="1" s="1"/>
  <c r="C150" i="1"/>
  <c r="D150" i="1" s="1"/>
  <c r="C103" i="1"/>
  <c r="D103" i="1" s="1"/>
  <c r="C96" i="1"/>
  <c r="D96" i="1" s="1"/>
  <c r="C99" i="1"/>
  <c r="D99" i="1" s="1"/>
  <c r="C153" i="1"/>
  <c r="D153" i="1" s="1"/>
  <c r="C102" i="1"/>
  <c r="D102" i="1" s="1"/>
  <c r="C156" i="1"/>
  <c r="D156" i="1" s="1"/>
  <c r="C97" i="1"/>
  <c r="D97" i="1" s="1"/>
  <c r="C94" i="1"/>
  <c r="D94" i="1" s="1"/>
  <c r="C101" i="1"/>
  <c r="D101" i="1" s="1"/>
  <c r="C154" i="1"/>
  <c r="D154" i="1" s="1"/>
  <c r="C104" i="1"/>
  <c r="D104" i="1" s="1"/>
  <c r="C98" i="1"/>
  <c r="D98" i="1" s="1"/>
  <c r="C157" i="1"/>
  <c r="D157" i="1" s="1"/>
  <c r="C155" i="1"/>
  <c r="D155" i="1" s="1"/>
  <c r="C100" i="1"/>
  <c r="D100" i="1" s="1"/>
  <c r="C152" i="1"/>
  <c r="D152" i="1" s="1"/>
  <c r="C148" i="1"/>
  <c r="D148" i="1" s="1"/>
  <c r="C149" i="1"/>
  <c r="D149" i="1" s="1"/>
  <c r="C147" i="1"/>
  <c r="D147" i="1" s="1"/>
  <c r="C151" i="1"/>
  <c r="D151" i="1" s="1"/>
  <c r="E6" i="1" l="1"/>
  <c r="K6" i="1" s="1"/>
  <c r="G5" i="1"/>
  <c r="H5" i="1"/>
  <c r="F5" i="1"/>
  <c r="F6" i="1"/>
  <c r="G6" i="1"/>
  <c r="H6" i="1"/>
  <c r="N6" i="1" s="1"/>
  <c r="Q6" i="1" l="1"/>
  <c r="G45" i="1"/>
  <c r="K45" i="1" s="1"/>
  <c r="M5" i="1"/>
  <c r="H41" i="1" s="1"/>
  <c r="O5" i="1"/>
  <c r="L5" i="1"/>
  <c r="G41" i="1" s="1"/>
  <c r="N5" i="1"/>
  <c r="L6" i="1"/>
  <c r="M6" i="1"/>
  <c r="T6" i="1" l="1"/>
  <c r="J45" i="1"/>
  <c r="N45" i="1" s="1"/>
  <c r="R5" i="1"/>
  <c r="K41" i="1"/>
  <c r="T5" i="1"/>
  <c r="I41" i="1"/>
  <c r="M41" i="1" s="1"/>
  <c r="U5" i="1"/>
  <c r="J41" i="1"/>
  <c r="N41" i="1" s="1"/>
  <c r="S5" i="1"/>
  <c r="L41" i="1"/>
  <c r="R6" i="1"/>
  <c r="H45" i="1"/>
  <c r="L45" i="1" s="1"/>
  <c r="S6" i="1"/>
  <c r="I45" i="1"/>
  <c r="M45" i="1" s="1"/>
  <c r="T45" i="1" l="1"/>
  <c r="U45" i="1" s="1"/>
  <c r="L52" i="1" s="1"/>
  <c r="T41" i="1"/>
  <c r="U41" i="1" s="1"/>
  <c r="P52" i="1" s="1"/>
  <c r="V41" i="1" l="1"/>
  <c r="O52" i="1" s="1"/>
  <c r="V45" i="1"/>
  <c r="K52" i="1" s="1"/>
  <c r="L55" i="1" s="1"/>
  <c r="N55" i="1" l="1"/>
  <c r="M55" i="1"/>
  <c r="L59" i="1"/>
  <c r="L62" i="1"/>
  <c r="L57" i="1"/>
  <c r="L58" i="1"/>
  <c r="L61" i="1"/>
  <c r="L56" i="1"/>
  <c r="L60" i="1"/>
  <c r="P58" i="1"/>
  <c r="P59" i="1"/>
  <c r="P61" i="1"/>
  <c r="P62" i="1"/>
  <c r="P63" i="1"/>
  <c r="P60" i="1"/>
  <c r="P56" i="1"/>
  <c r="P55" i="1"/>
  <c r="P57" i="1"/>
  <c r="Q55" i="1" l="1"/>
  <c r="R55" i="1"/>
  <c r="Q56" i="1"/>
  <c r="R56" i="1"/>
  <c r="Q60" i="1"/>
  <c r="R60" i="1"/>
  <c r="M58" i="1"/>
  <c r="N58" i="1"/>
  <c r="Q62" i="1"/>
  <c r="R62" i="1"/>
  <c r="M57" i="1"/>
  <c r="N57" i="1"/>
  <c r="M56" i="1"/>
  <c r="N56" i="1"/>
  <c r="Q61" i="1"/>
  <c r="R61" i="1"/>
  <c r="M62" i="1"/>
  <c r="N62" i="1"/>
  <c r="M59" i="1"/>
  <c r="N59" i="1"/>
  <c r="M60" i="1"/>
  <c r="N60" i="1"/>
  <c r="M61" i="1"/>
  <c r="N61" i="1"/>
  <c r="Q63" i="1"/>
  <c r="R63" i="1"/>
  <c r="Q59" i="1"/>
  <c r="R59" i="1"/>
  <c r="Q57" i="1"/>
  <c r="R57" i="1"/>
  <c r="Q58" i="1"/>
  <c r="R58" i="1"/>
</calcChain>
</file>

<file path=xl/sharedStrings.xml><?xml version="1.0" encoding="utf-8"?>
<sst xmlns="http://schemas.openxmlformats.org/spreadsheetml/2006/main" count="536" uniqueCount="97">
  <si>
    <t>Drained Residual and Fully Softened Secant Friction Angles &amp; Shear Stresses</t>
  </si>
  <si>
    <t>Input</t>
  </si>
  <si>
    <t>Secant Friction Angle, φ' (degrees)</t>
  </si>
  <si>
    <t>Shear Stress, τ (kPa)</t>
  </si>
  <si>
    <t>Shear Stress, τ (psf)</t>
  </si>
  <si>
    <t>LL</t>
  </si>
  <si>
    <t>CF (%)</t>
  </si>
  <si>
    <t>PI</t>
  </si>
  <si>
    <r>
      <t>σ'</t>
    </r>
    <r>
      <rPr>
        <b/>
        <vertAlign val="subscript"/>
        <sz val="12"/>
        <color indexed="8"/>
        <rFont val="Calibri"/>
        <family val="2"/>
      </rPr>
      <t xml:space="preserve">n </t>
    </r>
    <r>
      <rPr>
        <b/>
        <sz val="12"/>
        <color indexed="8"/>
        <rFont val="Calibri"/>
        <family val="2"/>
      </rPr>
      <t xml:space="preserve">  (kPa/psf)</t>
    </r>
  </si>
  <si>
    <t>12/250</t>
  </si>
  <si>
    <t>50/1,044</t>
  </si>
  <si>
    <t>100/2,088</t>
  </si>
  <si>
    <t>400/8,354</t>
  </si>
  <si>
    <t>700/14,620</t>
  </si>
  <si>
    <t>Residual</t>
  </si>
  <si>
    <t>NA</t>
  </si>
  <si>
    <t>Fully Softened</t>
  </si>
  <si>
    <t>Residual Strength</t>
  </si>
  <si>
    <t>Fully Softened Strength</t>
  </si>
  <si>
    <t>CF#1</t>
  </si>
  <si>
    <t>A</t>
  </si>
  <si>
    <t>B</t>
  </si>
  <si>
    <t>C</t>
  </si>
  <si>
    <r>
      <t>σ'</t>
    </r>
    <r>
      <rPr>
        <b/>
        <vertAlign val="subscript"/>
        <sz val="12"/>
        <color indexed="8"/>
        <rFont val="Calibri"/>
        <family val="2"/>
      </rPr>
      <t>n</t>
    </r>
  </si>
  <si>
    <t>X</t>
  </si>
  <si>
    <t>X^2</t>
  </si>
  <si>
    <t>CF#2</t>
  </si>
  <si>
    <t>CF#3</t>
  </si>
  <si>
    <t>D</t>
  </si>
  <si>
    <t>X^3</t>
  </si>
  <si>
    <r>
      <t xml:space="preserve">Left Part of the Plot (40 </t>
    </r>
    <r>
      <rPr>
        <b/>
        <u/>
        <sz val="11"/>
        <color indexed="8"/>
        <rFont val="Calibri"/>
        <family val="2"/>
      </rPr>
      <t>&lt;</t>
    </r>
    <r>
      <rPr>
        <b/>
        <sz val="11"/>
        <color indexed="8"/>
        <rFont val="Calibri"/>
        <family val="2"/>
      </rPr>
      <t xml:space="preserve"> LL </t>
    </r>
    <r>
      <rPr>
        <b/>
        <u/>
        <sz val="11"/>
        <color indexed="8"/>
        <rFont val="Calibri"/>
        <family val="2"/>
      </rPr>
      <t>&lt;</t>
    </r>
    <r>
      <rPr>
        <b/>
        <sz val="11"/>
        <color indexed="8"/>
        <rFont val="Calibri"/>
        <family val="2"/>
      </rPr>
      <t xml:space="preserve"> 120)</t>
    </r>
  </si>
  <si>
    <r>
      <t>Right Part of the Curve (LL</t>
    </r>
    <r>
      <rPr>
        <b/>
        <u/>
        <sz val="11"/>
        <color indexed="8"/>
        <rFont val="Calibri"/>
        <family val="2"/>
      </rPr>
      <t>&gt;</t>
    </r>
    <r>
      <rPr>
        <b/>
        <sz val="11"/>
        <color indexed="8"/>
        <rFont val="Calibri"/>
        <family val="2"/>
      </rPr>
      <t>120)</t>
    </r>
  </si>
  <si>
    <t>Parameters</t>
  </si>
  <si>
    <t>a</t>
  </si>
  <si>
    <t>b</t>
  </si>
  <si>
    <r>
      <t>σ'</t>
    </r>
    <r>
      <rPr>
        <b/>
        <vertAlign val="subscript"/>
        <sz val="12"/>
        <color indexed="8"/>
        <rFont val="Calibri"/>
        <family val="2"/>
      </rPr>
      <t xml:space="preserve">n </t>
    </r>
    <r>
      <rPr>
        <b/>
        <sz val="12"/>
        <color indexed="8"/>
        <rFont val="Calibri"/>
        <family val="2"/>
      </rPr>
      <t xml:space="preserve">  (kPa)</t>
    </r>
  </si>
  <si>
    <t xml:space="preserve"> τ (kPa)</t>
  </si>
  <si>
    <t xml:space="preserve"> φ' (degrees)</t>
  </si>
  <si>
    <t>-</t>
  </si>
  <si>
    <t>LL (%)</t>
  </si>
  <si>
    <t>Aplicable Range</t>
  </si>
  <si>
    <t>Minimum</t>
  </si>
  <si>
    <t>Maximum</t>
  </si>
  <si>
    <t>Group #1 (CF ≤20%)</t>
  </si>
  <si>
    <t>Group #2 (25≤CF ≤45%)</t>
  </si>
  <si>
    <t>Group #3 (CF ≥50%)</t>
  </si>
  <si>
    <t>www.tstark.net</t>
  </si>
  <si>
    <t>Fully Softened Strength Power Function</t>
  </si>
  <si>
    <t>a for CF &lt;20</t>
  </si>
  <si>
    <t>a for CF 20-45</t>
  </si>
  <si>
    <t>a for CF &gt;50</t>
  </si>
  <si>
    <t>Pa</t>
  </si>
  <si>
    <t>kPa</t>
  </si>
  <si>
    <t>psf</t>
  </si>
  <si>
    <t>Fully Softened Strength Power Function Points</t>
  </si>
  <si>
    <t>σ(kpa)</t>
  </si>
  <si>
    <t>τ(kpa)</t>
  </si>
  <si>
    <t>τ(psf)</t>
  </si>
  <si>
    <t>Residual Strength Power Function</t>
  </si>
  <si>
    <r>
      <t xml:space="preserve">CF </t>
    </r>
    <r>
      <rPr>
        <sz val="11"/>
        <color theme="1"/>
        <rFont val="Calibri"/>
        <family val="2"/>
      </rPr>
      <t>≤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20 %</t>
    </r>
  </si>
  <si>
    <t>20% ≤ CF ≤ 45%</t>
  </si>
  <si>
    <r>
      <t xml:space="preserve">CF </t>
    </r>
    <r>
      <rPr>
        <sz val="11"/>
        <color theme="1"/>
        <rFont val="Calibri"/>
        <family val="2"/>
      </rPr>
      <t>≥ 50%</t>
    </r>
  </si>
  <si>
    <t>−</t>
  </si>
  <si>
    <t>Residual Strength Power Function Points</t>
  </si>
  <si>
    <t xml:space="preserve">*Note that FSS secant friction angles in this correlation are increased by 2.5° to reflect a triaxial compression mode of shear after Stark and Eid (1997). To compare with ring shear and direct shear laboratory data decrease φ' by 2.5° </t>
  </si>
  <si>
    <t>X^4</t>
  </si>
  <si>
    <t>X^5</t>
  </si>
  <si>
    <t>E</t>
  </si>
  <si>
    <t>F</t>
  </si>
  <si>
    <t>PI (%)</t>
  </si>
  <si>
    <t xml:space="preserve">All CF Groups </t>
  </si>
  <si>
    <t>Power function calculations</t>
  </si>
  <si>
    <t>x avergae</t>
  </si>
  <si>
    <t>y average</t>
  </si>
  <si>
    <t>b (measured)</t>
  </si>
  <si>
    <t>a (measured)</t>
  </si>
  <si>
    <t>Effective Normal Stress (kN)</t>
  </si>
  <si>
    <t>Residual Strength (kN)</t>
  </si>
  <si>
    <t>FSS Strength (kN)</t>
  </si>
  <si>
    <t>cf1</t>
  </si>
  <si>
    <t>cf2</t>
  </si>
  <si>
    <t>cf3</t>
  </si>
  <si>
    <t>FSS power function coefficients</t>
  </si>
  <si>
    <t>Residual power function coefficients</t>
  </si>
  <si>
    <t xml:space="preserve"> τ (psf)</t>
  </si>
  <si>
    <t>FSS Power Function Based on PI- Stark and Idries (2021)</t>
  </si>
  <si>
    <t>Residual Power Function Based on PI- Stark and Idries (2021)</t>
  </si>
  <si>
    <t>FSS Power Function Based on LL&amp;CF- Stark and Idries (2021)</t>
  </si>
  <si>
    <t>Residual Power Function Based on LL&amp;CF- Stark and Idries (2021)</t>
  </si>
  <si>
    <t>(Use this Worksheet when LL and CF are available)</t>
  </si>
  <si>
    <t>*Note that FSS secant friction angles in this worksheet tab (Laboratory) are NOT increased by 2.5°, and therefore, they reflect a Ring Shear (RS) mode of shear to compare with ring shear and direct shear laboratory data.</t>
  </si>
  <si>
    <t>X^6</t>
  </si>
  <si>
    <t>log strength</t>
  </si>
  <si>
    <t>log normal</t>
  </si>
  <si>
    <t>x avg</t>
  </si>
  <si>
    <t>y avg</t>
  </si>
  <si>
    <t>(Use this Worksheet when only PI is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</si>
</sst>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E+00"/>
    <numFmt numFmtId="167" formatCode="0.00000"/>
    <numFmt numFmtId="168" formatCode="0.00000000"/>
    <numFmt numFmtId="169" formatCode="0.0000000"/>
    <numFmt numFmtId="170" formatCode="0.0000"/>
    <numFmt numFmtId="171" formatCode="0.0000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vertAlign val="subscript"/>
      <sz val="12"/>
      <color indexed="8"/>
      <name val="Calibri"/>
      <family val="2"/>
    </font>
    <font>
      <sz val="14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3"/>
      <name val="Calibri"/>
      <family val="2"/>
    </font>
    <font>
      <sz val="12"/>
      <color indexed="13"/>
      <name val="Calibri"/>
      <family val="2"/>
    </font>
    <font>
      <sz val="16"/>
      <color indexed="8"/>
      <name val="Calibri"/>
      <family val="2"/>
    </font>
    <font>
      <b/>
      <sz val="14"/>
      <color theme="0"/>
      <name val="Calibri"/>
      <family val="2"/>
    </font>
    <font>
      <b/>
      <sz val="14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u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2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8"/>
      <name val="Calibri"/>
      <family val="2"/>
      <scheme val="minor"/>
    </font>
    <font>
      <sz val="12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rgb="FFFF0000"/>
      <name val="Calibri"/>
      <family val="2"/>
    </font>
    <font>
      <b/>
      <sz val="17"/>
      <color rgb="FFFF0000"/>
      <name val="Calibri"/>
      <family val="2"/>
    </font>
    <font>
      <b/>
      <sz val="16"/>
      <name val="Calibri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1FF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6" fillId="0" borderId="0"/>
  </cellStyleXfs>
  <cellXfs count="294">
    <xf numFmtId="0" fontId="0" fillId="0" borderId="0" xfId="0"/>
    <xf numFmtId="0" fontId="8" fillId="4" borderId="4" xfId="0" applyFont="1" applyFill="1" applyBorder="1" applyAlignment="1" applyProtection="1">
      <alignment horizontal="center"/>
      <protection locked="0"/>
    </xf>
    <xf numFmtId="0" fontId="0" fillId="2" borderId="0" xfId="0" applyFill="1" applyProtection="1">
      <protection hidden="1"/>
    </xf>
    <xf numFmtId="0" fontId="8" fillId="2" borderId="4" xfId="0" applyFont="1" applyFill="1" applyBorder="1" applyProtection="1">
      <protection hidden="1"/>
    </xf>
    <xf numFmtId="0" fontId="10" fillId="10" borderId="4" xfId="0" applyFont="1" applyFill="1" applyBorder="1" applyAlignment="1" applyProtection="1">
      <alignment horizontal="center" vertical="center"/>
      <protection hidden="1"/>
    </xf>
    <xf numFmtId="164" fontId="11" fillId="10" borderId="4" xfId="0" applyNumberFormat="1" applyFont="1" applyFill="1" applyBorder="1" applyAlignment="1" applyProtection="1">
      <alignment horizontal="center" vertical="center"/>
      <protection hidden="1"/>
    </xf>
    <xf numFmtId="167" fontId="11" fillId="10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0" xfId="0" applyFill="1" applyBorder="1" applyProtection="1">
      <protection hidden="1"/>
    </xf>
    <xf numFmtId="0" fontId="12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7" borderId="0" xfId="0" applyFill="1" applyBorder="1" applyAlignment="1" applyProtection="1">
      <alignment horizontal="center"/>
      <protection hidden="1"/>
    </xf>
    <xf numFmtId="164" fontId="0" fillId="7" borderId="0" xfId="0" applyNumberFormat="1" applyFill="1" applyBorder="1" applyAlignment="1" applyProtection="1">
      <alignment horizontal="center"/>
      <protection hidden="1"/>
    </xf>
    <xf numFmtId="164" fontId="0" fillId="7" borderId="7" xfId="0" applyNumberFormat="1" applyFill="1" applyBorder="1" applyAlignment="1" applyProtection="1">
      <alignment horizontal="center"/>
      <protection hidden="1"/>
    </xf>
    <xf numFmtId="0" fontId="14" fillId="7" borderId="5" xfId="0" applyFont="1" applyFill="1" applyBorder="1" applyProtection="1">
      <protection hidden="1"/>
    </xf>
    <xf numFmtId="0" fontId="15" fillId="7" borderId="5" xfId="0" applyFont="1" applyFill="1" applyBorder="1" applyAlignment="1" applyProtection="1">
      <alignment horizontal="center"/>
      <protection hidden="1"/>
    </xf>
    <xf numFmtId="164" fontId="16" fillId="7" borderId="5" xfId="0" applyNumberFormat="1" applyFont="1" applyFill="1" applyBorder="1" applyAlignment="1" applyProtection="1">
      <alignment horizontal="center"/>
      <protection hidden="1"/>
    </xf>
    <xf numFmtId="0" fontId="16" fillId="7" borderId="5" xfId="0" applyFont="1" applyFill="1" applyBorder="1" applyAlignment="1" applyProtection="1">
      <alignment horizontal="center"/>
      <protection hidden="1"/>
    </xf>
    <xf numFmtId="0" fontId="0" fillId="7" borderId="9" xfId="0" applyFill="1" applyBorder="1" applyAlignment="1" applyProtection="1">
      <alignment horizontal="center"/>
      <protection hidden="1"/>
    </xf>
    <xf numFmtId="164" fontId="0" fillId="7" borderId="9" xfId="0" applyNumberFormat="1" applyFill="1" applyBorder="1" applyAlignment="1" applyProtection="1">
      <alignment horizontal="center"/>
      <protection hidden="1"/>
    </xf>
    <xf numFmtId="164" fontId="0" fillId="7" borderId="10" xfId="0" applyNumberFormat="1" applyFill="1" applyBorder="1" applyAlignment="1" applyProtection="1">
      <alignment horizontal="center"/>
      <protection hidden="1"/>
    </xf>
    <xf numFmtId="0" fontId="6" fillId="7" borderId="4" xfId="0" applyFont="1" applyFill="1" applyBorder="1" applyAlignment="1" applyProtection="1">
      <alignment horizontal="center"/>
      <protection hidden="1"/>
    </xf>
    <xf numFmtId="0" fontId="15" fillId="7" borderId="4" xfId="0" applyFont="1" applyFill="1" applyBorder="1" applyAlignment="1" applyProtection="1">
      <alignment horizontal="center"/>
      <protection hidden="1"/>
    </xf>
    <xf numFmtId="164" fontId="16" fillId="7" borderId="4" xfId="0" applyNumberFormat="1" applyFont="1" applyFill="1" applyBorder="1" applyAlignment="1" applyProtection="1">
      <alignment horizontal="center"/>
      <protection hidden="1"/>
    </xf>
    <xf numFmtId="0" fontId="16" fillId="7" borderId="4" xfId="0" applyFont="1" applyFill="1" applyBorder="1" applyAlignment="1" applyProtection="1">
      <alignment horizontal="center"/>
      <protection hidden="1"/>
    </xf>
    <xf numFmtId="0" fontId="0" fillId="4" borderId="12" xfId="0" applyFill="1" applyBorder="1" applyAlignment="1" applyProtection="1">
      <alignment horizontal="center"/>
      <protection hidden="1"/>
    </xf>
    <xf numFmtId="164" fontId="0" fillId="4" borderId="12" xfId="0" applyNumberFormat="1" applyFill="1" applyBorder="1" applyAlignment="1" applyProtection="1">
      <alignment horizontal="center"/>
      <protection hidden="1"/>
    </xf>
    <xf numFmtId="164" fontId="0" fillId="4" borderId="13" xfId="0" applyNumberFormat="1" applyFill="1" applyBorder="1" applyAlignment="1" applyProtection="1">
      <alignment horizontal="center"/>
      <protection hidden="1"/>
    </xf>
    <xf numFmtId="0" fontId="0" fillId="6" borderId="4" xfId="0" applyFill="1" applyBorder="1" applyProtection="1">
      <protection hidden="1"/>
    </xf>
    <xf numFmtId="2" fontId="0" fillId="6" borderId="0" xfId="0" applyNumberFormat="1" applyFill="1" applyProtection="1">
      <protection hidden="1"/>
    </xf>
    <xf numFmtId="165" fontId="0" fillId="6" borderId="0" xfId="0" applyNumberFormat="1" applyFill="1" applyProtection="1">
      <protection hidden="1"/>
    </xf>
    <xf numFmtId="166" fontId="0" fillId="6" borderId="0" xfId="0" applyNumberFormat="1" applyFill="1" applyProtection="1">
      <protection hidden="1"/>
    </xf>
    <xf numFmtId="0" fontId="15" fillId="3" borderId="4" xfId="0" applyFont="1" applyFill="1" applyBorder="1" applyProtection="1">
      <protection hidden="1"/>
    </xf>
    <xf numFmtId="165" fontId="0" fillId="3" borderId="0" xfId="0" applyNumberFormat="1" applyFont="1" applyFill="1" applyProtection="1">
      <protection hidden="1"/>
    </xf>
    <xf numFmtId="167" fontId="0" fillId="3" borderId="0" xfId="0" applyNumberFormat="1" applyFill="1" applyProtection="1">
      <protection hidden="1"/>
    </xf>
    <xf numFmtId="168" fontId="0" fillId="3" borderId="0" xfId="0" applyNumberFormat="1" applyFill="1" applyProtection="1">
      <protection hidden="1"/>
    </xf>
    <xf numFmtId="0" fontId="0" fillId="4" borderId="9" xfId="0" applyFill="1" applyBorder="1" applyAlignment="1" applyProtection="1">
      <alignment horizontal="center"/>
      <protection hidden="1"/>
    </xf>
    <xf numFmtId="164" fontId="0" fillId="4" borderId="9" xfId="0" applyNumberFormat="1" applyFill="1" applyBorder="1" applyAlignment="1" applyProtection="1">
      <alignment horizontal="center"/>
      <protection hidden="1"/>
    </xf>
    <xf numFmtId="164" fontId="0" fillId="4" borderId="10" xfId="0" applyNumberFormat="1" applyFill="1" applyBorder="1" applyAlignment="1" applyProtection="1">
      <alignment horizontal="center"/>
      <protection hidden="1"/>
    </xf>
    <xf numFmtId="0" fontId="0" fillId="12" borderId="4" xfId="0" applyFill="1" applyBorder="1" applyProtection="1">
      <protection hidden="1"/>
    </xf>
    <xf numFmtId="2" fontId="0" fillId="12" borderId="0" xfId="0" applyNumberFormat="1" applyFill="1" applyProtection="1">
      <protection hidden="1"/>
    </xf>
    <xf numFmtId="165" fontId="0" fillId="12" borderId="0" xfId="0" applyNumberFormat="1" applyFill="1" applyProtection="1">
      <protection hidden="1"/>
    </xf>
    <xf numFmtId="166" fontId="0" fillId="12" borderId="0" xfId="0" applyNumberFormat="1" applyFill="1" applyProtection="1">
      <protection hidden="1"/>
    </xf>
    <xf numFmtId="0" fontId="15" fillId="4" borderId="4" xfId="0" applyFont="1" applyFill="1" applyBorder="1" applyProtection="1">
      <protection hidden="1"/>
    </xf>
    <xf numFmtId="165" fontId="0" fillId="4" borderId="0" xfId="0" applyNumberFormat="1" applyFill="1" applyProtection="1">
      <protection hidden="1"/>
    </xf>
    <xf numFmtId="167" fontId="0" fillId="4" borderId="0" xfId="0" applyNumberFormat="1" applyFill="1" applyProtection="1">
      <protection hidden="1"/>
    </xf>
    <xf numFmtId="169" fontId="0" fillId="4" borderId="0" xfId="0" applyNumberFormat="1" applyFill="1" applyProtection="1">
      <protection hidden="1"/>
    </xf>
    <xf numFmtId="0" fontId="0" fillId="13" borderId="12" xfId="0" applyFill="1" applyBorder="1" applyAlignment="1" applyProtection="1">
      <alignment horizontal="center"/>
      <protection hidden="1"/>
    </xf>
    <xf numFmtId="164" fontId="0" fillId="13" borderId="12" xfId="0" applyNumberFormat="1" applyFill="1" applyBorder="1" applyAlignment="1" applyProtection="1">
      <alignment horizontal="center"/>
      <protection hidden="1"/>
    </xf>
    <xf numFmtId="164" fontId="0" fillId="13" borderId="13" xfId="0" applyNumberFormat="1" applyFill="1" applyBorder="1" applyAlignment="1" applyProtection="1">
      <alignment horizontal="center"/>
      <protection hidden="1"/>
    </xf>
    <xf numFmtId="0" fontId="0" fillId="4" borderId="4" xfId="0" applyFill="1" applyBorder="1" applyProtection="1">
      <protection hidden="1"/>
    </xf>
    <xf numFmtId="2" fontId="0" fillId="4" borderId="0" xfId="0" applyNumberFormat="1" applyFill="1" applyProtection="1">
      <protection hidden="1"/>
    </xf>
    <xf numFmtId="166" fontId="0" fillId="4" borderId="0" xfId="0" applyNumberFormat="1" applyFill="1" applyProtection="1">
      <protection hidden="1"/>
    </xf>
    <xf numFmtId="0" fontId="15" fillId="14" borderId="4" xfId="0" applyFont="1" applyFill="1" applyBorder="1" applyProtection="1">
      <protection hidden="1"/>
    </xf>
    <xf numFmtId="165" fontId="0" fillId="14" borderId="0" xfId="0" applyNumberFormat="1" applyFill="1" applyProtection="1">
      <protection hidden="1"/>
    </xf>
    <xf numFmtId="167" fontId="0" fillId="14" borderId="0" xfId="0" applyNumberFormat="1" applyFill="1" applyProtection="1">
      <protection hidden="1"/>
    </xf>
    <xf numFmtId="169" fontId="0" fillId="14" borderId="0" xfId="0" applyNumberFormat="1" applyFill="1" applyProtection="1">
      <protection hidden="1"/>
    </xf>
    <xf numFmtId="0" fontId="0" fillId="13" borderId="0" xfId="0" applyFill="1" applyBorder="1" applyAlignment="1" applyProtection="1">
      <alignment horizontal="center"/>
      <protection hidden="1"/>
    </xf>
    <xf numFmtId="164" fontId="0" fillId="13" borderId="0" xfId="0" applyNumberFormat="1" applyFill="1" applyBorder="1" applyAlignment="1" applyProtection="1">
      <alignment horizontal="center"/>
      <protection hidden="1"/>
    </xf>
    <xf numFmtId="164" fontId="0" fillId="13" borderId="7" xfId="0" applyNumberFormat="1" applyFill="1" applyBorder="1" applyAlignment="1" applyProtection="1">
      <alignment horizontal="center"/>
      <protection hidden="1"/>
    </xf>
    <xf numFmtId="0" fontId="0" fillId="14" borderId="4" xfId="0" applyFill="1" applyBorder="1" applyProtection="1">
      <protection hidden="1"/>
    </xf>
    <xf numFmtId="2" fontId="0" fillId="14" borderId="0" xfId="0" applyNumberFormat="1" applyFill="1" applyProtection="1">
      <protection hidden="1"/>
    </xf>
    <xf numFmtId="166" fontId="0" fillId="14" borderId="0" xfId="0" applyNumberFormat="1" applyFill="1" applyProtection="1">
      <protection hidden="1"/>
    </xf>
    <xf numFmtId="0" fontId="16" fillId="13" borderId="9" xfId="0" applyFont="1" applyFill="1" applyBorder="1" applyAlignment="1" applyProtection="1">
      <alignment horizontal="center"/>
      <protection hidden="1"/>
    </xf>
    <xf numFmtId="164" fontId="16" fillId="13" borderId="9" xfId="0" applyNumberFormat="1" applyFont="1" applyFill="1" applyBorder="1" applyAlignment="1" applyProtection="1">
      <alignment horizontal="center"/>
      <protection hidden="1"/>
    </xf>
    <xf numFmtId="164" fontId="16" fillId="13" borderId="10" xfId="0" applyNumberFormat="1" applyFont="1" applyFill="1" applyBorder="1" applyAlignment="1" applyProtection="1">
      <alignment horizontal="center"/>
      <protection hidden="1"/>
    </xf>
    <xf numFmtId="0" fontId="14" fillId="4" borderId="4" xfId="0" applyFont="1" applyFill="1" applyBorder="1" applyProtection="1">
      <protection hidden="1"/>
    </xf>
    <xf numFmtId="0" fontId="15" fillId="4" borderId="4" xfId="0" applyFont="1" applyFill="1" applyBorder="1" applyAlignment="1" applyProtection="1">
      <alignment horizontal="center"/>
      <protection hidden="1"/>
    </xf>
    <xf numFmtId="164" fontId="16" fillId="4" borderId="4" xfId="0" applyNumberFormat="1" applyFont="1" applyFill="1" applyBorder="1" applyAlignment="1" applyProtection="1">
      <alignment horizontal="center"/>
      <protection hidden="1"/>
    </xf>
    <xf numFmtId="0" fontId="16" fillId="4" borderId="4" xfId="0" applyFont="1" applyFill="1" applyBorder="1" applyAlignment="1" applyProtection="1">
      <alignment horizontal="center"/>
      <protection hidden="1"/>
    </xf>
    <xf numFmtId="0" fontId="6" fillId="4" borderId="1" xfId="0" applyFont="1" applyFill="1" applyBorder="1" applyAlignment="1" applyProtection="1">
      <alignment horizontal="center"/>
      <protection hidden="1"/>
    </xf>
    <xf numFmtId="0" fontId="0" fillId="7" borderId="12" xfId="0" applyFill="1" applyBorder="1" applyAlignment="1" applyProtection="1">
      <alignment horizontal="center"/>
      <protection hidden="1"/>
    </xf>
    <xf numFmtId="164" fontId="0" fillId="7" borderId="12" xfId="0" applyNumberFormat="1" applyFill="1" applyBorder="1" applyAlignment="1" applyProtection="1">
      <alignment horizontal="center"/>
      <protection hidden="1"/>
    </xf>
    <xf numFmtId="164" fontId="0" fillId="7" borderId="13" xfId="0" applyNumberFormat="1" applyFill="1" applyBorder="1" applyAlignment="1" applyProtection="1">
      <alignment horizontal="center"/>
      <protection hidden="1"/>
    </xf>
    <xf numFmtId="164" fontId="0" fillId="6" borderId="0" xfId="0" applyNumberFormat="1" applyFill="1" applyProtection="1">
      <protection hidden="1"/>
    </xf>
    <xf numFmtId="11" fontId="0" fillId="6" borderId="0" xfId="0" applyNumberFormat="1" applyFill="1" applyProtection="1">
      <protection hidden="1"/>
    </xf>
    <xf numFmtId="164" fontId="0" fillId="3" borderId="0" xfId="0" applyNumberFormat="1" applyFill="1" applyProtection="1">
      <protection hidden="1"/>
    </xf>
    <xf numFmtId="11" fontId="0" fillId="3" borderId="0" xfId="0" applyNumberFormat="1" applyFill="1" applyProtection="1">
      <protection hidden="1"/>
    </xf>
    <xf numFmtId="168" fontId="0" fillId="4" borderId="0" xfId="0" applyNumberFormat="1" applyFill="1" applyProtection="1">
      <protection hidden="1"/>
    </xf>
    <xf numFmtId="168" fontId="0" fillId="14" borderId="0" xfId="0" applyNumberFormat="1" applyFill="1" applyProtection="1">
      <protection hidden="1"/>
    </xf>
    <xf numFmtId="164" fontId="0" fillId="14" borderId="0" xfId="0" applyNumberFormat="1" applyFill="1" applyProtection="1">
      <protection hidden="1"/>
    </xf>
    <xf numFmtId="11" fontId="0" fillId="14" borderId="0" xfId="0" applyNumberFormat="1" applyFill="1" applyProtection="1">
      <protection hidden="1"/>
    </xf>
    <xf numFmtId="0" fontId="15" fillId="7" borderId="0" xfId="0" applyFont="1" applyFill="1" applyAlignment="1" applyProtection="1">
      <alignment horizontal="left"/>
      <protection hidden="1"/>
    </xf>
    <xf numFmtId="0" fontId="15" fillId="7" borderId="0" xfId="0" applyFont="1" applyFill="1" applyAlignment="1" applyProtection="1">
      <alignment horizontal="center"/>
      <protection hidden="1"/>
    </xf>
    <xf numFmtId="0" fontId="14" fillId="13" borderId="4" xfId="0" applyFont="1" applyFill="1" applyBorder="1" applyProtection="1">
      <protection hidden="1"/>
    </xf>
    <xf numFmtId="0" fontId="15" fillId="13" borderId="4" xfId="0" applyFont="1" applyFill="1" applyBorder="1" applyAlignment="1" applyProtection="1">
      <alignment horizontal="center"/>
      <protection hidden="1"/>
    </xf>
    <xf numFmtId="164" fontId="16" fillId="13" borderId="4" xfId="0" applyNumberFormat="1" applyFont="1" applyFill="1" applyBorder="1" applyAlignment="1" applyProtection="1">
      <alignment horizontal="center"/>
      <protection hidden="1"/>
    </xf>
    <xf numFmtId="0" fontId="16" fillId="13" borderId="4" xfId="0" applyFont="1" applyFill="1" applyBorder="1" applyAlignment="1" applyProtection="1">
      <alignment horizontal="center"/>
      <protection hidden="1"/>
    </xf>
    <xf numFmtId="0" fontId="6" fillId="13" borderId="1" xfId="0" applyFont="1" applyFill="1" applyBorder="1" applyAlignment="1" applyProtection="1">
      <alignment horizontal="center"/>
      <protection hidden="1"/>
    </xf>
    <xf numFmtId="0" fontId="0" fillId="13" borderId="4" xfId="0" applyFill="1" applyBorder="1" applyProtection="1">
      <protection hidden="1"/>
    </xf>
    <xf numFmtId="2" fontId="0" fillId="0" borderId="0" xfId="0" applyNumberFormat="1" applyProtection="1">
      <protection hidden="1"/>
    </xf>
    <xf numFmtId="170" fontId="0" fillId="0" borderId="0" xfId="0" applyNumberFormat="1" applyProtection="1">
      <protection hidden="1"/>
    </xf>
    <xf numFmtId="11" fontId="0" fillId="0" borderId="0" xfId="0" applyNumberFormat="1" applyProtection="1">
      <protection hidden="1"/>
    </xf>
    <xf numFmtId="166" fontId="0" fillId="0" borderId="0" xfId="0" applyNumberFormat="1" applyProtection="1">
      <protection hidden="1"/>
    </xf>
    <xf numFmtId="0" fontId="15" fillId="13" borderId="4" xfId="0" applyFont="1" applyFill="1" applyBorder="1" applyProtection="1">
      <protection hidden="1"/>
    </xf>
    <xf numFmtId="2" fontId="0" fillId="3" borderId="0" xfId="0" applyNumberFormat="1" applyFont="1" applyFill="1" applyProtection="1">
      <protection hidden="1"/>
    </xf>
    <xf numFmtId="171" fontId="0" fillId="3" borderId="0" xfId="0" applyNumberFormat="1" applyFill="1" applyProtection="1">
      <protection hidden="1"/>
    </xf>
    <xf numFmtId="171" fontId="0" fillId="4" borderId="0" xfId="0" applyNumberFormat="1" applyFill="1" applyProtection="1">
      <protection hidden="1"/>
    </xf>
    <xf numFmtId="171" fontId="0" fillId="14" borderId="0" xfId="0" applyNumberFormat="1" applyFill="1" applyProtection="1">
      <protection hidden="1"/>
    </xf>
    <xf numFmtId="165" fontId="0" fillId="0" borderId="0" xfId="0" applyNumberFormat="1" applyProtection="1">
      <protection hidden="1"/>
    </xf>
    <xf numFmtId="0" fontId="0" fillId="2" borderId="0" xfId="0" applyFill="1" applyAlignment="1" applyProtection="1">
      <protection hidden="1"/>
    </xf>
    <xf numFmtId="0" fontId="19" fillId="26" borderId="4" xfId="0" applyFont="1" applyFill="1" applyBorder="1" applyAlignment="1" applyProtection="1">
      <alignment horizontal="center"/>
      <protection hidden="1"/>
    </xf>
    <xf numFmtId="0" fontId="0" fillId="15" borderId="4" xfId="0" applyFill="1" applyBorder="1" applyAlignment="1" applyProtection="1">
      <alignment horizontal="center"/>
      <protection hidden="1"/>
    </xf>
    <xf numFmtId="0" fontId="18" fillId="5" borderId="4" xfId="0" applyFont="1" applyFill="1" applyBorder="1" applyAlignment="1" applyProtection="1">
      <alignment horizontal="center"/>
      <protection hidden="1"/>
    </xf>
    <xf numFmtId="0" fontId="6" fillId="5" borderId="1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protection hidden="1"/>
    </xf>
    <xf numFmtId="0" fontId="20" fillId="16" borderId="4" xfId="0" applyFont="1" applyFill="1" applyBorder="1" applyAlignment="1" applyProtection="1">
      <alignment horizontal="center"/>
      <protection hidden="1"/>
    </xf>
    <xf numFmtId="164" fontId="20" fillId="16" borderId="4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18" fillId="17" borderId="4" xfId="0" applyFont="1" applyFill="1" applyBorder="1" applyAlignment="1" applyProtection="1">
      <alignment horizontal="center" vertical="center"/>
      <protection hidden="1"/>
    </xf>
    <xf numFmtId="0" fontId="18" fillId="5" borderId="4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22" fillId="17" borderId="4" xfId="0" applyFont="1" applyFill="1" applyBorder="1" applyAlignment="1" applyProtection="1">
      <alignment horizontal="center" vertical="center"/>
      <protection hidden="1"/>
    </xf>
    <xf numFmtId="0" fontId="22" fillId="5" borderId="4" xfId="0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7" fillId="0" borderId="0" xfId="2" applyFont="1" applyAlignment="1" applyProtection="1">
      <alignment horizontal="left"/>
      <protection hidden="1"/>
    </xf>
    <xf numFmtId="0" fontId="26" fillId="0" borderId="0" xfId="2" applyFont="1" applyProtection="1">
      <protection hidden="1"/>
    </xf>
    <xf numFmtId="0" fontId="0" fillId="8" borderId="0" xfId="0" applyFill="1" applyProtection="1">
      <protection hidden="1"/>
    </xf>
    <xf numFmtId="0" fontId="0" fillId="18" borderId="0" xfId="0" applyFill="1" applyProtection="1">
      <protection hidden="1"/>
    </xf>
    <xf numFmtId="0" fontId="26" fillId="18" borderId="0" xfId="2" applyFont="1" applyFill="1" applyProtection="1">
      <protection hidden="1"/>
    </xf>
    <xf numFmtId="0" fontId="0" fillId="19" borderId="0" xfId="0" applyFill="1" applyProtection="1">
      <protection hidden="1"/>
    </xf>
    <xf numFmtId="0" fontId="28" fillId="20" borderId="0" xfId="0" applyFont="1" applyFill="1" applyProtection="1">
      <protection hidden="1"/>
    </xf>
    <xf numFmtId="0" fontId="0" fillId="15" borderId="0" xfId="0" applyFill="1" applyProtection="1">
      <protection hidden="1"/>
    </xf>
    <xf numFmtId="0" fontId="0" fillId="21" borderId="0" xfId="0" applyFill="1" applyProtection="1">
      <protection hidden="1"/>
    </xf>
    <xf numFmtId="0" fontId="0" fillId="22" borderId="0" xfId="0" applyFill="1" applyProtection="1">
      <protection hidden="1"/>
    </xf>
    <xf numFmtId="0" fontId="0" fillId="23" borderId="0" xfId="0" applyFill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70" fontId="0" fillId="0" borderId="9" xfId="0" applyNumberForma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170" fontId="28" fillId="0" borderId="0" xfId="0" applyNumberFormat="1" applyFont="1" applyBorder="1" applyAlignment="1" applyProtection="1">
      <alignment horizontal="center"/>
      <protection hidden="1"/>
    </xf>
    <xf numFmtId="170" fontId="28" fillId="0" borderId="9" xfId="0" applyNumberFormat="1" applyFont="1" applyBorder="1" applyAlignment="1" applyProtection="1">
      <alignment horizontal="center"/>
      <protection hidden="1"/>
    </xf>
    <xf numFmtId="0" fontId="6" fillId="9" borderId="4" xfId="0" applyFont="1" applyFill="1" applyBorder="1" applyAlignment="1" applyProtection="1">
      <alignment horizontal="center" vertical="center"/>
      <protection hidden="1"/>
    </xf>
    <xf numFmtId="0" fontId="9" fillId="9" borderId="4" xfId="0" applyFont="1" applyFill="1" applyBorder="1" applyAlignment="1" applyProtection="1">
      <alignment horizontal="center" vertical="center"/>
      <protection hidden="1"/>
    </xf>
    <xf numFmtId="164" fontId="9" fillId="9" borderId="4" xfId="0" applyNumberFormat="1" applyFont="1" applyFill="1" applyBorder="1" applyAlignment="1" applyProtection="1">
      <alignment horizontal="center" vertical="center"/>
      <protection hidden="1"/>
    </xf>
    <xf numFmtId="2" fontId="9" fillId="9" borderId="4" xfId="0" applyNumberFormat="1" applyFont="1" applyFill="1" applyBorder="1" applyAlignment="1" applyProtection="1">
      <alignment horizontal="center" vertical="center"/>
      <protection hidden="1"/>
    </xf>
    <xf numFmtId="1" fontId="6" fillId="25" borderId="4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0" fillId="5" borderId="4" xfId="0" applyFill="1" applyBorder="1" applyProtection="1">
      <protection hidden="1"/>
    </xf>
    <xf numFmtId="0" fontId="6" fillId="2" borderId="4" xfId="0" applyFont="1" applyFill="1" applyBorder="1" applyAlignment="1" applyProtection="1">
      <alignment horizontal="center"/>
      <protection hidden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6" fillId="8" borderId="4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1" fontId="6" fillId="7" borderId="4" xfId="0" applyNumberFormat="1" applyFont="1" applyFill="1" applyBorder="1" applyAlignment="1" applyProtection="1">
      <alignment horizontal="center" vertical="center"/>
      <protection hidden="1"/>
    </xf>
    <xf numFmtId="0" fontId="0" fillId="27" borderId="0" xfId="0" applyFill="1" applyProtection="1">
      <protection hidden="1"/>
    </xf>
    <xf numFmtId="164" fontId="31" fillId="9" borderId="4" xfId="0" applyNumberFormat="1" applyFont="1" applyFill="1" applyBorder="1" applyAlignment="1" applyProtection="1">
      <alignment horizontal="center" vertical="center"/>
      <protection hidden="1"/>
    </xf>
    <xf numFmtId="164" fontId="23" fillId="27" borderId="0" xfId="0" applyNumberFormat="1" applyFont="1" applyFill="1" applyBorder="1" applyAlignment="1" applyProtection="1">
      <alignment horizontal="center"/>
      <protection hidden="1"/>
    </xf>
    <xf numFmtId="0" fontId="0" fillId="13" borderId="0" xfId="0" applyFill="1" applyBorder="1" applyProtection="1">
      <protection hidden="1"/>
    </xf>
    <xf numFmtId="0" fontId="0" fillId="24" borderId="4" xfId="0" applyFill="1" applyBorder="1"/>
    <xf numFmtId="0" fontId="34" fillId="29" borderId="4" xfId="0" applyFont="1" applyFill="1" applyBorder="1"/>
    <xf numFmtId="1" fontId="0" fillId="7" borderId="4" xfId="0" applyNumberFormat="1" applyFill="1" applyBorder="1" applyAlignment="1" applyProtection="1">
      <alignment horizontal="center"/>
      <protection hidden="1"/>
    </xf>
    <xf numFmtId="1" fontId="0" fillId="8" borderId="4" xfId="0" applyNumberFormat="1" applyFill="1" applyBorder="1" applyProtection="1">
      <protection hidden="1"/>
    </xf>
    <xf numFmtId="0" fontId="0" fillId="29" borderId="4" xfId="0" applyFill="1" applyBorder="1"/>
    <xf numFmtId="0" fontId="0" fillId="30" borderId="0" xfId="0" applyFill="1" applyProtection="1">
      <protection hidden="1"/>
    </xf>
    <xf numFmtId="1" fontId="0" fillId="30" borderId="0" xfId="0" applyNumberFormat="1" applyFill="1" applyProtection="1">
      <protection hidden="1"/>
    </xf>
    <xf numFmtId="0" fontId="0" fillId="30" borderId="0" xfId="0" applyFill="1" applyBorder="1" applyProtection="1">
      <protection hidden="1"/>
    </xf>
    <xf numFmtId="0" fontId="14" fillId="30" borderId="20" xfId="0" applyFont="1" applyFill="1" applyBorder="1" applyProtection="1">
      <protection hidden="1"/>
    </xf>
    <xf numFmtId="0" fontId="15" fillId="30" borderId="20" xfId="0" applyFont="1" applyFill="1" applyBorder="1" applyAlignment="1" applyProtection="1">
      <alignment horizontal="center"/>
      <protection hidden="1"/>
    </xf>
    <xf numFmtId="164" fontId="16" fillId="30" borderId="20" xfId="0" applyNumberFormat="1" applyFont="1" applyFill="1" applyBorder="1" applyAlignment="1" applyProtection="1">
      <alignment horizontal="center"/>
      <protection hidden="1"/>
    </xf>
    <xf numFmtId="0" fontId="16" fillId="30" borderId="20" xfId="0" applyFont="1" applyFill="1" applyBorder="1" applyAlignment="1" applyProtection="1">
      <alignment horizontal="center"/>
      <protection hidden="1"/>
    </xf>
    <xf numFmtId="164" fontId="0" fillId="26" borderId="4" xfId="0" applyNumberFormat="1" applyFill="1" applyBorder="1" applyProtection="1">
      <protection hidden="1"/>
    </xf>
    <xf numFmtId="0" fontId="0" fillId="15" borderId="4" xfId="0" applyFill="1" applyBorder="1"/>
    <xf numFmtId="0" fontId="0" fillId="27" borderId="0" xfId="0" applyFill="1" applyBorder="1" applyAlignment="1" applyProtection="1">
      <alignment horizontal="center"/>
      <protection hidden="1"/>
    </xf>
    <xf numFmtId="0" fontId="0" fillId="2" borderId="21" xfId="0" applyFill="1" applyBorder="1" applyProtection="1">
      <protection hidden="1"/>
    </xf>
    <xf numFmtId="0" fontId="19" fillId="26" borderId="23" xfId="0" applyFont="1" applyFill="1" applyBorder="1" applyAlignment="1" applyProtection="1">
      <alignment horizontal="center"/>
      <protection hidden="1"/>
    </xf>
    <xf numFmtId="0" fontId="0" fillId="27" borderId="0" xfId="0" applyFill="1" applyBorder="1" applyProtection="1">
      <protection hidden="1"/>
    </xf>
    <xf numFmtId="0" fontId="0" fillId="15" borderId="23" xfId="0" applyFill="1" applyBorder="1" applyAlignment="1" applyProtection="1">
      <alignment horizontal="center"/>
      <protection hidden="1"/>
    </xf>
    <xf numFmtId="0" fontId="6" fillId="5" borderId="23" xfId="0" applyFont="1" applyFill="1" applyBorder="1" applyAlignment="1" applyProtection="1">
      <alignment horizontal="center" vertical="center"/>
      <protection hidden="1"/>
    </xf>
    <xf numFmtId="0" fontId="18" fillId="5" borderId="24" xfId="0" applyFont="1" applyFill="1" applyBorder="1" applyAlignment="1" applyProtection="1">
      <alignment horizontal="center"/>
      <protection hidden="1"/>
    </xf>
    <xf numFmtId="0" fontId="20" fillId="16" borderId="23" xfId="0" applyFont="1" applyFill="1" applyBorder="1" applyAlignment="1" applyProtection="1">
      <alignment horizontal="center"/>
      <protection hidden="1"/>
    </xf>
    <xf numFmtId="164" fontId="20" fillId="16" borderId="24" xfId="0" applyNumberFormat="1" applyFont="1" applyFill="1" applyBorder="1" applyAlignment="1" applyProtection="1">
      <alignment horizontal="center"/>
      <protection hidden="1"/>
    </xf>
    <xf numFmtId="0" fontId="20" fillId="16" borderId="25" xfId="0" applyFont="1" applyFill="1" applyBorder="1" applyAlignment="1" applyProtection="1">
      <alignment horizontal="center"/>
      <protection hidden="1"/>
    </xf>
    <xf numFmtId="164" fontId="20" fillId="16" borderId="26" xfId="0" applyNumberFormat="1" applyFont="1" applyFill="1" applyBorder="1" applyAlignment="1" applyProtection="1">
      <alignment horizontal="center"/>
      <protection hidden="1"/>
    </xf>
    <xf numFmtId="164" fontId="20" fillId="16" borderId="27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Border="1" applyProtection="1">
      <protection hidden="1"/>
    </xf>
    <xf numFmtId="0" fontId="18" fillId="5" borderId="1" xfId="0" applyFont="1" applyFill="1" applyBorder="1" applyAlignment="1" applyProtection="1">
      <alignment horizontal="center"/>
      <protection hidden="1"/>
    </xf>
    <xf numFmtId="164" fontId="20" fillId="16" borderId="1" xfId="0" applyNumberFormat="1" applyFont="1" applyFill="1" applyBorder="1" applyAlignment="1" applyProtection="1">
      <alignment horizontal="center"/>
      <protection hidden="1"/>
    </xf>
    <xf numFmtId="164" fontId="20" fillId="16" borderId="28" xfId="0" applyNumberFormat="1" applyFont="1" applyFill="1" applyBorder="1" applyAlignment="1" applyProtection="1">
      <alignment horizontal="center"/>
      <protection hidden="1"/>
    </xf>
    <xf numFmtId="0" fontId="0" fillId="27" borderId="21" xfId="0" applyFill="1" applyBorder="1" applyProtection="1">
      <protection hidden="1"/>
    </xf>
    <xf numFmtId="0" fontId="35" fillId="2" borderId="0" xfId="0" applyFont="1" applyFill="1" applyAlignment="1" applyProtection="1">
      <alignment horizontal="left" vertical="center"/>
      <protection hidden="1"/>
    </xf>
    <xf numFmtId="0" fontId="36" fillId="2" borderId="0" xfId="0" applyFont="1" applyFill="1" applyAlignment="1" applyProtection="1">
      <alignment horizontal="left" vertical="center"/>
      <protection hidden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11" fontId="0" fillId="31" borderId="0" xfId="0" applyNumberFormat="1" applyFill="1" applyProtection="1">
      <protection hidden="1"/>
    </xf>
    <xf numFmtId="11" fontId="0" fillId="32" borderId="0" xfId="0" applyNumberFormat="1" applyFill="1" applyProtection="1">
      <protection hidden="1"/>
    </xf>
    <xf numFmtId="164" fontId="0" fillId="33" borderId="0" xfId="0" applyNumberFormat="1" applyFill="1" applyProtection="1">
      <protection hidden="1"/>
    </xf>
    <xf numFmtId="11" fontId="0" fillId="33" borderId="0" xfId="0" applyNumberFormat="1" applyFill="1" applyProtection="1">
      <protection hidden="1"/>
    </xf>
    <xf numFmtId="170" fontId="0" fillId="24" borderId="9" xfId="0" applyNumberFormat="1" applyFill="1" applyBorder="1" applyAlignment="1" applyProtection="1">
      <alignment horizontal="center" vertical="center"/>
      <protection hidden="1"/>
    </xf>
    <xf numFmtId="0" fontId="0" fillId="0" borderId="0" xfId="0" applyBorder="1"/>
    <xf numFmtId="0" fontId="0" fillId="0" borderId="0" xfId="0" applyAlignment="1">
      <alignment shrinkToFit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22" fillId="27" borderId="0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0" fillId="30" borderId="4" xfId="0" applyFill="1" applyBorder="1" applyProtection="1">
      <protection hidden="1"/>
    </xf>
    <xf numFmtId="2" fontId="0" fillId="30" borderId="4" xfId="0" applyNumberFormat="1" applyFill="1" applyBorder="1" applyProtection="1">
      <protection hidden="1"/>
    </xf>
    <xf numFmtId="0" fontId="15" fillId="30" borderId="4" xfId="0" applyFont="1" applyFill="1" applyBorder="1" applyAlignment="1" applyProtection="1">
      <alignment horizontal="center"/>
      <protection hidden="1"/>
    </xf>
    <xf numFmtId="0" fontId="14" fillId="30" borderId="4" xfId="0" applyFont="1" applyFill="1" applyBorder="1" applyProtection="1">
      <protection hidden="1"/>
    </xf>
    <xf numFmtId="170" fontId="0" fillId="30" borderId="4" xfId="0" applyNumberFormat="1" applyFill="1" applyBorder="1" applyProtection="1">
      <protection hidden="1"/>
    </xf>
    <xf numFmtId="11" fontId="0" fillId="30" borderId="4" xfId="0" applyNumberFormat="1" applyFill="1" applyBorder="1" applyProtection="1">
      <protection hidden="1"/>
    </xf>
    <xf numFmtId="166" fontId="0" fillId="30" borderId="4" xfId="0" applyNumberFormat="1" applyFill="1" applyBorder="1" applyProtection="1">
      <protection hidden="1"/>
    </xf>
    <xf numFmtId="0" fontId="15" fillId="30" borderId="4" xfId="0" applyFont="1" applyFill="1" applyBorder="1" applyAlignment="1" applyProtection="1">
      <alignment horizontal="left"/>
      <protection hidden="1"/>
    </xf>
    <xf numFmtId="165" fontId="0" fillId="30" borderId="4" xfId="0" applyNumberFormat="1" applyFill="1" applyBorder="1" applyProtection="1">
      <protection hidden="1"/>
    </xf>
    <xf numFmtId="0" fontId="0" fillId="27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18" fillId="27" borderId="14" xfId="0" applyFont="1" applyFill="1" applyBorder="1" applyAlignment="1" applyProtection="1">
      <alignment horizontal="center" vertical="center" wrapText="1"/>
      <protection hidden="1"/>
    </xf>
    <xf numFmtId="0" fontId="18" fillId="27" borderId="15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wrapText="1"/>
    </xf>
    <xf numFmtId="0" fontId="18" fillId="27" borderId="17" xfId="0" applyFont="1" applyFill="1" applyBorder="1" applyAlignment="1">
      <alignment horizontal="center" vertical="center" wrapText="1"/>
    </xf>
    <xf numFmtId="0" fontId="18" fillId="27" borderId="18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1" fontId="5" fillId="7" borderId="4" xfId="0" applyNumberFormat="1" applyFont="1" applyFill="1" applyBorder="1" applyAlignment="1" applyProtection="1">
      <alignment horizontal="center" vertical="center"/>
      <protection hidden="1"/>
    </xf>
    <xf numFmtId="0" fontId="5" fillId="4" borderId="4" xfId="0" applyFont="1" applyFill="1" applyBorder="1" applyAlignment="1" applyProtection="1">
      <alignment horizontal="center"/>
      <protection hidden="1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" fontId="13" fillId="11" borderId="4" xfId="0" applyNumberFormat="1" applyFont="1" applyFill="1" applyBorder="1" applyAlignment="1" applyProtection="1">
      <alignment horizontal="center"/>
      <protection hidden="1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/>
    <xf numFmtId="1" fontId="0" fillId="7" borderId="1" xfId="0" applyNumberFormat="1" applyFill="1" applyBorder="1" applyAlignment="1" applyProtection="1">
      <alignment horizontal="center"/>
      <protection hidden="1"/>
    </xf>
    <xf numFmtId="0" fontId="0" fillId="0" borderId="2" xfId="0" applyBorder="1" applyAlignment="1"/>
    <xf numFmtId="0" fontId="0" fillId="0" borderId="3" xfId="0" applyBorder="1" applyAlignment="1"/>
    <xf numFmtId="1" fontId="0" fillId="26" borderId="1" xfId="0" applyNumberFormat="1" applyFill="1" applyBorder="1" applyAlignment="1" applyProtection="1">
      <alignment horizontal="center"/>
      <protection hidden="1"/>
    </xf>
    <xf numFmtId="0" fontId="0" fillId="26" borderId="2" xfId="0" applyFill="1" applyBorder="1" applyAlignment="1"/>
    <xf numFmtId="0" fontId="0" fillId="26" borderId="3" xfId="0" applyFill="1" applyBorder="1" applyAlignment="1"/>
    <xf numFmtId="1" fontId="0" fillId="24" borderId="1" xfId="0" applyNumberFormat="1" applyFill="1" applyBorder="1" applyAlignment="1" applyProtection="1">
      <alignment horizontal="center"/>
      <protection hidden="1"/>
    </xf>
    <xf numFmtId="0" fontId="0" fillId="24" borderId="2" xfId="0" applyFill="1" applyBorder="1" applyAlignment="1"/>
    <xf numFmtId="0" fontId="0" fillId="24" borderId="3" xfId="0" applyFill="1" applyBorder="1" applyAlignment="1"/>
    <xf numFmtId="1" fontId="0" fillId="15" borderId="1" xfId="0" applyNumberFormat="1" applyFill="1" applyBorder="1" applyAlignment="1" applyProtection="1">
      <alignment horizontal="center"/>
      <protection hidden="1"/>
    </xf>
    <xf numFmtId="0" fontId="0" fillId="15" borderId="2" xfId="0" applyFill="1" applyBorder="1" applyAlignment="1"/>
    <xf numFmtId="0" fontId="0" fillId="15" borderId="3" xfId="0" applyFill="1" applyBorder="1" applyAlignment="1"/>
    <xf numFmtId="0" fontId="4" fillId="4" borderId="1" xfId="0" applyFont="1" applyFill="1" applyBorder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0" fontId="5" fillId="6" borderId="1" xfId="0" applyFont="1" applyFill="1" applyBorder="1" applyAlignment="1" applyProtection="1">
      <alignment horizontal="center"/>
      <protection hidden="1"/>
    </xf>
    <xf numFmtId="0" fontId="5" fillId="6" borderId="2" xfId="0" applyFont="1" applyFill="1" applyBorder="1" applyAlignment="1" applyProtection="1">
      <alignment horizontal="center"/>
      <protection hidden="1"/>
    </xf>
    <xf numFmtId="0" fontId="5" fillId="6" borderId="3" xfId="0" applyFont="1" applyFill="1" applyBorder="1" applyAlignment="1" applyProtection="1">
      <alignment horizontal="center"/>
      <protection hidden="1"/>
    </xf>
    <xf numFmtId="0" fontId="4" fillId="6" borderId="1" xfId="0" applyFont="1" applyFill="1" applyBorder="1" applyAlignment="1" applyProtection="1">
      <alignment horizontal="center"/>
      <protection hidden="1"/>
    </xf>
    <xf numFmtId="0" fontId="4" fillId="6" borderId="2" xfId="0" applyFont="1" applyFill="1" applyBorder="1" applyAlignment="1" applyProtection="1">
      <alignment horizontal="center"/>
      <protection hidden="1"/>
    </xf>
    <xf numFmtId="0" fontId="4" fillId="6" borderId="3" xfId="0" applyFont="1" applyFill="1" applyBorder="1" applyAlignment="1" applyProtection="1">
      <alignment horizontal="center"/>
      <protection hidden="1"/>
    </xf>
    <xf numFmtId="0" fontId="4" fillId="3" borderId="8" xfId="0" applyFont="1" applyFill="1" applyBorder="1" applyAlignment="1" applyProtection="1">
      <alignment horizontal="center"/>
      <protection hidden="1"/>
    </xf>
    <xf numFmtId="0" fontId="4" fillId="3" borderId="9" xfId="0" applyFont="1" applyFill="1" applyBorder="1" applyAlignment="1" applyProtection="1">
      <alignment horizontal="center"/>
      <protection hidden="1"/>
    </xf>
    <xf numFmtId="0" fontId="1" fillId="26" borderId="22" xfId="0" applyFont="1" applyFill="1" applyBorder="1" applyAlignment="1" applyProtection="1">
      <alignment horizontal="center"/>
      <protection hidden="1"/>
    </xf>
    <xf numFmtId="0" fontId="0" fillId="26" borderId="5" xfId="0" applyFill="1" applyBorder="1" applyAlignment="1" applyProtection="1">
      <alignment horizontal="center"/>
      <protection hidden="1"/>
    </xf>
    <xf numFmtId="0" fontId="5" fillId="4" borderId="4" xfId="0" applyFont="1" applyFill="1" applyBorder="1" applyAlignment="1" applyProtection="1">
      <alignment horizontal="left"/>
      <protection hidden="1"/>
    </xf>
    <xf numFmtId="0" fontId="13" fillId="11" borderId="1" xfId="0" applyFont="1" applyFill="1" applyBorder="1" applyAlignment="1" applyProtection="1">
      <alignment horizontal="left"/>
      <protection hidden="1"/>
    </xf>
    <xf numFmtId="0" fontId="13" fillId="11" borderId="2" xfId="0" applyFont="1" applyFill="1" applyBorder="1" applyAlignment="1" applyProtection="1">
      <alignment horizontal="left"/>
      <protection hidden="1"/>
    </xf>
    <xf numFmtId="0" fontId="13" fillId="11" borderId="3" xfId="0" applyFont="1" applyFill="1" applyBorder="1" applyAlignment="1" applyProtection="1">
      <alignment horizontal="left"/>
      <protection hidden="1"/>
    </xf>
    <xf numFmtId="0" fontId="5" fillId="7" borderId="6" xfId="0" applyFont="1" applyFill="1" applyBorder="1" applyAlignment="1" applyProtection="1">
      <alignment horizontal="center" vertical="center"/>
      <protection hidden="1"/>
    </xf>
    <xf numFmtId="0" fontId="5" fillId="7" borderId="8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5" fillId="4" borderId="8" xfId="0" applyFont="1" applyFill="1" applyBorder="1" applyAlignment="1" applyProtection="1">
      <alignment horizontal="center" vertical="center"/>
      <protection hidden="1"/>
    </xf>
    <xf numFmtId="0" fontId="5" fillId="13" borderId="11" xfId="0" applyFont="1" applyFill="1" applyBorder="1" applyAlignment="1" applyProtection="1">
      <alignment horizontal="center" vertical="center"/>
      <protection hidden="1"/>
    </xf>
    <xf numFmtId="0" fontId="5" fillId="13" borderId="6" xfId="0" applyFont="1" applyFill="1" applyBorder="1" applyAlignment="1" applyProtection="1">
      <alignment horizontal="center" vertical="center"/>
      <protection hidden="1"/>
    </xf>
    <xf numFmtId="0" fontId="5" fillId="13" borderId="8" xfId="0" applyFont="1" applyFill="1" applyBorder="1" applyAlignment="1" applyProtection="1">
      <alignment horizontal="center" vertical="center"/>
      <protection hidden="1"/>
    </xf>
    <xf numFmtId="0" fontId="13" fillId="11" borderId="1" xfId="0" applyFont="1" applyFill="1" applyBorder="1" applyAlignment="1" applyProtection="1">
      <alignment horizontal="center"/>
      <protection hidden="1"/>
    </xf>
    <xf numFmtId="0" fontId="13" fillId="11" borderId="2" xfId="0" applyFont="1" applyFill="1" applyBorder="1" applyAlignment="1" applyProtection="1">
      <alignment horizontal="center"/>
      <protection hidden="1"/>
    </xf>
    <xf numFmtId="0" fontId="13" fillId="11" borderId="3" xfId="0" applyFont="1" applyFill="1" applyBorder="1" applyAlignment="1" applyProtection="1">
      <alignment horizontal="center"/>
      <protection hidden="1"/>
    </xf>
    <xf numFmtId="0" fontId="5" fillId="7" borderId="11" xfId="0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33" fillId="28" borderId="0" xfId="0" applyFont="1" applyFill="1" applyAlignment="1" applyProtection="1">
      <alignment horizontal="center" vertical="center"/>
      <protection hidden="1"/>
    </xf>
    <xf numFmtId="0" fontId="33" fillId="28" borderId="0" xfId="0" applyFont="1" applyFill="1" applyAlignment="1">
      <alignment horizontal="center" vertical="center"/>
    </xf>
    <xf numFmtId="0" fontId="0" fillId="0" borderId="0" xfId="0" applyAlignment="1" applyProtection="1">
      <protection hidden="1"/>
    </xf>
    <xf numFmtId="0" fontId="0" fillId="0" borderId="0" xfId="0" applyAlignment="1"/>
    <xf numFmtId="0" fontId="32" fillId="27" borderId="0" xfId="0" applyFont="1" applyFill="1" applyAlignment="1" applyProtection="1">
      <alignment wrapText="1"/>
      <protection hidden="1"/>
    </xf>
    <xf numFmtId="0" fontId="32" fillId="0" borderId="0" xfId="0" applyFont="1" applyAlignment="1">
      <alignment wrapText="1"/>
    </xf>
    <xf numFmtId="170" fontId="0" fillId="24" borderId="9" xfId="0" applyNumberFormat="1" applyFill="1" applyBorder="1" applyAlignment="1" applyProtection="1">
      <alignment horizontal="center" vertical="center"/>
      <protection hidden="1"/>
    </xf>
    <xf numFmtId="0" fontId="0" fillId="24" borderId="9" xfId="0" applyFill="1" applyBorder="1" applyAlignment="1" applyProtection="1">
      <alignment horizontal="center" vertical="center"/>
      <protection hidden="1"/>
    </xf>
    <xf numFmtId="0" fontId="6" fillId="7" borderId="2" xfId="0" applyFont="1" applyFill="1" applyBorder="1" applyAlignment="1" applyProtection="1">
      <alignment horizontal="center" vertical="center"/>
      <protection hidden="1"/>
    </xf>
    <xf numFmtId="0" fontId="6" fillId="7" borderId="3" xfId="0" applyFont="1" applyFill="1" applyBorder="1" applyAlignment="1" applyProtection="1">
      <alignment horizontal="center" vertical="center"/>
      <protection hidden="1"/>
    </xf>
    <xf numFmtId="0" fontId="21" fillId="2" borderId="1" xfId="0" applyFont="1" applyFill="1" applyBorder="1" applyAlignment="1" applyProtection="1">
      <alignment horizontal="center" vertical="center"/>
      <protection hidden="1"/>
    </xf>
    <xf numFmtId="0" fontId="21" fillId="2" borderId="3" xfId="0" applyFont="1" applyFill="1" applyBorder="1" applyAlignment="1" applyProtection="1">
      <alignment horizontal="center" vertical="center"/>
      <protection hidden="1"/>
    </xf>
    <xf numFmtId="0" fontId="24" fillId="2" borderId="0" xfId="1" applyFont="1" applyFill="1" applyAlignment="1" applyProtection="1">
      <alignment horizontal="center"/>
      <protection hidden="1"/>
    </xf>
    <xf numFmtId="0" fontId="25" fillId="2" borderId="0" xfId="0" applyFont="1" applyFill="1" applyAlignment="1" applyProtection="1">
      <alignment horizontal="center"/>
      <protection hidden="1"/>
    </xf>
    <xf numFmtId="0" fontId="39" fillId="3" borderId="8" xfId="0" applyFont="1" applyFill="1" applyBorder="1" applyAlignment="1" applyProtection="1">
      <alignment horizontal="center"/>
      <protection hidden="1"/>
    </xf>
    <xf numFmtId="0" fontId="39" fillId="3" borderId="9" xfId="0" applyFont="1" applyFill="1" applyBorder="1" applyAlignment="1" applyProtection="1">
      <alignment horizontal="center"/>
      <protection hidden="1"/>
    </xf>
    <xf numFmtId="0" fontId="0" fillId="0" borderId="9" xfId="0" applyFont="1" applyBorder="1" applyAlignment="1"/>
    <xf numFmtId="0" fontId="38" fillId="27" borderId="14" xfId="0" applyFont="1" applyFill="1" applyBorder="1" applyAlignment="1" applyProtection="1">
      <alignment horizontal="center" vertical="center" wrapText="1"/>
      <protection hidden="1"/>
    </xf>
    <xf numFmtId="0" fontId="38" fillId="27" borderId="15" xfId="0" applyFont="1" applyFill="1" applyBorder="1" applyAlignment="1">
      <alignment horizontal="center" vertical="center" wrapText="1"/>
    </xf>
    <xf numFmtId="0" fontId="38" fillId="0" borderId="16" xfId="0" applyFont="1" applyBorder="1" applyAlignment="1">
      <alignment wrapText="1"/>
    </xf>
    <xf numFmtId="0" fontId="38" fillId="27" borderId="17" xfId="0" applyFont="1" applyFill="1" applyBorder="1" applyAlignment="1">
      <alignment horizontal="center" vertical="center" wrapText="1"/>
    </xf>
    <xf numFmtId="0" fontId="38" fillId="27" borderId="18" xfId="0" applyFont="1" applyFill="1" applyBorder="1" applyAlignment="1">
      <alignment horizontal="center" vertical="center" wrapText="1"/>
    </xf>
    <xf numFmtId="0" fontId="38" fillId="0" borderId="19" xfId="0" applyFont="1" applyBorder="1" applyAlignment="1">
      <alignment wrapText="1"/>
    </xf>
    <xf numFmtId="0" fontId="6" fillId="7" borderId="4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>
      <alignment horizontal="center" vertical="center"/>
    </xf>
    <xf numFmtId="0" fontId="21" fillId="27" borderId="0" xfId="0" applyFont="1" applyFill="1" applyBorder="1" applyAlignment="1" applyProtection="1">
      <alignment horizontal="center" vertical="center"/>
      <protection hidden="1"/>
    </xf>
    <xf numFmtId="0" fontId="37" fillId="3" borderId="8" xfId="0" applyFont="1" applyFill="1" applyBorder="1" applyAlignment="1" applyProtection="1">
      <alignment horizontal="center"/>
      <protection hidden="1"/>
    </xf>
    <xf numFmtId="0" fontId="37" fillId="3" borderId="9" xfId="0" applyFont="1" applyFill="1" applyBorder="1" applyAlignment="1" applyProtection="1">
      <alignment horizontal="center"/>
      <protection hidden="1"/>
    </xf>
    <xf numFmtId="0" fontId="0" fillId="0" borderId="9" xfId="0" applyBorder="1" applyAlignment="1"/>
  </cellXfs>
  <cellStyles count="3">
    <cellStyle name="Hyperlink" xfId="1" builtinId="8"/>
    <cellStyle name="Normal" xfId="0" builtinId="0"/>
    <cellStyle name="Normal_Sheet1" xfId="2" xr:uid="{00000000-0005-0000-0000-000002000000}"/>
  </cellStyles>
  <dxfs count="0"/>
  <tableStyles count="0" defaultTableStyle="TableStyleMedium2" defaultPivotStyle="PivotStyleLight16"/>
  <colors>
    <mruColors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651094113817"/>
          <c:y val="5.0291827673935807E-2"/>
          <c:w val="0.86552461398424807"/>
          <c:h val="0.78499827208040851"/>
        </c:manualLayout>
      </c:layout>
      <c:scatterChart>
        <c:scatterStyle val="smoothMarker"/>
        <c:varyColors val="0"/>
        <c:ser>
          <c:idx val="0"/>
          <c:order val="0"/>
          <c:tx>
            <c:v>FSS Strength Envelope</c:v>
          </c:tx>
          <c:marker>
            <c:symbol val="diamond"/>
            <c:size val="7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(2021)LL&amp;CF'!$J$4:$N$4</c:f>
              <c:numCache>
                <c:formatCode>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'Stark Correlations (2021)LL&amp;CF'!$J$6:$N$6</c:f>
              <c:numCache>
                <c:formatCode>0.0</c:formatCode>
                <c:ptCount val="5"/>
                <c:pt idx="0">
                  <c:v>0</c:v>
                </c:pt>
                <c:pt idx="1">
                  <c:v>7.4068801634396193</c:v>
                </c:pt>
                <c:pt idx="2">
                  <c:v>26.421591994408423</c:v>
                </c:pt>
                <c:pt idx="3">
                  <c:v>46.582073372995907</c:v>
                </c:pt>
                <c:pt idx="4">
                  <c:v>164.12709059586743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D8-4139-848A-5E67AE58F14E}"/>
            </c:ext>
          </c:extLst>
        </c:ser>
        <c:ser>
          <c:idx val="2"/>
          <c:order val="1"/>
          <c:tx>
            <c:v>FSS Power Function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(2021)LL&amp;CF'!$K$54:$K$62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'Stark Correlations (2021)LL&amp;CF'!$L$54:$L$62</c:f>
              <c:numCache>
                <c:formatCode>0.0</c:formatCode>
                <c:ptCount val="9"/>
                <c:pt idx="0">
                  <c:v>0</c:v>
                </c:pt>
                <c:pt idx="1">
                  <c:v>3.4197062035299708</c:v>
                </c:pt>
                <c:pt idx="2">
                  <c:v>6.2981375180747339</c:v>
                </c:pt>
                <c:pt idx="3">
                  <c:v>14.119467805553047</c:v>
                </c:pt>
                <c:pt idx="4">
                  <c:v>26.004090593983857</c:v>
                </c:pt>
                <c:pt idx="5">
                  <c:v>47.89222490058529</c:v>
                </c:pt>
                <c:pt idx="6">
                  <c:v>88.204015350526788</c:v>
                </c:pt>
                <c:pt idx="7">
                  <c:v>126.07647740640111</c:v>
                </c:pt>
                <c:pt idx="8">
                  <c:v>162.44700136829277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D8-4139-848A-5E67AE58F14E}"/>
            </c:ext>
          </c:extLst>
        </c:ser>
        <c:ser>
          <c:idx val="1"/>
          <c:order val="2"/>
          <c:tx>
            <c:v>Residual Strength Envelope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'Stark Correlations (2021)LL&amp;CF'!$J$4:$O$4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  <c:pt idx="5">
                  <c:v>700</c:v>
                </c:pt>
              </c:numCache>
            </c:numRef>
          </c:xVal>
          <c:yVal>
            <c:numRef>
              <c:f>'Stark Correlations (2021)LL&amp;CF'!$J$5:$O$5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14.669227579434226</c:v>
                </c:pt>
                <c:pt idx="3" formatCode="0.0">
                  <c:v>26.816653158288752</c:v>
                </c:pt>
                <c:pt idx="4" formatCode="0.0">
                  <c:v>93.603727911842313</c:v>
                </c:pt>
                <c:pt idx="5" formatCode="0.0">
                  <c:v>123.2559197404404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1E-496D-BFC0-9201A361DF47}"/>
            </c:ext>
          </c:extLst>
        </c:ser>
        <c:ser>
          <c:idx val="3"/>
          <c:order val="3"/>
          <c:tx>
            <c:v>Residual Power Function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(2021)LL&amp;CF'!$O$55:$O$63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'Stark Correlations (2021)LL&amp;CF'!$P$55:$P$63</c:f>
              <c:numCache>
                <c:formatCode>0.0</c:formatCode>
                <c:ptCount val="9"/>
                <c:pt idx="0">
                  <c:v>2.2311166603251209</c:v>
                </c:pt>
                <c:pt idx="1">
                  <c:v>3.9628124924362691</c:v>
                </c:pt>
                <c:pt idx="2">
                  <c:v>8.4683693036581982</c:v>
                </c:pt>
                <c:pt idx="3">
                  <c:v>15.041149691477962</c:v>
                </c:pt>
                <c:pt idx="4">
                  <c:v>26.715436694962882</c:v>
                </c:pt>
                <c:pt idx="5">
                  <c:v>47.45079813991525</c:v>
                </c:pt>
                <c:pt idx="6">
                  <c:v>66.401928746273526</c:v>
                </c:pt>
                <c:pt idx="7">
                  <c:v>84.280046395030993</c:v>
                </c:pt>
                <c:pt idx="8">
                  <c:v>134.01230481030944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D8-4139-848A-5E67AE58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075535087537886"/>
          <c:y val="6.6270461939273814E-2"/>
          <c:w val="0.27253988350190084"/>
          <c:h val="0.28731072530639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6126889868604"/>
          <c:y val="5.0291827673935807E-2"/>
          <c:w val="0.84134109044884919"/>
          <c:h val="0.78499827208040851"/>
        </c:manualLayout>
      </c:layout>
      <c:scatterChart>
        <c:scatterStyle val="smoothMarker"/>
        <c:varyColors val="0"/>
        <c:ser>
          <c:idx val="2"/>
          <c:order val="0"/>
          <c:tx>
            <c:v>FSS Power Function (Based on PI)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(+PI)'!$J$28:$J$36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'Laboratory (+PI)'!$K$28:$K$36</c:f>
              <c:numCache>
                <c:formatCode>0.0</c:formatCode>
                <c:ptCount val="9"/>
                <c:pt idx="0">
                  <c:v>0</c:v>
                </c:pt>
                <c:pt idx="1">
                  <c:v>2.805514661073115</c:v>
                </c:pt>
                <c:pt idx="2">
                  <c:v>5.1350076183429803</c:v>
                </c:pt>
                <c:pt idx="3">
                  <c:v>11.41786641950654</c:v>
                </c:pt>
                <c:pt idx="4">
                  <c:v>20.898422618458945</c:v>
                </c:pt>
                <c:pt idx="5">
                  <c:v>38.2509351478813</c:v>
                </c:pt>
                <c:pt idx="6">
                  <c:v>70.011697361076372</c:v>
                </c:pt>
                <c:pt idx="7">
                  <c:v>99.710286408247768</c:v>
                </c:pt>
                <c:pt idx="8">
                  <c:v>128.14425970054876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5-4E86-924E-DDD24F4DBF28}"/>
            </c:ext>
          </c:extLst>
        </c:ser>
        <c:ser>
          <c:idx val="3"/>
          <c:order val="1"/>
          <c:tx>
            <c:v>Residual Power Function (Based on PI)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(+PI)'!$N$29:$N$37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'Laboratory (+PI)'!$O$29:$O$37</c:f>
              <c:numCache>
                <c:formatCode>0.0</c:formatCode>
                <c:ptCount val="9"/>
                <c:pt idx="0">
                  <c:v>1.8398298202805263</c:v>
                </c:pt>
                <c:pt idx="1">
                  <c:v>3.2400135846012588</c:v>
                </c:pt>
                <c:pt idx="2">
                  <c:v>6.8459860772072894</c:v>
                </c:pt>
                <c:pt idx="3">
                  <c:v>12.056054122853963</c:v>
                </c:pt>
                <c:pt idx="4">
                  <c:v>21.231191441814413</c:v>
                </c:pt>
                <c:pt idx="5">
                  <c:v>37.388973659672558</c:v>
                </c:pt>
                <c:pt idx="6">
                  <c:v>52.060615264584271</c:v>
                </c:pt>
                <c:pt idx="7">
                  <c:v>65.843471627808995</c:v>
                </c:pt>
                <c:pt idx="8">
                  <c:v>103.97661537259941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95-4E86-924E-DDD24F4D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09846700012552"/>
          <c:y val="6.6270493909646913E-2"/>
          <c:w val="0.27253988350190084"/>
          <c:h val="0.219453410083774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A-40ED-8F73-FAD7C7CE01C6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A-40ED-8F73-FAD7C7CE01C6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AA-40ED-8F73-FAD7C7CE01C6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BAA-40ED-8F73-FAD7C7CE01C6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AA-40ED-8F73-FAD7C7CE01C6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AA-40ED-8F73-FAD7C7CE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35E-4FF7-A1C7-7820694187DF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35E-4FF7-A1C7-7820694187DF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35E-4FF7-A1C7-7820694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435E-4FF7-A1C7-7820694187DF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435E-4FF7-A1C7-7820694187DF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435E-4FF7-A1C7-782069418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AB-40AE-B57C-BBBCAB25929B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AB-40AE-B57C-BBBCAB25929B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AB-40AE-B57C-BBBCAB25929B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2AB-40AE-B57C-BBBCAB25929B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AB-40AE-B57C-BBBCAB25929B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2AB-40AE-B57C-BBBCAB25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9C-4B09-B98A-3133D950B43B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9C-4B09-B98A-3133D950B43B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19C-4B09-B98A-3133D950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019C-4B09-B98A-3133D950B43B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019C-4B09-B98A-3133D950B43B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019C-4B09-B98A-3133D950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07655748087024"/>
          <c:y val="5.0291827673935807E-2"/>
          <c:w val="0.83932580186666506"/>
          <c:h val="0.78499827208040851"/>
        </c:manualLayout>
      </c:layout>
      <c:scatterChart>
        <c:scatterStyle val="smoothMarker"/>
        <c:varyColors val="0"/>
        <c:ser>
          <c:idx val="2"/>
          <c:order val="0"/>
          <c:tx>
            <c:v>FSS Power Function (Based on PI)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(2021)(+PI)'!$J$14:$J$22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'Stark Correlations (2021)(+PI)'!$K$14:$K$22</c:f>
              <c:numCache>
                <c:formatCode>0.0</c:formatCode>
                <c:ptCount val="9"/>
                <c:pt idx="0">
                  <c:v>0</c:v>
                </c:pt>
                <c:pt idx="1">
                  <c:v>3.3031210946924165</c:v>
                </c:pt>
                <c:pt idx="2">
                  <c:v>6.1661926563393461</c:v>
                </c:pt>
                <c:pt idx="3">
                  <c:v>14.072848302341106</c:v>
                </c:pt>
                <c:pt idx="4">
                  <c:v>26.270878774353211</c:v>
                </c:pt>
                <c:pt idx="5">
                  <c:v>49.041889513009949</c:v>
                </c:pt>
                <c:pt idx="6">
                  <c:v>91.550303576226256</c:v>
                </c:pt>
                <c:pt idx="7">
                  <c:v>131.89817622951119</c:v>
                </c:pt>
                <c:pt idx="8">
                  <c:v>170.90406116338019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8-4F12-B77A-8F0C5D0E55F2}"/>
            </c:ext>
          </c:extLst>
        </c:ser>
        <c:ser>
          <c:idx val="3"/>
          <c:order val="1"/>
          <c:tx>
            <c:v>Residual Power Function (Based on PI)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'Stark Correlations (2021)(+PI)'!$N$15:$N$23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'Stark Correlations (2021)(+PI)'!$O$15:$O$23</c:f>
              <c:numCache>
                <c:formatCode>0.0</c:formatCode>
                <c:ptCount val="9"/>
                <c:pt idx="0">
                  <c:v>2.1431918827973786</c:v>
                </c:pt>
                <c:pt idx="1">
                  <c:v>3.9156640568449697</c:v>
                </c:pt>
                <c:pt idx="2">
                  <c:v>8.685856687018795</c:v>
                </c:pt>
                <c:pt idx="3">
                  <c:v>15.869272884644205</c:v>
                </c:pt>
                <c:pt idx="4">
                  <c:v>28.993550200255445</c:v>
                </c:pt>
                <c:pt idx="5">
                  <c:v>52.971926270683674</c:v>
                </c:pt>
                <c:pt idx="6">
                  <c:v>75.36269254262028</c:v>
                </c:pt>
                <c:pt idx="7">
                  <c:v>96.781006584079009</c:v>
                </c:pt>
                <c:pt idx="8">
                  <c:v>157.43842600291296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8-4F12-B77A-8F0C5D0E5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493880425470264"/>
          <c:y val="6.3006886981549048E-2"/>
          <c:w val="0.27253988350190084"/>
          <c:h val="0.219453410083774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C-41A1-823E-6B24B74634CC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C-41A1-823E-6B24B74634CC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C-41A1-823E-6B24B74634CC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C-41A1-823E-6B24B74634CC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0C-41A1-823E-6B24B74634CC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0C-41A1-823E-6B24B746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D18-4FDE-934F-8210C81E7B38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D18-4FDE-934F-8210C81E7B38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AD18-4FDE-934F-8210C81E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AD18-4FDE-934F-8210C81E7B38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AD18-4FDE-934F-8210C81E7B38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AD18-4FDE-934F-8210C81E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0651094113817"/>
          <c:y val="5.0291827673935807E-2"/>
          <c:w val="0.86552461398424807"/>
          <c:h val="0.78499827208040851"/>
        </c:manualLayout>
      </c:layout>
      <c:scatterChart>
        <c:scatterStyle val="smoothMarker"/>
        <c:varyColors val="0"/>
        <c:ser>
          <c:idx val="0"/>
          <c:order val="0"/>
          <c:tx>
            <c:v>FSS Strength Envelope</c:v>
          </c:tx>
          <c:marker>
            <c:symbol val="diamond"/>
            <c:size val="7"/>
            <c:spPr>
              <a:ln w="12700">
                <a:solidFill>
                  <a:schemeClr val="tx1"/>
                </a:solidFill>
              </a:ln>
            </c:spPr>
          </c:marker>
          <c:xVal>
            <c:numRef>
              <c:f>'Laboratory (LL&amp;CF)'!$J$4:$N$4</c:f>
              <c:numCache>
                <c:formatCode>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'Laboratory (LL&amp;CF)'!$J$6:$N$6</c:f>
              <c:numCache>
                <c:formatCode>0.0</c:formatCode>
                <c:ptCount val="5"/>
                <c:pt idx="0">
                  <c:v>0</c:v>
                </c:pt>
                <c:pt idx="1">
                  <c:v>5.3550061562098445</c:v>
                </c:pt>
                <c:pt idx="2">
                  <c:v>19.578127907494618</c:v>
                </c:pt>
                <c:pt idx="3">
                  <c:v>33.493976672639818</c:v>
                </c:pt>
                <c:pt idx="4">
                  <c:v>108.89393663647195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E-43F9-BF77-11A645EAC7F6}"/>
            </c:ext>
          </c:extLst>
        </c:ser>
        <c:ser>
          <c:idx val="2"/>
          <c:order val="1"/>
          <c:tx>
            <c:v>FSS Power Function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(LL&amp;CF)'!$K$54:$K$62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</c:numCache>
            </c:numRef>
          </c:xVal>
          <c:yVal>
            <c:numRef>
              <c:f>'Laboratory (LL&amp;CF)'!$L$54:$L$62</c:f>
              <c:numCache>
                <c:formatCode>0.0</c:formatCode>
                <c:ptCount val="9"/>
                <c:pt idx="0">
                  <c:v>0</c:v>
                </c:pt>
                <c:pt idx="1">
                  <c:v>2.5975173565859886</c:v>
                </c:pt>
                <c:pt idx="2">
                  <c:v>4.7015969930935757</c:v>
                </c:pt>
                <c:pt idx="3">
                  <c:v>10.301228197223415</c:v>
                </c:pt>
                <c:pt idx="4">
                  <c:v>18.64558224969576</c:v>
                </c:pt>
                <c:pt idx="5">
                  <c:v>33.74915405950108</c:v>
                </c:pt>
                <c:pt idx="6">
                  <c:v>61.087145709838239</c:v>
                </c:pt>
                <c:pt idx="7">
                  <c:v>86.434481498160736</c:v>
                </c:pt>
                <c:pt idx="8">
                  <c:v>110.56986389632112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E-43F9-BF77-11A645EAC7F6}"/>
            </c:ext>
          </c:extLst>
        </c:ser>
        <c:ser>
          <c:idx val="1"/>
          <c:order val="2"/>
          <c:tx>
            <c:v>Residual Strength Envelope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</c:spPr>
          </c:marker>
          <c:xVal>
            <c:numRef>
              <c:f>'Laboratory (LL&amp;CF)'!$J$4:$O$4</c:f>
              <c:numCache>
                <c:formatCode>0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50</c:v>
                </c:pt>
                <c:pt idx="3">
                  <c:v>100</c:v>
                </c:pt>
                <c:pt idx="4">
                  <c:v>400</c:v>
                </c:pt>
                <c:pt idx="5">
                  <c:v>700</c:v>
                </c:pt>
              </c:numCache>
            </c:numRef>
          </c:xVal>
          <c:yVal>
            <c:numRef>
              <c:f>'Laboratory (LL&amp;CF)'!$J$5:$O$5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 formatCode="0.0">
                  <c:v>8.1286847691542672</c:v>
                </c:pt>
                <c:pt idx="3" formatCode="0.0">
                  <c:v>14.51677419125415</c:v>
                </c:pt>
                <c:pt idx="4" formatCode="0.0">
                  <c:v>47.947783418790294</c:v>
                </c:pt>
                <c:pt idx="5" formatCode="0.0">
                  <c:v>64.385031085517838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9E-43F9-BF77-11A645EAC7F6}"/>
            </c:ext>
          </c:extLst>
        </c:ser>
        <c:ser>
          <c:idx val="3"/>
          <c:order val="3"/>
          <c:tx>
            <c:v>Residual Power Function</c:v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'Laboratory (LL&amp;CF)'!$O$55:$O$63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700</c:v>
                </c:pt>
              </c:numCache>
            </c:numRef>
          </c:xVal>
          <c:yVal>
            <c:numRef>
              <c:f>'Laboratory (LL&amp;CF)'!$P$55:$P$63</c:f>
              <c:numCache>
                <c:formatCode>0.0</c:formatCode>
                <c:ptCount val="9"/>
                <c:pt idx="0">
                  <c:v>1.3080851057841345</c:v>
                </c:pt>
                <c:pt idx="1">
                  <c:v>2.2811661074643736</c:v>
                </c:pt>
                <c:pt idx="2">
                  <c:v>4.7580629821677043</c:v>
                </c:pt>
                <c:pt idx="3">
                  <c:v>8.2975732726468259</c:v>
                </c:pt>
                <c:pt idx="4">
                  <c:v>14.470115774628947</c:v>
                </c:pt>
                <c:pt idx="5">
                  <c:v>25.234396087999169</c:v>
                </c:pt>
                <c:pt idx="6">
                  <c:v>34.93603314480081</c:v>
                </c:pt>
                <c:pt idx="7">
                  <c:v>44.00619565480681</c:v>
                </c:pt>
                <c:pt idx="8">
                  <c:v>68.945657971716173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9E-43F9-BF77-11A645EA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8320"/>
        <c:axId val="214397144"/>
        <c:extLst/>
      </c:scatterChart>
      <c:valAx>
        <c:axId val="214398320"/>
        <c:scaling>
          <c:orientation val="minMax"/>
          <c:max val="1000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Effective</a:t>
                </a:r>
                <a:r>
                  <a:rPr lang="en-US" sz="1400" baseline="0"/>
                  <a:t> Normal Stress, </a:t>
                </a:r>
                <a:r>
                  <a:rPr lang="el-GR" sz="1400"/>
                  <a:t>σ'</a:t>
                </a:r>
                <a:r>
                  <a:rPr lang="el-GR" sz="1400" baseline="-25000"/>
                  <a:t>n</a:t>
                </a:r>
                <a:r>
                  <a:rPr lang="en-US" sz="1400" baseline="-25000"/>
                  <a:t>  </a:t>
                </a:r>
                <a:r>
                  <a:rPr lang="en-US" sz="1400"/>
                  <a:t>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97144"/>
        <c:crosses val="autoZero"/>
        <c:crossBetween val="midCat"/>
        <c:majorUnit val="100"/>
        <c:minorUnit val="50"/>
      </c:valAx>
      <c:valAx>
        <c:axId val="214397144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Shear Stress, </a:t>
                </a:r>
                <a:r>
                  <a:rPr lang="el-GR" sz="1400"/>
                  <a:t>τ</a:t>
                </a:r>
                <a:r>
                  <a:rPr lang="en-US" sz="1400"/>
                  <a:t> </a:t>
                </a:r>
                <a:r>
                  <a:rPr lang="el-GR" sz="1400"/>
                  <a:t> </a:t>
                </a:r>
                <a:r>
                  <a:rPr lang="en-US" sz="1400"/>
                  <a:t>(kPa)</a:t>
                </a:r>
              </a:p>
            </c:rich>
          </c:tx>
          <c:layout>
            <c:manualLayout>
              <c:xMode val="edge"/>
              <c:yMode val="edge"/>
              <c:x val="1.0505697173609999E-2"/>
              <c:y val="0.334204950999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214398320"/>
        <c:crosses val="autoZero"/>
        <c:crossBetween val="midCat"/>
        <c:majorUnit val="100"/>
        <c:minorUnit val="5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075535087537886"/>
          <c:y val="6.6270461939273814E-2"/>
          <c:w val="0.27253988350190084"/>
          <c:h val="0.287310725306396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0"/>
    <c:dispBlanksAs val="gap"/>
    <c:showDLblsOverMax val="0"/>
  </c:chart>
  <c:spPr>
    <a:ln w="19050">
      <a:solidFill>
        <a:sysClr val="windowText" lastClr="000000"/>
      </a:solidFill>
    </a:ln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CF&lt;20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548818897637795E-2"/>
                  <c:y val="-0.1164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9-4476-9558-DBB287D39CFF}"/>
            </c:ext>
          </c:extLst>
        </c:ser>
        <c:ser>
          <c:idx val="1"/>
          <c:order val="1"/>
          <c:tx>
            <c:v>20&lt;CF&lt;45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9-4476-9558-DBB287D39CFF}"/>
            </c:ext>
          </c:extLst>
        </c:ser>
        <c:ser>
          <c:idx val="2"/>
          <c:order val="2"/>
          <c:tx>
            <c:v>CF&gt;50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599300087489061E-2"/>
                  <c:y val="8.86071011956838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9-4476-9558-DBB287D39CFF}"/>
            </c:ext>
          </c:extLst>
        </c:ser>
        <c:ser>
          <c:idx val="3"/>
          <c:order val="3"/>
          <c:tx>
            <c:v>CF&lt;20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382720954192223"/>
                  <c:y val="-7.8409428571634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English'!$C$65:$C$69</c:f>
              <c:numCache>
                <c:formatCode>General</c:formatCode>
                <c:ptCount val="5"/>
                <c:pt idx="0">
                  <c:v>0.61209999999999998</c:v>
                </c:pt>
                <c:pt idx="1">
                  <c:v>0.59660000000000002</c:v>
                </c:pt>
                <c:pt idx="2">
                  <c:v>0.58169999999999999</c:v>
                </c:pt>
                <c:pt idx="3">
                  <c:v>0.56940000000000002</c:v>
                </c:pt>
                <c:pt idx="4">
                  <c:v>0.5645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B9-4476-9558-DBB287D39CFF}"/>
            </c:ext>
          </c:extLst>
        </c:ser>
        <c:ser>
          <c:idx val="4"/>
          <c:order val="4"/>
          <c:tx>
            <c:v>20&lt;CF&lt;45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-0.1146382157603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English'!$E$65:$E$75</c:f>
              <c:numCache>
                <c:formatCode>General</c:formatCode>
                <c:ptCount val="11"/>
                <c:pt idx="0">
                  <c:v>0.56240000000000001</c:v>
                </c:pt>
                <c:pt idx="1">
                  <c:v>0.5413</c:v>
                </c:pt>
                <c:pt idx="2">
                  <c:v>0.52239999999999998</c:v>
                </c:pt>
                <c:pt idx="3">
                  <c:v>0.50360000000000005</c:v>
                </c:pt>
                <c:pt idx="4">
                  <c:v>0.49509999999999998</c:v>
                </c:pt>
                <c:pt idx="5">
                  <c:v>0.48720000000000002</c:v>
                </c:pt>
                <c:pt idx="6">
                  <c:v>0.47220000000000001</c:v>
                </c:pt>
                <c:pt idx="7">
                  <c:v>0.45810000000000001</c:v>
                </c:pt>
                <c:pt idx="8">
                  <c:v>0.4451</c:v>
                </c:pt>
                <c:pt idx="9">
                  <c:v>0.43340000000000001</c:v>
                </c:pt>
                <c:pt idx="10">
                  <c:v>0.42370000000000002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B9-4476-9558-DBB287D39CFF}"/>
            </c:ext>
          </c:extLst>
        </c:ser>
        <c:ser>
          <c:idx val="5"/>
          <c:order val="5"/>
          <c:tx>
            <c:v>CF&gt;50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875992270563338E-5"/>
                  <c:y val="6.251227603652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'[1]Input-Output English'!$B$65:$B$75</c:f>
              <c:numCache>
                <c:formatCode>General</c:formatCode>
                <c:ptCount val="11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'[1]Input-Output English'!$G$65:$G$75</c:f>
              <c:numCache>
                <c:formatCode>General</c:formatCode>
                <c:ptCount val="11"/>
                <c:pt idx="0">
                  <c:v>0.49959999999999999</c:v>
                </c:pt>
                <c:pt idx="1">
                  <c:v>0.4773</c:v>
                </c:pt>
                <c:pt idx="2">
                  <c:v>0.45729999999999998</c:v>
                </c:pt>
                <c:pt idx="3">
                  <c:v>0.43890000000000001</c:v>
                </c:pt>
                <c:pt idx="4">
                  <c:v>0.43020000000000003</c:v>
                </c:pt>
                <c:pt idx="5">
                  <c:v>0.4219</c:v>
                </c:pt>
                <c:pt idx="6">
                  <c:v>0.40539999999999998</c:v>
                </c:pt>
                <c:pt idx="7">
                  <c:v>0.3906</c:v>
                </c:pt>
                <c:pt idx="8">
                  <c:v>0.37819999999999998</c:v>
                </c:pt>
                <c:pt idx="9">
                  <c:v>0.36559999999999998</c:v>
                </c:pt>
                <c:pt idx="10">
                  <c:v>0.35370000000000001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B9-4476-9558-DBB287D39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008"/>
        <c:axId val="214397536"/>
      </c:scatterChart>
      <c:valAx>
        <c:axId val="2143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536"/>
        <c:crosses val="autoZero"/>
        <c:crossBetween val="midCat"/>
      </c:valAx>
      <c:valAx>
        <c:axId val="2143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CF≤20 - 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47605418828108"/>
                  <c:y val="-7.5976654024561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0.54369999999999996</c:v>
              </c:pt>
              <c:pt idx="1">
                <c:v>0.49070000000000003</c:v>
              </c:pt>
              <c:pt idx="2">
                <c:v>0.44409999999999999</c:v>
              </c:pt>
              <c:pt idx="3">
                <c:v>0.40229999999999999</c:v>
              </c:pt>
              <c:pt idx="4">
                <c:v>0.38250000000000001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119-400D-94A5-6A4B4E451606}"/>
            </c:ext>
          </c:extLst>
        </c:ser>
        <c:ser>
          <c:idx val="2"/>
          <c:order val="2"/>
          <c:tx>
            <c:v>20 ≤ CF ≤ 45 - 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3160005468163066"/>
                  <c:y val="-0.103158259695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0.4657</c:v>
              </c:pt>
              <c:pt idx="1">
                <c:v>0.4199</c:v>
              </c:pt>
              <c:pt idx="2">
                <c:v>0.374</c:v>
              </c:pt>
              <c:pt idx="3">
                <c:v>0.32829999999999998</c:v>
              </c:pt>
              <c:pt idx="4">
                <c:v>0.30620000000000003</c:v>
              </c:pt>
              <c:pt idx="5">
                <c:v>0.28549999999999998</c:v>
              </c:pt>
              <c:pt idx="6">
                <c:v>0.24779999999999999</c:v>
              </c:pt>
              <c:pt idx="7">
                <c:v>0.2155</c:v>
              </c:pt>
              <c:pt idx="8">
                <c:v>0.1913</c:v>
              </c:pt>
              <c:pt idx="9">
                <c:v>0.1769</c:v>
              </c:pt>
              <c:pt idx="10">
                <c:v>0.1734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4119-400D-94A5-6A4B4E451606}"/>
            </c:ext>
          </c:extLst>
        </c:ser>
        <c:ser>
          <c:idx val="4"/>
          <c:order val="4"/>
          <c:tx>
            <c:v>CF ≥ 50 - 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177252357633908"/>
                  <c:y val="-1.66221650726400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0.37519999999999998</c:v>
              </c:pt>
              <c:pt idx="1">
                <c:v>0.32700000000000001</c:v>
              </c:pt>
              <c:pt idx="2">
                <c:v>0.28349999999999997</c:v>
              </c:pt>
              <c:pt idx="3">
                <c:v>0.2455</c:v>
              </c:pt>
              <c:pt idx="4">
                <c:v>0.22819999999999999</c:v>
              </c:pt>
              <c:pt idx="5">
                <c:v>0.2132</c:v>
              </c:pt>
              <c:pt idx="6">
                <c:v>0.18659999999999999</c:v>
              </c:pt>
              <c:pt idx="7">
                <c:v>0.16619999999999999</c:v>
              </c:pt>
              <c:pt idx="8">
                <c:v>0.15390000000000001</c:v>
              </c:pt>
              <c:pt idx="9">
                <c:v>0.14699999999999999</c:v>
              </c:pt>
              <c:pt idx="10">
                <c:v>0.14399999999999999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4119-400D-94A5-6A4B4E45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5968"/>
        <c:axId val="214397928"/>
      </c:scatterChart>
      <c:scatterChart>
        <c:scatterStyle val="smoothMarker"/>
        <c:varyColors val="0"/>
        <c:ser>
          <c:idx val="1"/>
          <c:order val="1"/>
          <c:tx>
            <c:v>CF ≤ 20 - 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33996921536751"/>
                  <c:y val="-9.829599913188749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5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</c:numLit>
          </c:xVal>
          <c:yVal>
            <c:numLit>
              <c:formatCode>General</c:formatCode>
              <c:ptCount val="5"/>
              <c:pt idx="0">
                <c:v>0.95940000000000003</c:v>
              </c:pt>
              <c:pt idx="1">
                <c:v>0.95189999999999997</c:v>
              </c:pt>
              <c:pt idx="2">
                <c:v>0.94640000000000002</c:v>
              </c:pt>
              <c:pt idx="3">
                <c:v>0.9446</c:v>
              </c:pt>
              <c:pt idx="4">
                <c:v>0.94599999999999995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4119-400D-94A5-6A4B4E451606}"/>
            </c:ext>
          </c:extLst>
        </c:ser>
        <c:ser>
          <c:idx val="3"/>
          <c:order val="3"/>
          <c:tx>
            <c:v>20 ≤ CF ≤ 45 - b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945596419720142"/>
                  <c:y val="9.90861300460585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0.87060000000000004</c:v>
              </c:pt>
              <c:pt idx="1">
                <c:v>0.85899999999999999</c:v>
              </c:pt>
              <c:pt idx="2">
                <c:v>0.84770000000000001</c:v>
              </c:pt>
              <c:pt idx="3">
                <c:v>0.83950000000000002</c:v>
              </c:pt>
              <c:pt idx="4">
                <c:v>0.83730000000000004</c:v>
              </c:pt>
              <c:pt idx="5">
                <c:v>0.83499999999999996</c:v>
              </c:pt>
              <c:pt idx="6">
                <c:v>0.83189999999999997</c:v>
              </c:pt>
              <c:pt idx="7">
                <c:v>0.83760000000000001</c:v>
              </c:pt>
              <c:pt idx="8">
                <c:v>0.84970000000000001</c:v>
              </c:pt>
              <c:pt idx="9">
                <c:v>0.87019999999999997</c:v>
              </c:pt>
              <c:pt idx="10">
                <c:v>0.89670000000000005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4119-400D-94A5-6A4B4E451606}"/>
            </c:ext>
          </c:extLst>
        </c:ser>
        <c:ser>
          <c:idx val="5"/>
          <c:order val="5"/>
          <c:tx>
            <c:v>CF ≥ 50 - b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209947953566667E-3"/>
                  <c:y val="6.2894590587032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Lit>
              <c:formatCode>General</c:formatCode>
              <c:ptCount val="11"/>
              <c:pt idx="0">
                <c:v>40</c:v>
              </c:pt>
              <c:pt idx="1">
                <c:v>50</c:v>
              </c:pt>
              <c:pt idx="2">
                <c:v>60</c:v>
              </c:pt>
              <c:pt idx="3">
                <c:v>70</c:v>
              </c:pt>
              <c:pt idx="4">
                <c:v>75</c:v>
              </c:pt>
              <c:pt idx="5">
                <c:v>80</c:v>
              </c:pt>
              <c:pt idx="6">
                <c:v>90</c:v>
              </c:pt>
              <c:pt idx="7">
                <c:v>100</c:v>
              </c:pt>
              <c:pt idx="8">
                <c:v>110</c:v>
              </c:pt>
              <c:pt idx="9">
                <c:v>120</c:v>
              </c:pt>
              <c:pt idx="10">
                <c:v>130</c:v>
              </c:pt>
            </c:numLit>
          </c:xVal>
          <c:yVal>
            <c:numLit>
              <c:formatCode>General</c:formatCode>
              <c:ptCount val="11"/>
              <c:pt idx="0">
                <c:v>0.87890000000000001</c:v>
              </c:pt>
              <c:pt idx="1">
                <c:v>0.8609</c:v>
              </c:pt>
              <c:pt idx="2">
                <c:v>0.84040000000000004</c:v>
              </c:pt>
              <c:pt idx="3">
                <c:v>0.81669999999999998</c:v>
              </c:pt>
              <c:pt idx="4">
                <c:v>0.80569999999999997</c:v>
              </c:pt>
              <c:pt idx="5">
                <c:v>0.79210000000000003</c:v>
              </c:pt>
              <c:pt idx="6">
                <c:v>0.77249999999999996</c:v>
              </c:pt>
              <c:pt idx="7">
                <c:v>0.76500000000000001</c:v>
              </c:pt>
              <c:pt idx="8">
                <c:v>0.77300000000000002</c:v>
              </c:pt>
              <c:pt idx="9">
                <c:v>0.79559999999999997</c:v>
              </c:pt>
              <c:pt idx="10">
                <c:v>0.80059999999999998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4119-400D-94A5-6A4B4E45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6752"/>
        <c:axId val="214390872"/>
      </c:scatterChart>
      <c:valAx>
        <c:axId val="2143959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Limit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7928"/>
        <c:crosses val="autoZero"/>
        <c:crossBetween val="midCat"/>
      </c:valAx>
      <c:valAx>
        <c:axId val="214397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Function Coefficient (a coefficient)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968"/>
        <c:crosses val="autoZero"/>
        <c:crossBetween val="midCat"/>
      </c:valAx>
      <c:valAx>
        <c:axId val="214390872"/>
        <c:scaling>
          <c:orientation val="minMax"/>
          <c:max val="1"/>
          <c:min val="0.30000000000000004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Power Function Coefficient (b coefficient) 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crossAx val="214396752"/>
        <c:crosses val="max"/>
        <c:crossBetween val="midCat"/>
        <c:minorUnit val="0.1"/>
      </c:valAx>
      <c:valAx>
        <c:axId val="2143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3.jpeg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46</xdr:row>
      <xdr:rowOff>82826</xdr:rowOff>
    </xdr:from>
    <xdr:to>
      <xdr:col>9</xdr:col>
      <xdr:colOff>579783</xdr:colOff>
      <xdr:row>62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03766D2-FE6E-4156-BCDB-FC858B6EB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74</xdr:row>
      <xdr:rowOff>0</xdr:rowOff>
    </xdr:from>
    <xdr:to>
      <xdr:col>14</xdr:col>
      <xdr:colOff>295275</xdr:colOff>
      <xdr:row>88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31AF5-7F37-4483-B2F7-2166FEFD0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568785</xdr:colOff>
      <xdr:row>50</xdr:row>
      <xdr:rowOff>238125</xdr:rowOff>
    </xdr:from>
    <xdr:to>
      <xdr:col>6</xdr:col>
      <xdr:colOff>42294</xdr:colOff>
      <xdr:row>52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BA67B9-145E-4A44-AA6B-D5F20ED849DA}"/>
            </a:ext>
          </a:extLst>
        </xdr:cNvPr>
        <xdr:cNvSpPr txBox="1"/>
      </xdr:nvSpPr>
      <xdr:spPr>
        <a:xfrm>
          <a:off x="4645485" y="25717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10</xdr:col>
      <xdr:colOff>533398</xdr:colOff>
      <xdr:row>106</xdr:row>
      <xdr:rowOff>87086</xdr:rowOff>
    </xdr:from>
    <xdr:to>
      <xdr:col>21</xdr:col>
      <xdr:colOff>195943</xdr:colOff>
      <xdr:row>132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5E92F-74BB-44D2-B3DB-9F1C01923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98</xdr:row>
      <xdr:rowOff>119744</xdr:rowOff>
    </xdr:from>
    <xdr:to>
      <xdr:col>12</xdr:col>
      <xdr:colOff>457200</xdr:colOff>
      <xdr:row>100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382ED13-76FC-4703-8969-288F098CA3C9}"/>
            </a:ext>
          </a:extLst>
        </xdr:cNvPr>
        <xdr:cNvSpPr txBox="1"/>
      </xdr:nvSpPr>
      <xdr:spPr>
        <a:xfrm>
          <a:off x="8893629" y="7191375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12</xdr:col>
      <xdr:colOff>141514</xdr:colOff>
      <xdr:row>111</xdr:row>
      <xdr:rowOff>1</xdr:rowOff>
    </xdr:from>
    <xdr:to>
      <xdr:col>12</xdr:col>
      <xdr:colOff>544285</xdr:colOff>
      <xdr:row>112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D445F5-D1E9-46C0-9D67-042B9507B802}"/>
            </a:ext>
          </a:extLst>
        </xdr:cNvPr>
        <xdr:cNvSpPr txBox="1"/>
      </xdr:nvSpPr>
      <xdr:spPr>
        <a:xfrm>
          <a:off x="8980714" y="7191375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7</xdr:col>
      <xdr:colOff>648115</xdr:colOff>
      <xdr:row>65</xdr:row>
      <xdr:rowOff>13942</xdr:rowOff>
    </xdr:from>
    <xdr:to>
      <xdr:col>11</xdr:col>
      <xdr:colOff>155990</xdr:colOff>
      <xdr:row>66</xdr:row>
      <xdr:rowOff>255933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E7164930-166C-40DD-9555-E411951E6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8572" y="12404725"/>
          <a:ext cx="2390222" cy="51531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8283</xdr:colOff>
      <xdr:row>49</xdr:row>
      <xdr:rowOff>8283</xdr:rowOff>
    </xdr:from>
    <xdr:to>
      <xdr:col>13</xdr:col>
      <xdr:colOff>753718</xdr:colOff>
      <xdr:row>51</xdr:row>
      <xdr:rowOff>240196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EA33B13-B14C-4A1F-8415-ACED38792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1087" y="2335696"/>
          <a:ext cx="1573696" cy="712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6627</xdr:colOff>
      <xdr:row>49</xdr:row>
      <xdr:rowOff>8283</xdr:rowOff>
    </xdr:from>
    <xdr:to>
      <xdr:col>17</xdr:col>
      <xdr:colOff>704022</xdr:colOff>
      <xdr:row>51</xdr:row>
      <xdr:rowOff>240196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F13F30-E2ED-41FB-AE93-DD63F63F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7127" y="2335696"/>
          <a:ext cx="1583634" cy="712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6</xdr:row>
      <xdr:rowOff>82826</xdr:rowOff>
    </xdr:from>
    <xdr:to>
      <xdr:col>8</xdr:col>
      <xdr:colOff>579783</xdr:colOff>
      <xdr:row>22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5F0523D-1939-4AE1-A1E3-977D8DE1C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34</xdr:row>
      <xdr:rowOff>0</xdr:rowOff>
    </xdr:from>
    <xdr:to>
      <xdr:col>13</xdr:col>
      <xdr:colOff>295275</xdr:colOff>
      <xdr:row>48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AE7B7-8960-4847-9EC8-B65B18F2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568785</xdr:colOff>
      <xdr:row>10</xdr:row>
      <xdr:rowOff>238125</xdr:rowOff>
    </xdr:from>
    <xdr:to>
      <xdr:col>5</xdr:col>
      <xdr:colOff>42294</xdr:colOff>
      <xdr:row>12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59DE6E7-42EC-4065-A043-D93ED764482D}"/>
            </a:ext>
          </a:extLst>
        </xdr:cNvPr>
        <xdr:cNvSpPr txBox="1"/>
      </xdr:nvSpPr>
      <xdr:spPr>
        <a:xfrm>
          <a:off x="413113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9</xdr:col>
      <xdr:colOff>533398</xdr:colOff>
      <xdr:row>66</xdr:row>
      <xdr:rowOff>87086</xdr:rowOff>
    </xdr:from>
    <xdr:to>
      <xdr:col>17</xdr:col>
      <xdr:colOff>195943</xdr:colOff>
      <xdr:row>92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2BA18-77F1-416E-A594-190C665DA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54429</xdr:colOff>
      <xdr:row>58</xdr:row>
      <xdr:rowOff>119744</xdr:rowOff>
    </xdr:from>
    <xdr:to>
      <xdr:col>11</xdr:col>
      <xdr:colOff>457200</xdr:colOff>
      <xdr:row>60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1AB261-EF91-4C72-B7F8-1523BD898774}"/>
            </a:ext>
          </a:extLst>
        </xdr:cNvPr>
        <xdr:cNvSpPr txBox="1"/>
      </xdr:nvSpPr>
      <xdr:spPr>
        <a:xfrm>
          <a:off x="855072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11</xdr:col>
      <xdr:colOff>141514</xdr:colOff>
      <xdr:row>71</xdr:row>
      <xdr:rowOff>1</xdr:rowOff>
    </xdr:from>
    <xdr:to>
      <xdr:col>11</xdr:col>
      <xdr:colOff>544285</xdr:colOff>
      <xdr:row>72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D0A808A-311D-4FDD-8C41-BDC1E8D404F8}"/>
            </a:ext>
          </a:extLst>
        </xdr:cNvPr>
        <xdr:cNvSpPr txBox="1"/>
      </xdr:nvSpPr>
      <xdr:spPr>
        <a:xfrm>
          <a:off x="863781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6</xdr:col>
      <xdr:colOff>648115</xdr:colOff>
      <xdr:row>25</xdr:row>
      <xdr:rowOff>13942</xdr:rowOff>
    </xdr:from>
    <xdr:to>
      <xdr:col>10</xdr:col>
      <xdr:colOff>155990</xdr:colOff>
      <xdr:row>26</xdr:row>
      <xdr:rowOff>255933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520DD9C2-8C06-4422-87DD-5D21F53F6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82065" y="6367117"/>
          <a:ext cx="2403475" cy="518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11</xdr:col>
      <xdr:colOff>8283</xdr:colOff>
      <xdr:row>9</xdr:row>
      <xdr:rowOff>8283</xdr:rowOff>
    </xdr:from>
    <xdr:to>
      <xdr:col>12</xdr:col>
      <xdr:colOff>762000</xdr:colOff>
      <xdr:row>11</xdr:row>
      <xdr:rowOff>243824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2B8810F-828F-4700-BA2B-8D0C67C2B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522" y="10668000"/>
          <a:ext cx="1581978" cy="712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6627</xdr:colOff>
      <xdr:row>9</xdr:row>
      <xdr:rowOff>8283</xdr:rowOff>
    </xdr:from>
    <xdr:to>
      <xdr:col>16</xdr:col>
      <xdr:colOff>704022</xdr:colOff>
      <xdr:row>11</xdr:row>
      <xdr:rowOff>243824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C7D20C0-A85F-4AD8-BB3E-844DC17B1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562" y="10668000"/>
          <a:ext cx="1583634" cy="712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9</xdr:row>
      <xdr:rowOff>9525</xdr:rowOff>
    </xdr:from>
    <xdr:to>
      <xdr:col>12</xdr:col>
      <xdr:colOff>763242</xdr:colOff>
      <xdr:row>11</xdr:row>
      <xdr:rowOff>245066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035A8DB-B50E-4E36-AA83-AA66B32EE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333625"/>
          <a:ext cx="1582392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9</xdr:row>
      <xdr:rowOff>9525</xdr:rowOff>
    </xdr:from>
    <xdr:to>
      <xdr:col>16</xdr:col>
      <xdr:colOff>706920</xdr:colOff>
      <xdr:row>11</xdr:row>
      <xdr:rowOff>245066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5484383-2B8A-4884-87D0-BFA4CD656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2333625"/>
          <a:ext cx="1583220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46</xdr:row>
      <xdr:rowOff>82826</xdr:rowOff>
    </xdr:from>
    <xdr:to>
      <xdr:col>9</xdr:col>
      <xdr:colOff>579783</xdr:colOff>
      <xdr:row>62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4F2C73D-614B-4164-87B9-F77086707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74</xdr:row>
      <xdr:rowOff>0</xdr:rowOff>
    </xdr:from>
    <xdr:to>
      <xdr:col>14</xdr:col>
      <xdr:colOff>295275</xdr:colOff>
      <xdr:row>88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ED684-59F3-4FEB-9B05-F558D0D6E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568785</xdr:colOff>
      <xdr:row>50</xdr:row>
      <xdr:rowOff>238125</xdr:rowOff>
    </xdr:from>
    <xdr:to>
      <xdr:col>6</xdr:col>
      <xdr:colOff>42294</xdr:colOff>
      <xdr:row>52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11A57C-FF29-49E9-8FF9-6A8BA25A81D1}"/>
            </a:ext>
          </a:extLst>
        </xdr:cNvPr>
        <xdr:cNvSpPr txBox="1"/>
      </xdr:nvSpPr>
      <xdr:spPr>
        <a:xfrm>
          <a:off x="413113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10</xdr:col>
      <xdr:colOff>533398</xdr:colOff>
      <xdr:row>106</xdr:row>
      <xdr:rowOff>87086</xdr:rowOff>
    </xdr:from>
    <xdr:to>
      <xdr:col>21</xdr:col>
      <xdr:colOff>195943</xdr:colOff>
      <xdr:row>132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A4BE8F-0F6E-42F5-8F5B-38AC25D9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54429</xdr:colOff>
      <xdr:row>98</xdr:row>
      <xdr:rowOff>119744</xdr:rowOff>
    </xdr:from>
    <xdr:to>
      <xdr:col>12</xdr:col>
      <xdr:colOff>457200</xdr:colOff>
      <xdr:row>100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097516-53AC-4B7C-B928-F23D1639F7E2}"/>
            </a:ext>
          </a:extLst>
        </xdr:cNvPr>
        <xdr:cNvSpPr txBox="1"/>
      </xdr:nvSpPr>
      <xdr:spPr>
        <a:xfrm>
          <a:off x="855072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12</xdr:col>
      <xdr:colOff>141514</xdr:colOff>
      <xdr:row>111</xdr:row>
      <xdr:rowOff>1</xdr:rowOff>
    </xdr:from>
    <xdr:to>
      <xdr:col>12</xdr:col>
      <xdr:colOff>544285</xdr:colOff>
      <xdr:row>112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9C2B5F8-E54D-4205-97CC-E8B8364F679C}"/>
            </a:ext>
          </a:extLst>
        </xdr:cNvPr>
        <xdr:cNvSpPr txBox="1"/>
      </xdr:nvSpPr>
      <xdr:spPr>
        <a:xfrm>
          <a:off x="863781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7</xdr:col>
      <xdr:colOff>648115</xdr:colOff>
      <xdr:row>65</xdr:row>
      <xdr:rowOff>13942</xdr:rowOff>
    </xdr:from>
    <xdr:to>
      <xdr:col>11</xdr:col>
      <xdr:colOff>155990</xdr:colOff>
      <xdr:row>66</xdr:row>
      <xdr:rowOff>255933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77FDCFCD-E54B-46C0-B4CD-10FC1075F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82065" y="6367117"/>
          <a:ext cx="2403475" cy="518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12</xdr:col>
      <xdr:colOff>8283</xdr:colOff>
      <xdr:row>49</xdr:row>
      <xdr:rowOff>8283</xdr:rowOff>
    </xdr:from>
    <xdr:to>
      <xdr:col>13</xdr:col>
      <xdr:colOff>753718</xdr:colOff>
      <xdr:row>51</xdr:row>
      <xdr:rowOff>240196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B19EA3-7B24-481A-8851-CE4BDF24C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4583" y="2332383"/>
          <a:ext cx="1574110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6627</xdr:colOff>
      <xdr:row>49</xdr:row>
      <xdr:rowOff>8283</xdr:rowOff>
    </xdr:from>
    <xdr:to>
      <xdr:col>17</xdr:col>
      <xdr:colOff>704022</xdr:colOff>
      <xdr:row>51</xdr:row>
      <xdr:rowOff>240196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52AEFC-127A-4C9C-989E-5D9B49BA5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8552" y="2332383"/>
          <a:ext cx="1583220" cy="708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88206</xdr:colOff>
      <xdr:row>20</xdr:row>
      <xdr:rowOff>82826</xdr:rowOff>
    </xdr:from>
    <xdr:to>
      <xdr:col>8</xdr:col>
      <xdr:colOff>579783</xdr:colOff>
      <xdr:row>36</xdr:row>
      <xdr:rowOff>40401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DF7550A-43D7-4006-826E-050D5B726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48</xdr:row>
      <xdr:rowOff>0</xdr:rowOff>
    </xdr:from>
    <xdr:to>
      <xdr:col>13</xdr:col>
      <xdr:colOff>295275</xdr:colOff>
      <xdr:row>62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837FB-A240-4D87-929F-6B69ED59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568785</xdr:colOff>
      <xdr:row>24</xdr:row>
      <xdr:rowOff>238125</xdr:rowOff>
    </xdr:from>
    <xdr:to>
      <xdr:col>5</xdr:col>
      <xdr:colOff>42294</xdr:colOff>
      <xdr:row>26</xdr:row>
      <xdr:rowOff>91805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8844DB-A09C-4AD4-B614-5953C89CD86F}"/>
            </a:ext>
          </a:extLst>
        </xdr:cNvPr>
        <xdr:cNvSpPr txBox="1"/>
      </xdr:nvSpPr>
      <xdr:spPr>
        <a:xfrm>
          <a:off x="3388185" y="2800350"/>
          <a:ext cx="149784" cy="339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 b="1" i="0"/>
        </a:p>
      </xdr:txBody>
    </xdr:sp>
    <xdr:clientData/>
  </xdr:twoCellAnchor>
  <xdr:twoCellAnchor>
    <xdr:from>
      <xdr:col>9</xdr:col>
      <xdr:colOff>533398</xdr:colOff>
      <xdr:row>80</xdr:row>
      <xdr:rowOff>87086</xdr:rowOff>
    </xdr:from>
    <xdr:to>
      <xdr:col>17</xdr:col>
      <xdr:colOff>195943</xdr:colOff>
      <xdr:row>106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D0E60-36DF-476A-9BE9-C651083CD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54429</xdr:colOff>
      <xdr:row>72</xdr:row>
      <xdr:rowOff>119744</xdr:rowOff>
    </xdr:from>
    <xdr:to>
      <xdr:col>11</xdr:col>
      <xdr:colOff>457200</xdr:colOff>
      <xdr:row>74</xdr:row>
      <xdr:rowOff>76201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91708E-8F81-4298-9679-A5FCC0511B3A}"/>
            </a:ext>
          </a:extLst>
        </xdr:cNvPr>
        <xdr:cNvSpPr txBox="1"/>
      </xdr:nvSpPr>
      <xdr:spPr>
        <a:xfrm>
          <a:off x="7807779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(b)</a:t>
          </a:r>
        </a:p>
      </xdr:txBody>
    </xdr:sp>
    <xdr:clientData/>
  </xdr:twoCellAnchor>
  <xdr:twoCellAnchor>
    <xdr:from>
      <xdr:col>11</xdr:col>
      <xdr:colOff>141514</xdr:colOff>
      <xdr:row>85</xdr:row>
      <xdr:rowOff>1</xdr:rowOff>
    </xdr:from>
    <xdr:to>
      <xdr:col>11</xdr:col>
      <xdr:colOff>544285</xdr:colOff>
      <xdr:row>86</xdr:row>
      <xdr:rowOff>141515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EAD47A-80AE-47FC-AC87-82A505740EE9}"/>
            </a:ext>
          </a:extLst>
        </xdr:cNvPr>
        <xdr:cNvSpPr txBox="1"/>
      </xdr:nvSpPr>
      <xdr:spPr>
        <a:xfrm>
          <a:off x="7894864" y="7467600"/>
          <a:ext cx="40277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(a)</a:t>
          </a:r>
        </a:p>
      </xdr:txBody>
    </xdr:sp>
    <xdr:clientData/>
  </xdr:twoCellAnchor>
  <xdr:twoCellAnchor>
    <xdr:from>
      <xdr:col>6</xdr:col>
      <xdr:colOff>648115</xdr:colOff>
      <xdr:row>39</xdr:row>
      <xdr:rowOff>13942</xdr:rowOff>
    </xdr:from>
    <xdr:to>
      <xdr:col>10</xdr:col>
      <xdr:colOff>155990</xdr:colOff>
      <xdr:row>40</xdr:row>
      <xdr:rowOff>255933</xdr:rowOff>
    </xdr:to>
    <xdr:pic>
      <xdr:nvPicPr>
        <xdr:cNvPr id="8" name="Picture 7" descr="UILog">
          <a:extLst>
            <a:ext uri="{FF2B5EF4-FFF2-40B4-BE49-F238E27FC236}">
              <a16:creationId xmlns:a16="http://schemas.microsoft.com/office/drawing/2014/main" id="{74BEB6A5-4218-451E-A622-50631CE5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839115" y="6367117"/>
          <a:ext cx="2403475" cy="518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11</xdr:col>
      <xdr:colOff>8283</xdr:colOff>
      <xdr:row>23</xdr:row>
      <xdr:rowOff>8283</xdr:rowOff>
    </xdr:from>
    <xdr:to>
      <xdr:col>12</xdr:col>
      <xdr:colOff>762000</xdr:colOff>
      <xdr:row>25</xdr:row>
      <xdr:rowOff>243824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A73E609-EF35-4074-BA83-B7A22C8B1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1633" y="2332383"/>
          <a:ext cx="1582392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6627</xdr:colOff>
      <xdr:row>23</xdr:row>
      <xdr:rowOff>8283</xdr:rowOff>
    </xdr:from>
    <xdr:to>
      <xdr:col>16</xdr:col>
      <xdr:colOff>704022</xdr:colOff>
      <xdr:row>25</xdr:row>
      <xdr:rowOff>243824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8B8052-FD99-46AB-9F31-7F935AE60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5602" y="2332383"/>
          <a:ext cx="1583220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23</xdr:row>
      <xdr:rowOff>9525</xdr:rowOff>
    </xdr:from>
    <xdr:to>
      <xdr:col>12</xdr:col>
      <xdr:colOff>763242</xdr:colOff>
      <xdr:row>25</xdr:row>
      <xdr:rowOff>245066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943216F-5566-4B27-A9DF-ED95CC9E4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2875" y="2333625"/>
          <a:ext cx="1582392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23</xdr:row>
      <xdr:rowOff>9525</xdr:rowOff>
    </xdr:from>
    <xdr:to>
      <xdr:col>16</xdr:col>
      <xdr:colOff>706920</xdr:colOff>
      <xdr:row>25</xdr:row>
      <xdr:rowOff>245066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8C82B84-ACBF-4850-8694-02EB1EBCB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2333625"/>
          <a:ext cx="1583220" cy="711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0.16239</cdr:x>
      <cdr:y>0.03356</cdr:y>
    </cdr:from>
    <cdr:to>
      <cdr:x>0.19487</cdr:x>
      <cdr:y>0.20134</cdr:y>
    </cdr:to>
    <cdr:sp macro="" textlink="">
      <cdr:nvSpPr>
        <cdr:cNvPr id="2" name="Left Brace 1"/>
        <cdr:cNvSpPr/>
      </cdr:nvSpPr>
      <cdr:spPr>
        <a:xfrm xmlns:a="http://schemas.openxmlformats.org/drawingml/2006/main">
          <a:off x="1034145" y="163285"/>
          <a:ext cx="206829" cy="816429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0.18725</cdr:x>
      <cdr:y>0.3128</cdr:y>
    </cdr:from>
    <cdr:to>
      <cdr:x>0.21175</cdr:x>
      <cdr:y>0.68267</cdr:y>
    </cdr:to>
    <cdr:sp macro="" textlink="">
      <cdr:nvSpPr>
        <cdr:cNvPr id="3" name="Left Brace 2"/>
        <cdr:cNvSpPr/>
      </cdr:nvSpPr>
      <cdr:spPr>
        <a:xfrm xmlns:a="http://schemas.openxmlformats.org/drawingml/2006/main">
          <a:off x="1393047" y="1549951"/>
          <a:ext cx="182266" cy="1832756"/>
        </a:xfrm>
        <a:prstGeom xmlns:a="http://schemas.openxmlformats.org/drawingml/2006/main" prst="lef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drigo/Box/new%20excel%20correlation/Residual-FullySoftened-Correlations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 Metric"/>
      <sheetName val="Input-Output English"/>
    </sheetNames>
    <sheetDataSet>
      <sheetData sheetId="0">
        <row r="4">
          <cell r="K4">
            <v>0</v>
          </cell>
        </row>
      </sheetData>
      <sheetData sheetId="1">
        <row r="65">
          <cell r="B65">
            <v>40</v>
          </cell>
          <cell r="C65">
            <v>0.61209999999999998</v>
          </cell>
          <cell r="E65">
            <v>0.56240000000000001</v>
          </cell>
          <cell r="G65">
            <v>0.49959999999999999</v>
          </cell>
        </row>
        <row r="66">
          <cell r="B66">
            <v>50</v>
          </cell>
          <cell r="C66">
            <v>0.59660000000000002</v>
          </cell>
          <cell r="E66">
            <v>0.5413</v>
          </cell>
          <cell r="G66">
            <v>0.4773</v>
          </cell>
        </row>
        <row r="67">
          <cell r="B67">
            <v>60</v>
          </cell>
          <cell r="C67">
            <v>0.58169999999999999</v>
          </cell>
          <cell r="E67">
            <v>0.52239999999999998</v>
          </cell>
          <cell r="G67">
            <v>0.45729999999999998</v>
          </cell>
        </row>
        <row r="68">
          <cell r="B68">
            <v>70</v>
          </cell>
          <cell r="C68">
            <v>0.56940000000000002</v>
          </cell>
          <cell r="E68">
            <v>0.50360000000000005</v>
          </cell>
          <cell r="G68">
            <v>0.43890000000000001</v>
          </cell>
        </row>
        <row r="69">
          <cell r="B69">
            <v>75</v>
          </cell>
          <cell r="C69">
            <v>0.5645</v>
          </cell>
          <cell r="E69">
            <v>0.49509999999999998</v>
          </cell>
          <cell r="G69">
            <v>0.43020000000000003</v>
          </cell>
        </row>
        <row r="70">
          <cell r="B70">
            <v>80</v>
          </cell>
          <cell r="E70">
            <v>0.48720000000000002</v>
          </cell>
          <cell r="G70">
            <v>0.4219</v>
          </cell>
        </row>
        <row r="71">
          <cell r="B71">
            <v>90</v>
          </cell>
          <cell r="E71">
            <v>0.47220000000000001</v>
          </cell>
          <cell r="G71">
            <v>0.40539999999999998</v>
          </cell>
        </row>
        <row r="72">
          <cell r="B72">
            <v>100</v>
          </cell>
          <cell r="E72">
            <v>0.45810000000000001</v>
          </cell>
          <cell r="G72">
            <v>0.3906</v>
          </cell>
        </row>
        <row r="73">
          <cell r="B73">
            <v>110</v>
          </cell>
          <cell r="E73">
            <v>0.4451</v>
          </cell>
          <cell r="G73">
            <v>0.37819999999999998</v>
          </cell>
        </row>
        <row r="74">
          <cell r="B74">
            <v>120</v>
          </cell>
          <cell r="E74">
            <v>0.43340000000000001</v>
          </cell>
          <cell r="G74">
            <v>0.36559999999999998</v>
          </cell>
        </row>
        <row r="75">
          <cell r="B75">
            <v>130</v>
          </cell>
          <cell r="E75">
            <v>0.42370000000000002</v>
          </cell>
          <cell r="G75">
            <v>0.35370000000000001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stark.ne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stark.ne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stark.ne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stark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58"/>
  <sheetViews>
    <sheetView tabSelected="1" zoomScaleNormal="100" workbookViewId="0">
      <selection activeCell="B5" sqref="B5"/>
    </sheetView>
  </sheetViews>
  <sheetFormatPr defaultColWidth="8.85546875" defaultRowHeight="15" x14ac:dyDescent="0.25"/>
  <cols>
    <col min="1" max="1" width="1.85546875" style="7" customWidth="1"/>
    <col min="2" max="2" width="10.140625" style="7" customWidth="1"/>
    <col min="3" max="3" width="11.140625" style="7" customWidth="1"/>
    <col min="4" max="4" width="17.42578125" style="7" customWidth="1"/>
    <col min="5" max="5" width="12.85546875" style="7" customWidth="1"/>
    <col min="6" max="6" width="10.140625" style="7" customWidth="1"/>
    <col min="7" max="7" width="10.42578125" style="7" customWidth="1"/>
    <col min="8" max="8" width="11.42578125" style="7" customWidth="1"/>
    <col min="9" max="9" width="12.85546875" style="7" customWidth="1"/>
    <col min="10" max="10" width="9.140625" style="7" bestFit="1" customWidth="1"/>
    <col min="11" max="12" width="10" style="7" customWidth="1"/>
    <col min="13" max="13" width="12.42578125" style="7" customWidth="1"/>
    <col min="14" max="14" width="11.5703125" style="7" customWidth="1"/>
    <col min="15" max="15" width="11.28515625" style="7" customWidth="1"/>
    <col min="16" max="16" width="11.140625" style="7" customWidth="1"/>
    <col min="17" max="17" width="13.28515625" style="7" customWidth="1"/>
    <col min="18" max="19" width="10.7109375" style="7" bestFit="1" customWidth="1"/>
    <col min="20" max="20" width="12.85546875" style="7" bestFit="1" customWidth="1"/>
    <col min="21" max="24" width="22.28515625" style="7" customWidth="1"/>
    <col min="25" max="25" width="10" style="7" bestFit="1" customWidth="1"/>
    <col min="26" max="16384" width="8.85546875" style="7"/>
  </cols>
  <sheetData>
    <row r="1" spans="1:21" ht="30" customHeight="1" x14ac:dyDescent="0.25">
      <c r="A1" s="2"/>
      <c r="B1" s="139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82" t="s">
        <v>89</v>
      </c>
      <c r="O1" s="139"/>
      <c r="P1" s="140"/>
      <c r="Q1" s="140"/>
      <c r="R1" s="140"/>
      <c r="S1" s="140"/>
      <c r="T1" s="140"/>
      <c r="U1" s="140"/>
    </row>
    <row r="2" spans="1:21" ht="19.5" customHeight="1" x14ac:dyDescent="0.35">
      <c r="A2" s="2"/>
      <c r="B2" s="244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</row>
    <row r="3" spans="1:21" ht="18.75" customHeight="1" x14ac:dyDescent="0.35">
      <c r="A3" s="2"/>
      <c r="B3" s="236" t="s">
        <v>1</v>
      </c>
      <c r="C3" s="237"/>
      <c r="D3" s="141"/>
      <c r="E3" s="238" t="s">
        <v>2</v>
      </c>
      <c r="F3" s="239"/>
      <c r="G3" s="239"/>
      <c r="H3" s="239"/>
      <c r="I3" s="240"/>
      <c r="J3" s="241" t="s">
        <v>3</v>
      </c>
      <c r="K3" s="242"/>
      <c r="L3" s="242"/>
      <c r="M3" s="242"/>
      <c r="N3" s="242"/>
      <c r="O3" s="243"/>
      <c r="P3" s="241" t="s">
        <v>4</v>
      </c>
      <c r="Q3" s="242"/>
      <c r="R3" s="242"/>
      <c r="S3" s="242"/>
      <c r="T3" s="242"/>
      <c r="U3" s="243"/>
    </row>
    <row r="4" spans="1:21" ht="17.25" customHeight="1" x14ac:dyDescent="0.25">
      <c r="A4" s="2"/>
      <c r="B4" s="142" t="s">
        <v>5</v>
      </c>
      <c r="C4" s="142" t="s">
        <v>6</v>
      </c>
      <c r="D4" s="143" t="s">
        <v>8</v>
      </c>
      <c r="E4" s="144" t="s">
        <v>9</v>
      </c>
      <c r="F4" s="145" t="s">
        <v>10</v>
      </c>
      <c r="G4" s="144" t="s">
        <v>11</v>
      </c>
      <c r="H4" s="145" t="s">
        <v>12</v>
      </c>
      <c r="I4" s="145" t="s">
        <v>13</v>
      </c>
      <c r="J4" s="146">
        <v>0</v>
      </c>
      <c r="K4" s="146">
        <v>12</v>
      </c>
      <c r="L4" s="146">
        <v>50</v>
      </c>
      <c r="M4" s="146">
        <v>100</v>
      </c>
      <c r="N4" s="146">
        <v>400</v>
      </c>
      <c r="O4" s="146">
        <v>700</v>
      </c>
      <c r="P4" s="146">
        <v>0</v>
      </c>
      <c r="Q4" s="146">
        <f>K4*20.89</f>
        <v>250.68</v>
      </c>
      <c r="R4" s="146">
        <f t="shared" ref="R4:U4" si="0">L4*20.89</f>
        <v>1044.5</v>
      </c>
      <c r="S4" s="146">
        <f t="shared" si="0"/>
        <v>2089</v>
      </c>
      <c r="T4" s="146">
        <f t="shared" si="0"/>
        <v>8356</v>
      </c>
      <c r="U4" s="146">
        <f t="shared" si="0"/>
        <v>14623</v>
      </c>
    </row>
    <row r="5" spans="1:21" ht="21" customHeight="1" x14ac:dyDescent="0.3">
      <c r="A5" s="2"/>
      <c r="B5" s="1">
        <v>64</v>
      </c>
      <c r="C5" s="1">
        <v>55</v>
      </c>
      <c r="D5" s="134" t="s">
        <v>14</v>
      </c>
      <c r="E5" s="135" t="s">
        <v>15</v>
      </c>
      <c r="F5" s="148">
        <f>IF(C5&lt;21,E10,IF(C5=21,((4*E10+E12)/5),IF(C5=22,((3*E10+2*E12)/5),IF(C5=23,((2*E10+3*E12)/5),IF(C5=24,((E10+4*E12)/5),IF(C5=46,((4*E12+E15)/5),IF(C5=47,((3*E12+2*E15)/5),IF(C5=48,((2*E12+3*E15)/5),IF(C5=49,((E12+4*E15)/5),IF(C5&gt;49,E15,E12))))))))))</f>
        <v>16.3508736</v>
      </c>
      <c r="G5" s="148">
        <f>IF(C5&lt;21,F10,IF(C5=21,((4*F10+F12)/5),IF(C5=22,((3*F10+2*F12)/5),IF(C5=23,((2*F10+3*F12)/5),IF(C5=24,((F10+4*F12)/5),IF(C5=46,((4*F12+F15)/5),IF(C5=47,((3*F12+2*F15)/5),IF(C5=48,((2*F12+3*F15)/5),IF(C5=49,((F12+4*F15)/5),IF(C5&gt;49,F15,F12))))))))))</f>
        <v>15.011617817599998</v>
      </c>
      <c r="H5" s="148">
        <f>IF(C5&lt;21,G10,IF(C5=21,((4*G10+G12)/5),IF(C5=22,((3*G10+2*G12)/5),IF(C5=23,((2*G10+3*G12)/5),IF(C5=24,((G10+4*G12)/5),IF(C5=46,((4*G12+G15)/5),IF(C5=47,((3*G12+2*G15)/5),IF(C5=48,((2*G12+3*G15)/5),IF(C5=49,((G12+4*G15)/5),IF(C5&gt;49,G15,G12))))))))))</f>
        <v>13.17074816</v>
      </c>
      <c r="I5" s="148">
        <f>IF(C5&lt;21,H10,IF(C5=21,((4*H10+H12)/5),IF(C5=22,((3*H10+2*H12)/5),IF(C5=23,((2*H10+3*H12)/5),IF(C5=24,((H10+4*H12)/5),IF(C5=46,((4*H12+H15)/5),IF(C5=47,((3*H12+2*H15)/5),IF(C5=48,((2*H12+3*H15)/5),IF(C5=49,((H12+4*H15)/5),IF(C5&gt;49,H15,H12))))))))))</f>
        <v>9.9862687999999995</v>
      </c>
      <c r="J5" s="137">
        <v>0</v>
      </c>
      <c r="K5" s="137" t="s">
        <v>15</v>
      </c>
      <c r="L5" s="136">
        <f>IF(F5="NA", "NA", L4*TAN(RADIANS(F5)))</f>
        <v>14.669227579434226</v>
      </c>
      <c r="M5" s="136">
        <f>IF(G5="NA", "NA", M4*TAN(RADIANS(G5)))</f>
        <v>26.816653158288752</v>
      </c>
      <c r="N5" s="136">
        <f>IF(H5="NA", "NA", N4*TAN(RADIANS(H5)))</f>
        <v>93.603727911842313</v>
      </c>
      <c r="O5" s="136">
        <f>IF(I5="NA", "NA", O4*TAN(RADIANS(I5)))</f>
        <v>123.2559197404404</v>
      </c>
      <c r="P5" s="138">
        <v>0</v>
      </c>
      <c r="Q5" s="138" t="s">
        <v>15</v>
      </c>
      <c r="R5" s="138">
        <f t="shared" ref="R5:R6" si="1">L5*20.89</f>
        <v>306.44016413438101</v>
      </c>
      <c r="S5" s="138">
        <f t="shared" ref="S5:S6" si="2">M5*20.89</f>
        <v>560.19988447665207</v>
      </c>
      <c r="T5" s="138">
        <f t="shared" ref="T5:T6" si="3">N5*20.89</f>
        <v>1955.3818760783859</v>
      </c>
      <c r="U5" s="138">
        <f t="shared" ref="U5" si="4">O5*20.89</f>
        <v>2574.8161633778</v>
      </c>
    </row>
    <row r="6" spans="1:21" ht="21" customHeight="1" x14ac:dyDescent="0.3">
      <c r="A6" s="2"/>
      <c r="B6" s="3"/>
      <c r="C6" s="3"/>
      <c r="D6" s="4" t="s">
        <v>16</v>
      </c>
      <c r="E6" s="5">
        <f>IF(C5&lt;21,D19,IF(C5=21,((4*D19+D21)/5),IF(C5=22,((3*D19+2*D21)/5),IF(C5=23,((2*D19+3*D21)/5),IF(C5=24,((D19+4*D21)/5),IF(C5=46,((4*D21+D23)/5),IF(C5=47,((3*D21+2*D23)/5),IF(C5=48,((2*D21+3*D23)/5),IF(C5=49,((D21+4*D23)/5),IF(C5&gt;49,D23,D21))))))))))</f>
        <v>31.684544818928334</v>
      </c>
      <c r="F6" s="5">
        <f>IF(C5&lt;21,E19,IF(C5=21,((4*E19+E21)/5),IF(C5=22,((3*E19+2*E21)/5),IF(C5=23,((2*E19+3*E21)/5),IF(C5=24,((E19+4*E21)/5),IF(C5=46,((4*E21+E23)/5),IF(C5=47,((3*E21+2*E23)/5),IF(C5=48,((2*E21+3*E23)/5),IF(C5=49,((E21+4*E23)/5),IF(C5&gt;49,E23,E21))))))))))</f>
        <v>27.853399030241576</v>
      </c>
      <c r="G6" s="5">
        <f>IF(C5&lt;21,F19,IF(C5=21,((4*F19+F21)/5),IF(C5=22,((3*F19+2*F21)/5),IF(C5=23,((2*F19+3*F21)/5),IF(C5=24,((F19+4*F21)/5),IF(C5=46,((4*F21+F23)/5),IF(C5=47,((3*F21+2*F23)/5),IF(C5=48,((2*F21+3*F23)/5),IF(C5=49,((F21+4*F23)/5),IF(C5&gt;49,F23,F21))))))))))</f>
        <v>24.97707989530635</v>
      </c>
      <c r="H6" s="5">
        <f>IF(C5&lt;21,G19,IF(C5=21,((4*G19+G21)/5),IF(C5=22,((3*G19+2*G21)/5),IF(C5=23,((2*G19+3*G21)/5),IF(C5=24,((G19+4*G21)/5),IF(C5=46,((4*G21+G23)/5),IF(C5=47,((3*G21+2*G23)/5),IF(C5=48,((2*G21+3*G23)/5),IF(C5=49,((G21+4*G23)/5),IF(C5&gt;49,G23,G21))))))))))</f>
        <v>22.309212034876726</v>
      </c>
      <c r="I6" s="6" t="s">
        <v>15</v>
      </c>
      <c r="J6" s="5">
        <v>0</v>
      </c>
      <c r="K6" s="5">
        <f>IF(E6="NA", "NA", K4*TAN(RADIANS(E6)))</f>
        <v>7.4068801634396193</v>
      </c>
      <c r="L6" s="5">
        <f>IF(F6="NA", "NA", L4*TAN(RADIANS(F6)))</f>
        <v>26.421591994408423</v>
      </c>
      <c r="M6" s="5">
        <f>IF(G6="NA", "NA", M4*TAN(RADIANS(G6)))</f>
        <v>46.582073372995907</v>
      </c>
      <c r="N6" s="5">
        <f>IF(H6="NA","NA",N4*TAN(RADIANS(H6)))</f>
        <v>164.12709059586743</v>
      </c>
      <c r="O6" s="5" t="s">
        <v>15</v>
      </c>
      <c r="P6" s="5">
        <f>J6*20.89</f>
        <v>0</v>
      </c>
      <c r="Q6" s="5">
        <f t="shared" ref="Q6" si="5">K6*20.89</f>
        <v>154.72972661425365</v>
      </c>
      <c r="R6" s="5">
        <f t="shared" si="1"/>
        <v>551.94705676319199</v>
      </c>
      <c r="S6" s="5">
        <f t="shared" si="2"/>
        <v>973.09951276188451</v>
      </c>
      <c r="T6" s="5">
        <f t="shared" si="3"/>
        <v>3428.6149225476706</v>
      </c>
      <c r="U6" s="5" t="s">
        <v>15</v>
      </c>
    </row>
    <row r="7" spans="1:21" ht="21" hidden="1" x14ac:dyDescent="0.3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2"/>
      <c r="Q7" s="9"/>
    </row>
    <row r="8" spans="1:21" ht="18.75" hidden="1" x14ac:dyDescent="0.3">
      <c r="A8" s="2"/>
      <c r="B8" s="218" t="s">
        <v>17</v>
      </c>
      <c r="C8" s="218"/>
      <c r="D8" s="218"/>
      <c r="E8" s="218"/>
      <c r="F8" s="218"/>
      <c r="G8" s="218"/>
      <c r="H8" s="218"/>
      <c r="I8" s="10"/>
      <c r="J8" s="10"/>
      <c r="K8" s="248" t="s">
        <v>17</v>
      </c>
      <c r="L8" s="248"/>
      <c r="M8" s="248"/>
      <c r="N8" s="248"/>
      <c r="O8" s="248"/>
      <c r="P8" s="2"/>
      <c r="Q8" s="249" t="s">
        <v>18</v>
      </c>
      <c r="R8" s="250"/>
      <c r="S8" s="250"/>
      <c r="T8" s="251"/>
    </row>
    <row r="9" spans="1:21" ht="18.75" hidden="1" x14ac:dyDescent="0.3">
      <c r="A9" s="2"/>
      <c r="B9" s="252" t="s">
        <v>19</v>
      </c>
      <c r="C9" s="11">
        <f>B5</f>
        <v>64</v>
      </c>
      <c r="D9" s="11" t="s">
        <v>15</v>
      </c>
      <c r="E9" s="12">
        <f>L11+M11*C9+N11*(C9)^2</f>
        <v>23.373450152943999</v>
      </c>
      <c r="F9" s="12">
        <f>L12+M12*C9+N12*(C9)^2</f>
        <v>22.436305246966398</v>
      </c>
      <c r="G9" s="12">
        <f>L13+M13*C9+N13*(C9)^2</f>
        <v>21.4635630290656</v>
      </c>
      <c r="H9" s="13">
        <f>L14+M14*C9+N14*(C9)^2+O14*(C9)^3</f>
        <v>20.874790858950398</v>
      </c>
      <c r="K9" s="14" t="s">
        <v>19</v>
      </c>
      <c r="L9" s="15" t="s">
        <v>20</v>
      </c>
      <c r="M9" s="15" t="s">
        <v>21</v>
      </c>
      <c r="N9" s="15" t="s">
        <v>22</v>
      </c>
      <c r="O9" s="15" t="s">
        <v>22</v>
      </c>
      <c r="P9" s="2"/>
      <c r="Q9" s="14" t="s">
        <v>19</v>
      </c>
      <c r="R9" s="16" t="s">
        <v>20</v>
      </c>
      <c r="S9" s="17" t="s">
        <v>21</v>
      </c>
      <c r="T9" s="17" t="s">
        <v>22</v>
      </c>
      <c r="U9" s="17" t="s">
        <v>28</v>
      </c>
    </row>
    <row r="10" spans="1:21" ht="18.75" hidden="1" x14ac:dyDescent="0.35">
      <c r="A10" s="2"/>
      <c r="B10" s="253"/>
      <c r="C10" s="18">
        <f>C9</f>
        <v>64</v>
      </c>
      <c r="D10" s="18" t="s">
        <v>15</v>
      </c>
      <c r="E10" s="19">
        <f>IF(C10&lt;25,"NA",IF(C10&lt;76,E9,"NA"))</f>
        <v>23.373450152943999</v>
      </c>
      <c r="F10" s="19">
        <f>IF(C10&lt;25,"NA",IF(C10&lt;76,F9,"NA"))</f>
        <v>22.436305246966398</v>
      </c>
      <c r="G10" s="19">
        <f>IF(C10&lt;25,"NA",IF(C10&lt;76,G9,"NA"))</f>
        <v>21.4635630290656</v>
      </c>
      <c r="H10" s="20">
        <f>IF(C10&lt;25,"NA",IF(C10&lt;76,H9,"NA"))</f>
        <v>20.874790858950398</v>
      </c>
      <c r="K10" s="21" t="s">
        <v>23</v>
      </c>
      <c r="L10" s="22"/>
      <c r="M10" s="22" t="s">
        <v>24</v>
      </c>
      <c r="N10" s="22" t="s">
        <v>25</v>
      </c>
      <c r="O10" s="22" t="s">
        <v>29</v>
      </c>
      <c r="P10" s="2"/>
      <c r="Q10" s="21" t="s">
        <v>23</v>
      </c>
      <c r="R10" s="23"/>
      <c r="S10" s="24" t="s">
        <v>24</v>
      </c>
      <c r="T10" s="24" t="s">
        <v>25</v>
      </c>
      <c r="U10" s="24" t="s">
        <v>29</v>
      </c>
    </row>
    <row r="11" spans="1:21" hidden="1" x14ac:dyDescent="0.25">
      <c r="A11" s="2"/>
      <c r="B11" s="254" t="s">
        <v>26</v>
      </c>
      <c r="C11" s="25">
        <f>B5</f>
        <v>64</v>
      </c>
      <c r="D11" s="25" t="s">
        <v>15</v>
      </c>
      <c r="E11" s="26">
        <f>J18+K18*C11+L18*(C11)^2+M18*(C11)^3</f>
        <v>20.538110684449915</v>
      </c>
      <c r="F11" s="26">
        <f>J19+K19*C11+L19*(C11)^2+M19*(C11)^3+N19*(C11)^4+O19*(C11)^5</f>
        <v>18.598438834700179</v>
      </c>
      <c r="G11" s="26">
        <f>J20+K20*C11+L20*(C11)^2+M20*(C11)^3+N20*(C11)^4+O20*(C11)^5+P20*(C11)^6</f>
        <v>16.451645661574656</v>
      </c>
      <c r="H11" s="27">
        <f>J21+K21*C11+L21*(C11)^2+M21*(C11)^3+N21*(C11)^4+O21*(C11)^5</f>
        <v>13.884884248958919</v>
      </c>
      <c r="K11" s="28">
        <v>50</v>
      </c>
      <c r="L11" s="29">
        <v>38.033086709999999</v>
      </c>
      <c r="M11" s="30">
        <v>-0.2605941973</v>
      </c>
      <c r="N11" s="31">
        <v>4.9277150149999998E-4</v>
      </c>
      <c r="P11" s="2"/>
      <c r="Q11" s="32">
        <v>12</v>
      </c>
      <c r="R11" s="33">
        <v>37.906075280000003</v>
      </c>
      <c r="S11" s="34">
        <v>-7.1986118880000005E-2</v>
      </c>
      <c r="T11" s="35">
        <v>2.3364568279999999E-4</v>
      </c>
      <c r="U11" s="35">
        <v>0</v>
      </c>
    </row>
    <row r="12" spans="1:21" hidden="1" x14ac:dyDescent="0.25">
      <c r="A12" s="2"/>
      <c r="B12" s="255"/>
      <c r="C12" s="36">
        <f>C11</f>
        <v>64</v>
      </c>
      <c r="D12" s="36" t="s">
        <v>15</v>
      </c>
      <c r="E12" s="37">
        <f>IF(C12&lt;35,"NA",IF(C12&lt;=126,E11,"NA"))</f>
        <v>20.538110684449915</v>
      </c>
      <c r="F12" s="37">
        <f>IF(C12&lt;35,"NA",IF(C12&lt;=126,F11,"NA"))</f>
        <v>18.598438834700179</v>
      </c>
      <c r="G12" s="37">
        <f>IF(C12&lt;35,"NA",IF(C12&lt;=126,G11,"NA"))</f>
        <v>16.451645661574656</v>
      </c>
      <c r="H12" s="38">
        <f>IF(C12&lt;35,"NA",IF(C12&lt;=126,H11,"NA"))</f>
        <v>13.884884248958919</v>
      </c>
      <c r="K12" s="39">
        <v>100</v>
      </c>
      <c r="L12" s="40">
        <v>37.803024729999997</v>
      </c>
      <c r="M12" s="41">
        <v>-0.27287084909999998</v>
      </c>
      <c r="N12" s="42">
        <v>5.1196651839999999E-4</v>
      </c>
      <c r="P12" s="2"/>
      <c r="Q12" s="32">
        <v>50</v>
      </c>
      <c r="R12" s="33">
        <v>36.434800000000003</v>
      </c>
      <c r="S12" s="34">
        <v>-7.234071551E-2</v>
      </c>
      <c r="T12" s="35">
        <v>2.1144580809999999E-4</v>
      </c>
      <c r="U12" s="35">
        <v>0</v>
      </c>
    </row>
    <row r="13" spans="1:21" hidden="1" x14ac:dyDescent="0.25">
      <c r="A13" s="2"/>
      <c r="B13" s="256" t="s">
        <v>27</v>
      </c>
      <c r="C13" s="47">
        <f>B5</f>
        <v>64</v>
      </c>
      <c r="D13" s="47" t="s">
        <v>15</v>
      </c>
      <c r="E13" s="48">
        <f>L25+M25*C13+N25*(C13)^2+O25*(C13)^3</f>
        <v>16.3508736</v>
      </c>
      <c r="F13" s="48">
        <f>L26+M26*$C13+N26*($C13)^2+O26*($C13)^3</f>
        <v>15.011617817599998</v>
      </c>
      <c r="G13" s="48">
        <f>L27+M27*C13+N27*(C13)^2+O27*(C13)^3</f>
        <v>13.17074816</v>
      </c>
      <c r="H13" s="49">
        <f>L28+M28*C13+N28*(C13)^2+O28*(C13)^3</f>
        <v>9.9862687999999995</v>
      </c>
      <c r="K13" s="50">
        <v>400</v>
      </c>
      <c r="L13" s="51">
        <v>38.32356411</v>
      </c>
      <c r="M13" s="44">
        <v>-0.31898651680000001</v>
      </c>
      <c r="N13" s="52">
        <v>8.679531236E-4</v>
      </c>
      <c r="P13" s="2"/>
      <c r="Q13" s="43">
        <v>100</v>
      </c>
      <c r="R13" s="44">
        <v>36.478889160000001</v>
      </c>
      <c r="S13" s="45">
        <v>-8.7667032820000004E-2</v>
      </c>
      <c r="T13" s="46">
        <v>2.7418913529999998E-4</v>
      </c>
      <c r="U13" s="35">
        <v>0</v>
      </c>
    </row>
    <row r="14" spans="1:21" ht="13.5" hidden="1" customHeight="1" x14ac:dyDescent="0.25">
      <c r="A14" s="2"/>
      <c r="B14" s="257"/>
      <c r="C14" s="57">
        <f>C13</f>
        <v>64</v>
      </c>
      <c r="D14" s="57" t="s">
        <v>15</v>
      </c>
      <c r="E14" s="58">
        <f>L32+M32*$C14</f>
        <v>10.653</v>
      </c>
      <c r="F14" s="58">
        <f>L33+M33*$C14</f>
        <v>9.4675999999999991</v>
      </c>
      <c r="G14" s="58">
        <f>L34+M34*$C14</f>
        <v>7.5877999999999997</v>
      </c>
      <c r="H14" s="59">
        <f>L35+M35*$C14</f>
        <v>5.6181999999999999</v>
      </c>
      <c r="K14" s="60">
        <v>700</v>
      </c>
      <c r="L14" s="61">
        <v>39.095295100000001</v>
      </c>
      <c r="M14" s="54">
        <v>-0.43707049380000002</v>
      </c>
      <c r="N14" s="62">
        <v>3.4175760939999999E-3</v>
      </c>
      <c r="O14" s="187">
        <v>-1.6198670650000001E-5</v>
      </c>
      <c r="P14" s="2"/>
      <c r="Q14" s="53">
        <v>400</v>
      </c>
      <c r="R14" s="54">
        <v>35.933427129999998</v>
      </c>
      <c r="S14" s="55">
        <v>-9.4975937659999995E-2</v>
      </c>
      <c r="T14" s="56">
        <v>1.5747615449999999E-4</v>
      </c>
      <c r="U14" s="35">
        <v>0</v>
      </c>
    </row>
    <row r="15" spans="1:21" hidden="1" x14ac:dyDescent="0.25">
      <c r="A15" s="2"/>
      <c r="B15" s="258"/>
      <c r="C15" s="63">
        <f>B5</f>
        <v>64</v>
      </c>
      <c r="D15" s="63" t="s">
        <v>15</v>
      </c>
      <c r="E15" s="64">
        <f>IF(C15&lt;45,"NA",IF(C15&lt;120,E13,IF(C15&lt;=300,E14,"NA")))</f>
        <v>16.3508736</v>
      </c>
      <c r="F15" s="64">
        <f>IF(C15&lt;45,"NA",IF(C15&lt;120,F13,IF(C15&lt;=300,F14,"NA")))</f>
        <v>15.011617817599998</v>
      </c>
      <c r="G15" s="64">
        <f>IF(C15&lt;45,"NA",IF(C15&lt;120,G13,IF(C15&lt;=300,G14,"NA")))</f>
        <v>13.17074816</v>
      </c>
      <c r="H15" s="65">
        <f>IF(C15&lt;45,"NA",IF(C15&lt;120,H13,IF(C15&lt;=300,H14,"NA")))</f>
        <v>9.9862687999999995</v>
      </c>
      <c r="P15" s="2"/>
    </row>
    <row r="16" spans="1:21" ht="18.75" hidden="1" x14ac:dyDescent="0.3">
      <c r="A16" s="2"/>
      <c r="I16" s="66" t="s">
        <v>26</v>
      </c>
      <c r="J16" s="67" t="s">
        <v>20</v>
      </c>
      <c r="K16" s="67" t="s">
        <v>21</v>
      </c>
      <c r="L16" s="67" t="s">
        <v>22</v>
      </c>
      <c r="M16" s="67" t="s">
        <v>28</v>
      </c>
      <c r="N16" s="67" t="s">
        <v>28</v>
      </c>
      <c r="O16" s="67" t="s">
        <v>28</v>
      </c>
      <c r="P16" s="67" t="s">
        <v>28</v>
      </c>
      <c r="Q16" s="66" t="s">
        <v>26</v>
      </c>
      <c r="R16" s="68" t="s">
        <v>20</v>
      </c>
      <c r="S16" s="69" t="s">
        <v>21</v>
      </c>
      <c r="T16" s="69" t="s">
        <v>22</v>
      </c>
      <c r="U16" s="69" t="s">
        <v>28</v>
      </c>
    </row>
    <row r="17" spans="1:23" ht="19.5" hidden="1" x14ac:dyDescent="0.35">
      <c r="A17" s="2"/>
      <c r="B17" s="259" t="s">
        <v>18</v>
      </c>
      <c r="C17" s="260"/>
      <c r="D17" s="260"/>
      <c r="E17" s="260"/>
      <c r="F17" s="260"/>
      <c r="G17" s="260"/>
      <c r="H17" s="261"/>
      <c r="I17" s="70" t="s">
        <v>23</v>
      </c>
      <c r="J17" s="67"/>
      <c r="K17" s="67" t="s">
        <v>24</v>
      </c>
      <c r="L17" s="67" t="s">
        <v>25</v>
      </c>
      <c r="M17" s="67" t="s">
        <v>29</v>
      </c>
      <c r="N17" s="67" t="s">
        <v>65</v>
      </c>
      <c r="O17" s="67" t="s">
        <v>66</v>
      </c>
      <c r="P17" s="67" t="s">
        <v>91</v>
      </c>
      <c r="Q17" s="70" t="s">
        <v>23</v>
      </c>
      <c r="R17" s="68"/>
      <c r="S17" s="69" t="s">
        <v>24</v>
      </c>
      <c r="T17" s="69" t="s">
        <v>25</v>
      </c>
      <c r="U17" s="69" t="s">
        <v>29</v>
      </c>
    </row>
    <row r="18" spans="1:23" hidden="1" x14ac:dyDescent="0.25">
      <c r="A18" s="2"/>
      <c r="B18" s="262" t="s">
        <v>19</v>
      </c>
      <c r="C18" s="71">
        <f>B5</f>
        <v>64</v>
      </c>
      <c r="D18" s="72">
        <f>R11+S11*(C18)+T11*(C18)^2</f>
        <v>34.255976388428799</v>
      </c>
      <c r="E18" s="72">
        <f>R12+S12*(C18)+T12*(C18)^2</f>
        <v>32.671076237337601</v>
      </c>
      <c r="F18" s="72">
        <f>R13+S13*(C18)+T13*(C18)^2</f>
        <v>31.991277757708801</v>
      </c>
      <c r="G18" s="72">
        <f>R14+S14*(C18)+T14*(C18)^2+U14*(C18)^3</f>
        <v>30.499989448591997</v>
      </c>
      <c r="H18" s="73" t="s">
        <v>15</v>
      </c>
      <c r="I18" s="28">
        <v>50</v>
      </c>
      <c r="J18" s="74">
        <v>32.008962449999999</v>
      </c>
      <c r="K18" s="75">
        <v>-5.1561604470000001E-2</v>
      </c>
      <c r="L18" s="75">
        <v>-3.096033389E-3</v>
      </c>
      <c r="M18" s="75">
        <v>1.7205977180000002E-5</v>
      </c>
      <c r="P18" s="2"/>
      <c r="Q18" s="32">
        <v>12</v>
      </c>
      <c r="R18" s="33">
        <v>38.121955309999997</v>
      </c>
      <c r="S18" s="34">
        <v>-7.6736341390000004E-2</v>
      </c>
      <c r="T18" s="35">
        <v>-7.0530895469999994E-5</v>
      </c>
      <c r="U18" s="186">
        <v>1.2535158759999999E-6</v>
      </c>
    </row>
    <row r="19" spans="1:23" hidden="1" x14ac:dyDescent="0.25">
      <c r="A19" s="2"/>
      <c r="B19" s="253"/>
      <c r="C19" s="18">
        <f>C18</f>
        <v>64</v>
      </c>
      <c r="D19" s="19">
        <f>IF(C19&lt;25,"NA",IF(C19&lt;76,D18,"NA"))</f>
        <v>34.255976388428799</v>
      </c>
      <c r="E19" s="19">
        <f>IF(C19&lt;25,"NA",IF(C19&lt;76,E18,"NA"))</f>
        <v>32.671076237337601</v>
      </c>
      <c r="F19" s="19">
        <f>IF(C19&lt;25,"NA",IF(C19&lt;76,F18,"NA"))</f>
        <v>31.991277757708801</v>
      </c>
      <c r="G19" s="19">
        <f>IF(C19&lt;25,"NA",IF(C19&lt;76,G18,"NA"))</f>
        <v>30.499989448591997</v>
      </c>
      <c r="H19" s="20" t="s">
        <v>15</v>
      </c>
      <c r="I19" s="39">
        <v>100</v>
      </c>
      <c r="J19" s="76">
        <v>42.846793499999997</v>
      </c>
      <c r="K19" s="77">
        <v>-0.95247491269999995</v>
      </c>
      <c r="L19" s="77">
        <v>2.099823411E-2</v>
      </c>
      <c r="M19" s="77">
        <v>-2.9366059069999999E-4</v>
      </c>
      <c r="N19" s="92">
        <v>1.9564796509999998E-6</v>
      </c>
      <c r="O19" s="92">
        <v>-4.7885319059999996E-9</v>
      </c>
      <c r="P19" s="2"/>
      <c r="Q19" s="32">
        <v>50</v>
      </c>
      <c r="R19" s="33">
        <v>36.289955640000002</v>
      </c>
      <c r="S19" s="34">
        <v>-9.4482599269999995E-2</v>
      </c>
      <c r="T19" s="35">
        <v>2.0438564179999999E-4</v>
      </c>
    </row>
    <row r="20" spans="1:23" hidden="1" x14ac:dyDescent="0.25">
      <c r="A20" s="2"/>
      <c r="B20" s="254" t="s">
        <v>26</v>
      </c>
      <c r="C20" s="25">
        <f>B5</f>
        <v>64</v>
      </c>
      <c r="D20" s="26">
        <f>R18+S18*(C20)+T18*(C20)^2+U18*(C20)^3</f>
        <v>33.250536578993028</v>
      </c>
      <c r="E20" s="26">
        <f>R19+S19*(C20)+T19*(C20)^2</f>
        <v>31.080232875532801</v>
      </c>
      <c r="F20" s="26">
        <f>R20+S20*(C20)+T20*(C20)^2</f>
        <v>29.249375740047999</v>
      </c>
      <c r="G20" s="26">
        <f>R21+S21*(C20)+T21*(C20)^2</f>
        <v>26.654808874537601</v>
      </c>
      <c r="H20" s="27" t="s">
        <v>15</v>
      </c>
      <c r="I20" s="50">
        <v>400</v>
      </c>
      <c r="J20" s="188">
        <v>47.345950649999999</v>
      </c>
      <c r="K20" s="189">
        <v>-1.5287339520000001</v>
      </c>
      <c r="L20" s="189">
        <v>4.0686569999999998E-2</v>
      </c>
      <c r="M20" s="189">
        <v>-6.4303825950000001E-4</v>
      </c>
      <c r="N20" s="189">
        <v>5.3513928050000002E-6</v>
      </c>
      <c r="O20" s="189">
        <v>-2.158603094E-8</v>
      </c>
      <c r="P20" s="189">
        <v>3.2850220479999997E-11</v>
      </c>
      <c r="Q20" s="43">
        <v>100</v>
      </c>
      <c r="R20" s="44">
        <v>35.107030330000001</v>
      </c>
      <c r="S20" s="45">
        <v>-0.10782350340000001</v>
      </c>
      <c r="T20" s="78">
        <v>2.5465078799999998E-4</v>
      </c>
    </row>
    <row r="21" spans="1:23" hidden="1" x14ac:dyDescent="0.25">
      <c r="A21" s="2"/>
      <c r="B21" s="255"/>
      <c r="C21" s="36">
        <f>C20</f>
        <v>64</v>
      </c>
      <c r="D21" s="37">
        <f>IF(C21&lt;35,"NA",IF(C21&lt;=126,D20,"NA"))</f>
        <v>33.250536578993028</v>
      </c>
      <c r="E21" s="37">
        <f>IF(C21&lt;35,"NA",IF(C21&lt;=126,E20,"NA"))</f>
        <v>31.080232875532801</v>
      </c>
      <c r="F21" s="37">
        <f>IF(C21&lt;35,"NA",IF(C21&lt;=126,F20,"NA"))</f>
        <v>29.249375740047999</v>
      </c>
      <c r="G21" s="37">
        <f>IF(C21&lt;35,"NA",IF(C21&lt;=126,G20,"NA"))</f>
        <v>26.654808874537601</v>
      </c>
      <c r="H21" s="38" t="s">
        <v>15</v>
      </c>
      <c r="I21" s="60">
        <v>700</v>
      </c>
      <c r="J21" s="80">
        <v>38.358431019999998</v>
      </c>
      <c r="K21" s="81">
        <v>-0.95417449909999996</v>
      </c>
      <c r="L21" s="81">
        <v>1.9693885059999999E-2</v>
      </c>
      <c r="M21" s="81">
        <v>-2.6045865530000001E-4</v>
      </c>
      <c r="N21" s="92">
        <v>1.7128802039999999E-6</v>
      </c>
      <c r="O21" s="92">
        <v>-4.2209583000000002E-9</v>
      </c>
      <c r="P21" s="2"/>
      <c r="Q21" s="53">
        <v>400</v>
      </c>
      <c r="R21" s="54">
        <v>34.30820121</v>
      </c>
      <c r="S21" s="55">
        <v>-0.14648675559999999</v>
      </c>
      <c r="T21" s="79">
        <v>4.203515681E-4</v>
      </c>
    </row>
    <row r="22" spans="1:23" hidden="1" x14ac:dyDescent="0.25">
      <c r="A22" s="2"/>
      <c r="B22" s="256" t="s">
        <v>27</v>
      </c>
      <c r="C22" s="57">
        <f>B5</f>
        <v>64</v>
      </c>
      <c r="D22" s="58">
        <f>R25+S25*(C22)+T25*(C22)^2+U25*(C22)^3+V25*(C22)^4+W25*(C22)^5</f>
        <v>31.684544818928334</v>
      </c>
      <c r="E22" s="58">
        <f>R26+S26*(C22)+T26*(C22)^2+U26*(C22)^3+V26*(C22)^4+W26*(C22)^5</f>
        <v>27.853399030241576</v>
      </c>
      <c r="F22" s="58">
        <f>R27+S27*(C22)+T27*(C22)^2+U27*(C22)^3+V27*(C22)^4+W27*(C22)^5</f>
        <v>24.97707989530635</v>
      </c>
      <c r="G22" s="58">
        <f>R28+S28*(C22)+T28*(C22)^2+U28*(C22)^3+V28*(C22)^4+W28*(C22)^5</f>
        <v>22.309212034876726</v>
      </c>
      <c r="H22" s="59" t="s">
        <v>15</v>
      </c>
      <c r="K22" s="82" t="s">
        <v>30</v>
      </c>
      <c r="L22" s="83"/>
      <c r="M22" s="83"/>
      <c r="N22" s="83"/>
      <c r="O22" s="83"/>
      <c r="P22" s="2"/>
    </row>
    <row r="23" spans="1:23" ht="18.75" hidden="1" x14ac:dyDescent="0.3">
      <c r="A23" s="2"/>
      <c r="B23" s="258"/>
      <c r="C23" s="63">
        <f>C22</f>
        <v>64</v>
      </c>
      <c r="D23" s="64">
        <f>IF(C23&lt;45,"NA",IF(C23&lt;=300,D22,"NA"))</f>
        <v>31.684544818928334</v>
      </c>
      <c r="E23" s="64">
        <f>IF(C23&lt;45,"NA",IF(C23&lt;=300,E22,"NA"))</f>
        <v>27.853399030241576</v>
      </c>
      <c r="F23" s="64">
        <f>IF(C23&lt;45,"NA",IF(C23&lt;=300,F22,"NA"))</f>
        <v>24.97707989530635</v>
      </c>
      <c r="G23" s="64">
        <f>IF(C23&lt;45,"NA",IF(C23&lt;=300,G22,"NA"))</f>
        <v>22.309212034876726</v>
      </c>
      <c r="H23" s="65" t="s">
        <v>15</v>
      </c>
      <c r="K23" s="84" t="s">
        <v>27</v>
      </c>
      <c r="L23" s="85" t="s">
        <v>20</v>
      </c>
      <c r="M23" s="85" t="s">
        <v>21</v>
      </c>
      <c r="N23" s="85" t="s">
        <v>22</v>
      </c>
      <c r="O23" s="85" t="s">
        <v>28</v>
      </c>
      <c r="P23" s="2"/>
      <c r="Q23" s="84" t="s">
        <v>27</v>
      </c>
      <c r="R23" s="86" t="s">
        <v>20</v>
      </c>
      <c r="S23" s="87" t="s">
        <v>21</v>
      </c>
      <c r="T23" s="87" t="s">
        <v>22</v>
      </c>
      <c r="U23" s="87" t="s">
        <v>28</v>
      </c>
      <c r="V23" s="87" t="s">
        <v>67</v>
      </c>
      <c r="W23" s="87" t="s">
        <v>68</v>
      </c>
    </row>
    <row r="24" spans="1:23" ht="18.75" hidden="1" x14ac:dyDescent="0.35">
      <c r="A24" s="2"/>
      <c r="K24" s="88" t="s">
        <v>23</v>
      </c>
      <c r="L24" s="85"/>
      <c r="M24" s="85" t="s">
        <v>24</v>
      </c>
      <c r="N24" s="85" t="s">
        <v>25</v>
      </c>
      <c r="O24" s="85" t="s">
        <v>29</v>
      </c>
      <c r="P24" s="2"/>
      <c r="Q24" s="88" t="s">
        <v>23</v>
      </c>
      <c r="R24" s="86"/>
      <c r="S24" s="87" t="s">
        <v>24</v>
      </c>
      <c r="T24" s="87" t="s">
        <v>25</v>
      </c>
      <c r="U24" s="87" t="s">
        <v>29</v>
      </c>
      <c r="V24" s="87" t="s">
        <v>65</v>
      </c>
      <c r="W24" s="87" t="s">
        <v>66</v>
      </c>
    </row>
    <row r="25" spans="1:23" ht="17.25" hidden="1" customHeight="1" x14ac:dyDescent="0.25">
      <c r="A25" s="2"/>
      <c r="K25" s="89">
        <v>50</v>
      </c>
      <c r="L25" s="90">
        <v>33.44</v>
      </c>
      <c r="M25" s="91">
        <v>-0.31</v>
      </c>
      <c r="N25" s="92">
        <v>3.8999999999999999E-4</v>
      </c>
      <c r="O25" s="93">
        <v>4.4000000000000002E-6</v>
      </c>
      <c r="P25" s="2"/>
      <c r="Q25" s="94">
        <v>12</v>
      </c>
      <c r="R25" s="95">
        <v>38.142353880000002</v>
      </c>
      <c r="S25" s="34">
        <v>-0.11425207749999999</v>
      </c>
      <c r="T25" s="35">
        <v>2.238184592E-4</v>
      </c>
      <c r="U25" s="96">
        <v>-2.381763838E-7</v>
      </c>
      <c r="V25" s="96">
        <v>0</v>
      </c>
      <c r="W25" s="96">
        <v>0</v>
      </c>
    </row>
    <row r="26" spans="1:23" hidden="1" x14ac:dyDescent="0.25">
      <c r="A26" s="2"/>
      <c r="C26" s="267" t="s">
        <v>83</v>
      </c>
      <c r="D26" s="268"/>
      <c r="E26" s="268"/>
      <c r="G26" s="267" t="s">
        <v>82</v>
      </c>
      <c r="H26" s="268"/>
      <c r="I26" s="268"/>
      <c r="K26" s="89">
        <v>100</v>
      </c>
      <c r="L26" s="90">
        <v>30.65</v>
      </c>
      <c r="M26" s="91">
        <v>-0.25040000000000001</v>
      </c>
      <c r="N26" s="92">
        <v>-4.2053000000000001E-4</v>
      </c>
      <c r="O26" s="93">
        <v>8.0478999999999996E-6</v>
      </c>
      <c r="P26" s="2"/>
      <c r="Q26" s="94">
        <v>50</v>
      </c>
      <c r="R26" s="95">
        <v>37.259863250000002</v>
      </c>
      <c r="S26" s="34">
        <v>-0.24065530630000001</v>
      </c>
      <c r="T26" s="35">
        <v>2.0315981500000002E-3</v>
      </c>
      <c r="U26" s="96">
        <v>-1.0439104369999999E-5</v>
      </c>
      <c r="V26" s="96">
        <v>2.6104614510000001E-8</v>
      </c>
      <c r="W26" s="96">
        <v>-2.5485473889999999E-11</v>
      </c>
    </row>
    <row r="27" spans="1:23" hidden="1" x14ac:dyDescent="0.25">
      <c r="A27" s="2"/>
      <c r="D27" s="7" t="s">
        <v>33</v>
      </c>
      <c r="E27" s="7" t="s">
        <v>34</v>
      </c>
      <c r="H27" s="7" t="s">
        <v>33</v>
      </c>
      <c r="I27" s="7" t="s">
        <v>34</v>
      </c>
      <c r="K27" s="89">
        <v>400</v>
      </c>
      <c r="L27" s="90">
        <v>29.42</v>
      </c>
      <c r="M27" s="91">
        <v>-0.26650000000000001</v>
      </c>
      <c r="N27" s="92">
        <v>-3.4000000000000002E-4</v>
      </c>
      <c r="O27" s="93">
        <v>8.3899999999999993E-6</v>
      </c>
      <c r="P27" s="2"/>
      <c r="Q27" s="94">
        <v>100</v>
      </c>
      <c r="R27" s="51">
        <v>35.46766865</v>
      </c>
      <c r="S27" s="45">
        <v>-0.25454966759999997</v>
      </c>
      <c r="T27" s="78">
        <v>1.7867971039999999E-3</v>
      </c>
      <c r="U27" s="97">
        <v>-6.3067128199999996E-6</v>
      </c>
      <c r="V27" s="97">
        <v>8.0547308450000003E-9</v>
      </c>
      <c r="W27" s="97">
        <v>0</v>
      </c>
    </row>
    <row r="28" spans="1:23" hidden="1" x14ac:dyDescent="0.25">
      <c r="A28" s="2"/>
      <c r="C28" s="7" t="s">
        <v>79</v>
      </c>
      <c r="D28" s="7">
        <f>IF(B5&lt;25,"NA",IF(B5&lt;76,(2.2*B5^(-0.393)),"NA"))</f>
        <v>0.429135014095537</v>
      </c>
      <c r="E28" s="7">
        <f>IF(B5&lt;25,"NA",IF(B5&lt;76,(1.31*B5^(-0.0842)),"NA"))</f>
        <v>0.92297713394904635</v>
      </c>
      <c r="G28" s="7" t="s">
        <v>79</v>
      </c>
      <c r="H28" s="7">
        <f>IF(B5&lt;25,"NA",IF(B5&lt;76,(0.937*B5^(-0.099)),"NA"))</f>
        <v>0.62076578748567968</v>
      </c>
      <c r="I28" s="7">
        <f>IF(B5&lt;25,"NA",IF(B5&lt;76,(1.09*B5^(-0.032)),"NA"))</f>
        <v>0.95417654936674789</v>
      </c>
      <c r="K28" s="89">
        <v>700</v>
      </c>
      <c r="L28" s="90">
        <v>40.49</v>
      </c>
      <c r="M28" s="91">
        <v>-0.8</v>
      </c>
      <c r="N28" s="92">
        <v>6.0000000000000001E-3</v>
      </c>
      <c r="O28" s="93">
        <v>-1.4800000000000001E-5</v>
      </c>
      <c r="P28" s="2"/>
      <c r="Q28" s="94">
        <v>400</v>
      </c>
      <c r="R28" s="61">
        <v>34.51931476</v>
      </c>
      <c r="S28" s="55">
        <v>-0.29080876979999998</v>
      </c>
      <c r="T28" s="79">
        <v>1.9356442050000001E-3</v>
      </c>
      <c r="U28" s="98">
        <v>-6.30856158E-6</v>
      </c>
      <c r="V28" s="98">
        <v>7.5704720750000005E-9</v>
      </c>
      <c r="W28" s="98">
        <v>0</v>
      </c>
    </row>
    <row r="29" spans="1:23" hidden="1" x14ac:dyDescent="0.25">
      <c r="A29" s="2"/>
      <c r="C29" s="7" t="s">
        <v>80</v>
      </c>
      <c r="D29" s="7">
        <f>IF(B5&lt;35,"NA",IF(B5&lt;126,(8.83*B5^(-0.795)),"NA"))</f>
        <v>0.32362914380367153</v>
      </c>
      <c r="E29" s="7">
        <f>IF(B5&lt;35,"NA",IF(B5&lt;126,(1.07*B5^(-0.0452)),"NA"))</f>
        <v>0.88663412569315481</v>
      </c>
      <c r="G29" s="7" t="s">
        <v>80</v>
      </c>
      <c r="H29" s="7">
        <f>IF(B5&lt;35,"NA",IF(B5&lt;126,(0.91*B5^(-0.129)),"NA"))</f>
        <v>0.53216238714363606</v>
      </c>
      <c r="I29" s="7">
        <f>IF(B5&lt;35,"NA",IF(B5&lt;126,(1.1*B5^(-0.044)),"NA"))</f>
        <v>0.91605334796860394</v>
      </c>
      <c r="K29" s="82" t="s">
        <v>31</v>
      </c>
      <c r="L29" s="83"/>
      <c r="M29" s="83"/>
      <c r="P29" s="2"/>
    </row>
    <row r="30" spans="1:23" ht="18.75" hidden="1" x14ac:dyDescent="0.3">
      <c r="A30" s="2"/>
      <c r="C30" s="7" t="s">
        <v>81</v>
      </c>
      <c r="D30" s="7">
        <f>IF(B5&lt;45,"NA",IF(B5&lt;301,(5.23*B5^(-0.729)),"NA"))</f>
        <v>0.25222985361119471</v>
      </c>
      <c r="E30" s="7">
        <f>IF(B5&lt;45,"NA",IF(B5&lt;301,(1.257-0.00938*B5+0.0000574*B5^2-0.0000000991*B5^3),"NA"))</f>
        <v>0.86581192959999986</v>
      </c>
      <c r="G30" s="7" t="s">
        <v>81</v>
      </c>
      <c r="H30" s="7">
        <f>IF(B5&lt;45,"NA",IF(B5&lt;301,(-0.02+2.41*B5^(-0.376)),"NA"))</f>
        <v>0.484537408723827</v>
      </c>
      <c r="I30" s="7">
        <f>IF(B5&lt;45,"NA",IF(B5&lt;301,(0.988-0.00163*B5+0.00000459*B5^2),"NA"))</f>
        <v>0.90248064000000006</v>
      </c>
      <c r="K30" s="84" t="s">
        <v>27</v>
      </c>
      <c r="L30" s="85" t="s">
        <v>20</v>
      </c>
      <c r="M30" s="85" t="s">
        <v>21</v>
      </c>
      <c r="P30" s="2"/>
    </row>
    <row r="31" spans="1:23" hidden="1" x14ac:dyDescent="0.25">
      <c r="A31" s="2"/>
      <c r="K31" s="89"/>
      <c r="L31" s="85"/>
      <c r="M31" s="85" t="s">
        <v>24</v>
      </c>
      <c r="P31" s="2"/>
    </row>
    <row r="32" spans="1:23" hidden="1" x14ac:dyDescent="0.25">
      <c r="A32" s="2"/>
      <c r="K32" s="89">
        <v>50</v>
      </c>
      <c r="L32" s="99">
        <v>12.029</v>
      </c>
      <c r="M32" s="93">
        <v>-2.1499999999999998E-2</v>
      </c>
      <c r="P32" s="2"/>
    </row>
    <row r="33" spans="1:23" hidden="1" x14ac:dyDescent="0.25">
      <c r="A33" s="2"/>
      <c r="K33" s="89">
        <v>100</v>
      </c>
      <c r="L33" s="99">
        <v>10.6388</v>
      </c>
      <c r="M33" s="93">
        <v>-1.83E-2</v>
      </c>
      <c r="P33" s="2"/>
    </row>
    <row r="34" spans="1:23" hidden="1" x14ac:dyDescent="0.25">
      <c r="A34" s="2"/>
      <c r="K34" s="89">
        <v>400</v>
      </c>
      <c r="L34" s="99">
        <v>8.3173999999999992</v>
      </c>
      <c r="M34" s="93">
        <v>-1.14E-2</v>
      </c>
      <c r="P34" s="2"/>
    </row>
    <row r="35" spans="1:23" hidden="1" x14ac:dyDescent="0.25">
      <c r="A35" s="2"/>
      <c r="K35" s="89">
        <v>700</v>
      </c>
      <c r="L35" s="99">
        <v>5.9702000000000002</v>
      </c>
      <c r="M35" s="93">
        <v>-5.4999999999999997E-3</v>
      </c>
      <c r="P35" s="2"/>
    </row>
    <row r="36" spans="1:23" hidden="1" x14ac:dyDescent="0.25">
      <c r="A36" s="2"/>
      <c r="K36" s="150"/>
      <c r="L36" s="99"/>
      <c r="M36" s="93"/>
      <c r="P36" s="2"/>
    </row>
    <row r="37" spans="1:23" hidden="1" x14ac:dyDescent="0.25">
      <c r="A37" s="2"/>
      <c r="B37" s="265" t="s">
        <v>71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</row>
    <row r="38" spans="1:23" ht="21" hidden="1" x14ac:dyDescent="0.35">
      <c r="A38" s="2"/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P38" s="2"/>
      <c r="Q38" s="9"/>
    </row>
    <row r="39" spans="1:23" ht="18.75" hidden="1" x14ac:dyDescent="0.3">
      <c r="A39" s="2"/>
      <c r="B39" s="218" t="s">
        <v>17</v>
      </c>
      <c r="C39" s="219"/>
      <c r="D39" s="219"/>
      <c r="E39" s="219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</row>
    <row r="40" spans="1:23" hidden="1" x14ac:dyDescent="0.25">
      <c r="A40" s="2"/>
      <c r="B40" s="217"/>
      <c r="C40" s="224" t="s">
        <v>76</v>
      </c>
      <c r="D40" s="225"/>
      <c r="E40" s="225"/>
      <c r="F40" s="226"/>
      <c r="G40" s="227" t="s">
        <v>77</v>
      </c>
      <c r="H40" s="228"/>
      <c r="I40" s="228"/>
      <c r="J40" s="229"/>
      <c r="K40" s="230"/>
      <c r="L40" s="231"/>
      <c r="M40" s="231"/>
      <c r="N40" s="232"/>
      <c r="O40" s="233"/>
      <c r="P40" s="234"/>
      <c r="Q40" s="234"/>
      <c r="R40" s="235"/>
      <c r="S40" s="155" t="s">
        <v>72</v>
      </c>
      <c r="T40" s="155" t="s">
        <v>73</v>
      </c>
      <c r="U40" s="155" t="s">
        <v>74</v>
      </c>
      <c r="V40" s="155" t="s">
        <v>75</v>
      </c>
    </row>
    <row r="41" spans="1:23" hidden="1" x14ac:dyDescent="0.25">
      <c r="A41" s="2"/>
      <c r="B41" s="217"/>
      <c r="C41" s="153">
        <v>50</v>
      </c>
      <c r="D41" s="153">
        <v>100</v>
      </c>
      <c r="E41" s="153">
        <v>400</v>
      </c>
      <c r="F41" s="154">
        <v>700</v>
      </c>
      <c r="G41" s="163">
        <f>L5</f>
        <v>14.669227579434226</v>
      </c>
      <c r="H41" s="163">
        <f>M5</f>
        <v>26.816653158288752</v>
      </c>
      <c r="I41" s="163">
        <f t="shared" ref="I41:J41" si="6">N5</f>
        <v>93.603727911842313</v>
      </c>
      <c r="J41" s="163">
        <f t="shared" si="6"/>
        <v>123.2559197404404</v>
      </c>
      <c r="K41" s="151">
        <f>LOG(G41/101)</f>
        <v>-0.83791412747999938</v>
      </c>
      <c r="L41" s="151">
        <f>LOG(H41/101)</f>
        <v>-0.57591679883476932</v>
      </c>
      <c r="M41" s="151">
        <f>LOG(I41/101)</f>
        <v>-3.3028228257123843E-2</v>
      </c>
      <c r="N41" s="151">
        <f>LOG(J41/101)</f>
        <v>8.6486412980975355E-2</v>
      </c>
      <c r="O41" s="164">
        <f>LOG(C41/101)</f>
        <v>-0.30535136944662378</v>
      </c>
      <c r="P41" s="164">
        <f>LOG(D41/101)</f>
        <v>-4.3213737826425782E-3</v>
      </c>
      <c r="Q41" s="164">
        <f>LOG(E41/101)</f>
        <v>0.59773861754531976</v>
      </c>
      <c r="R41" s="164">
        <f>LOG(F41/101)</f>
        <v>0.84077666623161429</v>
      </c>
      <c r="S41" s="152">
        <f>AVERAGE(O41:R41)</f>
        <v>0.28221063513691691</v>
      </c>
      <c r="T41" s="152">
        <f>AVERAGE(K41:N41)</f>
        <v>-0.34009318539772937</v>
      </c>
      <c r="U41" s="152">
        <f>((O41-S41)*(K41-T41)+(P41-S41)*(L41-T41)+(Q41-S41)*(M41-T41)+(R41-S41)*(N41-T41))/((O41-S41)^2+(P41-S41)^2+(Q41-S41)^2+(R41-S41)^2)</f>
        <v>0.8287587542267919</v>
      </c>
      <c r="V41" s="152">
        <f>10^(T41-(U41*S41))</f>
        <v>0.26669954833439957</v>
      </c>
    </row>
    <row r="42" spans="1:23" s="156" customFormat="1" ht="18.75" hidden="1" x14ac:dyDescent="0.3">
      <c r="B42" s="157"/>
      <c r="C42" s="157"/>
      <c r="D42" s="157"/>
      <c r="E42" s="157"/>
      <c r="F42" s="157"/>
      <c r="G42" s="158"/>
      <c r="J42" s="159"/>
      <c r="K42" s="160"/>
      <c r="O42" s="161"/>
      <c r="P42" s="162"/>
    </row>
    <row r="43" spans="1:23" ht="18.75" hidden="1" x14ac:dyDescent="0.3">
      <c r="A43" s="2"/>
      <c r="B43" s="221" t="s">
        <v>18</v>
      </c>
      <c r="C43" s="222"/>
      <c r="D43" s="222"/>
      <c r="E43" s="222"/>
      <c r="F43" s="223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</row>
    <row r="44" spans="1:23" hidden="1" x14ac:dyDescent="0.25">
      <c r="A44" s="2"/>
      <c r="B44" s="217"/>
      <c r="C44" s="224" t="s">
        <v>76</v>
      </c>
      <c r="D44" s="225"/>
      <c r="E44" s="225"/>
      <c r="F44" s="226"/>
      <c r="G44" s="227" t="s">
        <v>78</v>
      </c>
      <c r="H44" s="228"/>
      <c r="I44" s="228"/>
      <c r="J44" s="229"/>
      <c r="K44" s="230"/>
      <c r="L44" s="231"/>
      <c r="M44" s="231"/>
      <c r="N44" s="232"/>
      <c r="O44" s="233"/>
      <c r="P44" s="234"/>
      <c r="Q44" s="234"/>
      <c r="R44" s="235"/>
      <c r="S44" s="155" t="s">
        <v>72</v>
      </c>
      <c r="T44" s="155" t="s">
        <v>73</v>
      </c>
      <c r="U44" s="155" t="s">
        <v>74</v>
      </c>
      <c r="V44" s="155" t="s">
        <v>75</v>
      </c>
    </row>
    <row r="45" spans="1:23" hidden="1" x14ac:dyDescent="0.25">
      <c r="A45" s="2"/>
      <c r="B45" s="217"/>
      <c r="C45" s="153">
        <v>12</v>
      </c>
      <c r="D45" s="153">
        <v>50</v>
      </c>
      <c r="E45" s="153">
        <v>100</v>
      </c>
      <c r="F45" s="154">
        <v>400</v>
      </c>
      <c r="G45" s="163">
        <f>K6</f>
        <v>7.4068801634396193</v>
      </c>
      <c r="H45" s="163">
        <f t="shared" ref="H45:J45" si="7">L6</f>
        <v>26.421591994408423</v>
      </c>
      <c r="I45" s="163">
        <f t="shared" si="7"/>
        <v>46.582073372995907</v>
      </c>
      <c r="J45" s="163">
        <f t="shared" si="7"/>
        <v>164.12709059586743</v>
      </c>
      <c r="K45" s="151">
        <f>LOG(G45/101)</f>
        <v>-1.1346860555625202</v>
      </c>
      <c r="L45" s="151">
        <f>LOG(H45/101)</f>
        <v>-0.58236239193649975</v>
      </c>
      <c r="M45" s="151">
        <f>LOG(I45/101)</f>
        <v>-0.33610255866059963</v>
      </c>
      <c r="N45" s="151">
        <f>LOG(J45/101)</f>
        <v>0.21085889724766763</v>
      </c>
      <c r="O45" s="164">
        <f>LOG(C45/101)</f>
        <v>-0.92514012773501775</v>
      </c>
      <c r="P45" s="164">
        <f>LOG(D45/101)</f>
        <v>-0.30535136944662378</v>
      </c>
      <c r="Q45" s="164">
        <f>LOG(E45/101)</f>
        <v>-4.3213737826425782E-3</v>
      </c>
      <c r="R45" s="164">
        <f>LOG(F45/101)</f>
        <v>0.59773861754531976</v>
      </c>
      <c r="S45" s="152">
        <f>AVERAGE(O45:R45)</f>
        <v>-0.15926856335474107</v>
      </c>
      <c r="T45" s="152">
        <f>AVERAGE(K45:N45)</f>
        <v>-0.46057302722798799</v>
      </c>
      <c r="U45" s="152">
        <f>((O45-S45)*(K45-T45)+(P45-S45)*(L45-T45)+(Q45-S45)*(M45-T45)+(R45-S45)*(N45-T45))/((O45-S45)^2+(P45-S45)^2+(Q45-S45)^2+(R45-S45)^2)</f>
        <v>0.88105287416866707</v>
      </c>
      <c r="V45" s="152">
        <f>10^(T45-(U45*S45))</f>
        <v>0.47835574953952908</v>
      </c>
    </row>
    <row r="46" spans="1:23" hidden="1" x14ac:dyDescent="0.25">
      <c r="A46" s="2"/>
      <c r="P46" s="2"/>
    </row>
    <row r="47" spans="1:23" ht="18" customHeight="1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63"/>
      <c r="L47" s="264"/>
      <c r="M47" s="264"/>
      <c r="N47" s="264"/>
      <c r="O47" s="264"/>
      <c r="P47" s="100"/>
      <c r="Q47" s="100"/>
      <c r="R47" s="100"/>
      <c r="S47" s="100"/>
      <c r="T47" s="100"/>
      <c r="U47" s="100"/>
    </row>
    <row r="48" spans="1:23" ht="18.9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09" t="s">
        <v>87</v>
      </c>
      <c r="L48" s="210"/>
      <c r="M48" s="210"/>
      <c r="N48" s="211"/>
      <c r="O48" s="209" t="s">
        <v>88</v>
      </c>
      <c r="P48" s="210"/>
      <c r="Q48" s="210"/>
      <c r="R48" s="215"/>
      <c r="S48" s="2"/>
      <c r="T48" s="2"/>
      <c r="U48" s="2"/>
    </row>
    <row r="49" spans="1:21" ht="18.95" customHeight="1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12"/>
      <c r="L49" s="213"/>
      <c r="M49" s="213"/>
      <c r="N49" s="214"/>
      <c r="O49" s="212"/>
      <c r="P49" s="213"/>
      <c r="Q49" s="213"/>
      <c r="R49" s="216"/>
      <c r="S49" s="2"/>
      <c r="T49" s="2"/>
      <c r="U49" s="2"/>
    </row>
    <row r="50" spans="1:21" ht="18.9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46" t="s">
        <v>32</v>
      </c>
      <c r="L50" s="247"/>
      <c r="M50" s="165"/>
      <c r="N50" s="177"/>
      <c r="O50" s="246" t="s">
        <v>32</v>
      </c>
      <c r="P50" s="247"/>
      <c r="Q50" s="165"/>
      <c r="R50" s="166"/>
      <c r="S50" s="2"/>
      <c r="T50" s="2"/>
      <c r="U50" s="2"/>
    </row>
    <row r="51" spans="1:21" ht="18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167" t="s">
        <v>33</v>
      </c>
      <c r="L51" s="101" t="s">
        <v>34</v>
      </c>
      <c r="M51" s="168"/>
      <c r="N51" s="177"/>
      <c r="O51" s="167" t="s">
        <v>33</v>
      </c>
      <c r="P51" s="101" t="s">
        <v>34</v>
      </c>
      <c r="Q51" s="168"/>
      <c r="R51" s="166"/>
      <c r="S51" s="269" t="s">
        <v>64</v>
      </c>
      <c r="T51" s="270"/>
      <c r="U51" s="270"/>
    </row>
    <row r="52" spans="1:21" ht="20.10000000000000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169">
        <f>V45</f>
        <v>0.47835574953952908</v>
      </c>
      <c r="L52" s="102">
        <f>U45</f>
        <v>0.88105287416866707</v>
      </c>
      <c r="M52" s="168"/>
      <c r="N52" s="105"/>
      <c r="O52" s="169">
        <f>V41</f>
        <v>0.26669954833439957</v>
      </c>
      <c r="P52" s="102">
        <f>U41</f>
        <v>0.8287587542267919</v>
      </c>
      <c r="Q52" s="168"/>
      <c r="R52" s="181"/>
      <c r="S52" s="270"/>
      <c r="T52" s="270"/>
      <c r="U52" s="270"/>
    </row>
    <row r="53" spans="1:21" ht="18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170" t="s">
        <v>35</v>
      </c>
      <c r="L53" s="103" t="s">
        <v>36</v>
      </c>
      <c r="M53" s="104" t="s">
        <v>37</v>
      </c>
      <c r="N53" s="178" t="s">
        <v>84</v>
      </c>
      <c r="O53" s="170" t="s">
        <v>35</v>
      </c>
      <c r="P53" s="103" t="s">
        <v>36</v>
      </c>
      <c r="Q53" s="104" t="s">
        <v>37</v>
      </c>
      <c r="R53" s="171" t="s">
        <v>84</v>
      </c>
      <c r="S53" s="270"/>
      <c r="T53" s="270"/>
      <c r="U53" s="270"/>
    </row>
    <row r="54" spans="1:21" ht="2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172">
        <v>0</v>
      </c>
      <c r="L54" s="107">
        <v>0</v>
      </c>
      <c r="M54" s="106" t="s">
        <v>38</v>
      </c>
      <c r="N54" s="179">
        <f>L54*20.89</f>
        <v>0</v>
      </c>
      <c r="O54" s="172">
        <v>0</v>
      </c>
      <c r="P54" s="107">
        <v>0</v>
      </c>
      <c r="Q54" s="106" t="s">
        <v>38</v>
      </c>
      <c r="R54" s="173">
        <f>P54*20.89</f>
        <v>0</v>
      </c>
      <c r="S54" s="270"/>
      <c r="T54" s="270"/>
      <c r="U54" s="270"/>
    </row>
    <row r="55" spans="1:21" ht="20.10000000000000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172">
        <v>5</v>
      </c>
      <c r="L55" s="107">
        <f>K$52*101*(K55/101)^L$52</f>
        <v>3.4197062035299708</v>
      </c>
      <c r="M55" s="107">
        <f>DEGREES(ATAN(L55/K55))</f>
        <v>34.369834266548288</v>
      </c>
      <c r="N55" s="179">
        <f t="shared" ref="N55:N62" si="8">L55*20.89</f>
        <v>71.437662591741088</v>
      </c>
      <c r="O55" s="172">
        <v>5</v>
      </c>
      <c r="P55" s="107">
        <f>O$52*101*(O55/101)^P$52</f>
        <v>2.2311166603251209</v>
      </c>
      <c r="Q55" s="107">
        <f t="shared" ref="Q55:Q63" si="9">DEGREES(ATAN(P55/O55))</f>
        <v>24.047543510979079</v>
      </c>
      <c r="R55" s="173">
        <f t="shared" ref="R55:R63" si="10">P55*20.89</f>
        <v>46.608027034191778</v>
      </c>
      <c r="S55" s="270"/>
      <c r="T55" s="270"/>
      <c r="U55" s="270"/>
    </row>
    <row r="56" spans="1:21" ht="20.10000000000000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172">
        <v>10</v>
      </c>
      <c r="L56" s="107">
        <f t="shared" ref="L56:L62" si="11">K$52*101*(K56/101)^L$52</f>
        <v>6.2981375180747339</v>
      </c>
      <c r="M56" s="107">
        <f t="shared" ref="M56:M62" si="12">DEGREES(ATAN(L56/K56))</f>
        <v>32.203287855576676</v>
      </c>
      <c r="N56" s="179">
        <f t="shared" si="8"/>
        <v>131.56809275258121</v>
      </c>
      <c r="O56" s="172">
        <v>10</v>
      </c>
      <c r="P56" s="107">
        <f t="shared" ref="P56:P63" si="13">O$52*101*(O56/101)^P$52</f>
        <v>3.9628124924362691</v>
      </c>
      <c r="Q56" s="107">
        <f t="shared" si="9"/>
        <v>21.617494343732673</v>
      </c>
      <c r="R56" s="173">
        <f t="shared" si="10"/>
        <v>82.783152966993669</v>
      </c>
      <c r="S56" s="270"/>
      <c r="T56" s="270"/>
      <c r="U56" s="270"/>
    </row>
    <row r="57" spans="1:21" ht="20.10000000000000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172">
        <v>25</v>
      </c>
      <c r="L57" s="107">
        <f t="shared" si="11"/>
        <v>14.119467805553047</v>
      </c>
      <c r="M57" s="107">
        <f t="shared" si="12"/>
        <v>29.456836527810157</v>
      </c>
      <c r="N57" s="179">
        <f t="shared" si="8"/>
        <v>294.95568245800314</v>
      </c>
      <c r="O57" s="172">
        <v>25</v>
      </c>
      <c r="P57" s="107">
        <f t="shared" si="13"/>
        <v>8.4683693036581982</v>
      </c>
      <c r="Q57" s="107">
        <f t="shared" si="9"/>
        <v>18.71302771066733</v>
      </c>
      <c r="R57" s="173">
        <f t="shared" si="10"/>
        <v>176.90423475341976</v>
      </c>
      <c r="S57" s="270"/>
      <c r="T57" s="270"/>
      <c r="U57" s="270"/>
    </row>
    <row r="58" spans="1:21" ht="20.10000000000000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172">
        <v>50</v>
      </c>
      <c r="L58" s="107">
        <f t="shared" si="11"/>
        <v>26.004090593983857</v>
      </c>
      <c r="M58" s="107">
        <f t="shared" si="12"/>
        <v>27.478121266113202</v>
      </c>
      <c r="N58" s="179">
        <f t="shared" si="8"/>
        <v>543.22545250832275</v>
      </c>
      <c r="O58" s="172">
        <v>50</v>
      </c>
      <c r="P58" s="107">
        <f t="shared" si="13"/>
        <v>15.041149691477962</v>
      </c>
      <c r="Q58" s="107">
        <f t="shared" si="9"/>
        <v>16.74249504637617</v>
      </c>
      <c r="R58" s="173">
        <f t="shared" si="10"/>
        <v>314.20961705497461</v>
      </c>
      <c r="S58" s="270"/>
      <c r="T58" s="270"/>
      <c r="U58" s="270"/>
    </row>
    <row r="59" spans="1:21" ht="20.10000000000000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172">
        <v>100</v>
      </c>
      <c r="L59" s="107">
        <f t="shared" si="11"/>
        <v>47.89222490058529</v>
      </c>
      <c r="M59" s="107">
        <f t="shared" si="12"/>
        <v>25.59079732185824</v>
      </c>
      <c r="N59" s="179">
        <f t="shared" si="8"/>
        <v>1000.4685781732268</v>
      </c>
      <c r="O59" s="172">
        <v>100</v>
      </c>
      <c r="P59" s="107">
        <f t="shared" si="13"/>
        <v>26.715436694962882</v>
      </c>
      <c r="Q59" s="107">
        <f t="shared" si="9"/>
        <v>14.957502028940516</v>
      </c>
      <c r="R59" s="173">
        <f t="shared" si="10"/>
        <v>558.08547255777466</v>
      </c>
      <c r="S59" s="270"/>
      <c r="T59" s="270"/>
      <c r="U59" s="270"/>
    </row>
    <row r="60" spans="1:21" ht="20.10000000000000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172">
        <v>200</v>
      </c>
      <c r="L60" s="107">
        <f t="shared" si="11"/>
        <v>88.204015350526788</v>
      </c>
      <c r="M60" s="107">
        <f t="shared" si="12"/>
        <v>23.798442305413246</v>
      </c>
      <c r="N60" s="179">
        <f t="shared" si="8"/>
        <v>1842.5818806725047</v>
      </c>
      <c r="O60" s="172">
        <v>200</v>
      </c>
      <c r="P60" s="107">
        <f t="shared" si="13"/>
        <v>47.45079813991525</v>
      </c>
      <c r="Q60" s="107">
        <f t="shared" si="9"/>
        <v>13.346875023141122</v>
      </c>
      <c r="R60" s="173">
        <f t="shared" si="10"/>
        <v>991.24717314282964</v>
      </c>
      <c r="S60" s="270"/>
      <c r="T60" s="270"/>
      <c r="U60" s="270"/>
    </row>
    <row r="61" spans="1:21" ht="20.10000000000000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172">
        <v>300</v>
      </c>
      <c r="L61" s="107">
        <f t="shared" si="11"/>
        <v>126.07647740640111</v>
      </c>
      <c r="M61" s="107">
        <f t="shared" si="12"/>
        <v>22.794820537736491</v>
      </c>
      <c r="N61" s="179">
        <f t="shared" si="8"/>
        <v>2633.7376130197194</v>
      </c>
      <c r="O61" s="172">
        <v>300</v>
      </c>
      <c r="P61" s="107">
        <f t="shared" si="13"/>
        <v>66.401928746273526</v>
      </c>
      <c r="Q61" s="107">
        <f t="shared" si="9"/>
        <v>12.480616847970783</v>
      </c>
      <c r="R61" s="173">
        <f t="shared" si="10"/>
        <v>1387.136291509654</v>
      </c>
      <c r="S61" s="270"/>
      <c r="T61" s="270"/>
      <c r="U61" s="270"/>
    </row>
    <row r="62" spans="1:21" ht="20.100000000000001" customHeight="1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174">
        <v>400</v>
      </c>
      <c r="L62" s="175">
        <f t="shared" si="11"/>
        <v>162.44700136829277</v>
      </c>
      <c r="M62" s="175">
        <f t="shared" si="12"/>
        <v>22.102931956654061</v>
      </c>
      <c r="N62" s="180">
        <f t="shared" si="8"/>
        <v>3393.5178585836361</v>
      </c>
      <c r="O62" s="172">
        <v>400</v>
      </c>
      <c r="P62" s="107">
        <f t="shared" si="13"/>
        <v>84.280046395030993</v>
      </c>
      <c r="Q62" s="107">
        <f t="shared" si="9"/>
        <v>11.898193101846886</v>
      </c>
      <c r="R62" s="173">
        <f t="shared" si="10"/>
        <v>1760.6101691921974</v>
      </c>
      <c r="S62" s="147"/>
      <c r="T62" s="147"/>
      <c r="U62" s="2"/>
    </row>
    <row r="63" spans="1:21" ht="21" customHeight="1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74">
        <v>700</v>
      </c>
      <c r="P63" s="175">
        <f t="shared" si="13"/>
        <v>134.01230481030944</v>
      </c>
      <c r="Q63" s="175">
        <f t="shared" si="9"/>
        <v>10.837917145802356</v>
      </c>
      <c r="R63" s="176">
        <f t="shared" si="10"/>
        <v>2799.5170474873644</v>
      </c>
      <c r="S63" s="147"/>
      <c r="T63" s="147"/>
      <c r="U63" s="2"/>
    </row>
    <row r="64" spans="1:21" ht="20.100000000000001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47"/>
      <c r="M64" s="147"/>
      <c r="N64" s="147"/>
      <c r="O64" s="147"/>
      <c r="P64" s="147"/>
      <c r="Q64" s="147"/>
      <c r="R64" s="147"/>
      <c r="S64" s="147"/>
      <c r="T64" s="147"/>
      <c r="U64" s="2"/>
    </row>
    <row r="65" spans="1:21" ht="22.5" customHeight="1" x14ac:dyDescent="0.25">
      <c r="A65" s="2"/>
      <c r="B65" s="2"/>
      <c r="C65" s="2"/>
      <c r="D65" s="108"/>
      <c r="E65" s="108"/>
      <c r="F65" s="273" t="s">
        <v>39</v>
      </c>
      <c r="G65" s="274"/>
      <c r="H65" s="2"/>
      <c r="I65" s="109"/>
      <c r="J65" s="2"/>
      <c r="K65" s="2"/>
      <c r="L65" s="147"/>
      <c r="M65" s="147"/>
      <c r="N65" s="147"/>
      <c r="O65" s="147"/>
      <c r="P65" s="147"/>
      <c r="Q65" s="147"/>
      <c r="R65" s="147"/>
      <c r="S65" s="147"/>
      <c r="T65" s="147"/>
      <c r="U65" s="2"/>
    </row>
    <row r="66" spans="1:21" ht="21.95" customHeight="1" x14ac:dyDescent="0.25">
      <c r="A66" s="2"/>
      <c r="B66" s="2"/>
      <c r="C66" s="2"/>
      <c r="D66" s="275" t="s">
        <v>40</v>
      </c>
      <c r="E66" s="276"/>
      <c r="F66" s="110" t="s">
        <v>41</v>
      </c>
      <c r="G66" s="111" t="s">
        <v>42</v>
      </c>
      <c r="H66" s="2"/>
      <c r="I66" s="112"/>
      <c r="J66" s="2"/>
      <c r="K66" s="2"/>
      <c r="L66" s="147"/>
      <c r="M66" s="147"/>
      <c r="N66" s="147"/>
      <c r="O66" s="147"/>
      <c r="P66" s="147"/>
      <c r="Q66" s="147"/>
      <c r="R66" s="147"/>
      <c r="S66" s="147"/>
      <c r="T66" s="2"/>
      <c r="U66" s="2"/>
    </row>
    <row r="67" spans="1:21" ht="23.1" customHeight="1" x14ac:dyDescent="0.25">
      <c r="A67" s="2"/>
      <c r="B67" s="2"/>
      <c r="C67" s="2"/>
      <c r="D67" s="275" t="s">
        <v>43</v>
      </c>
      <c r="E67" s="276"/>
      <c r="F67" s="113">
        <v>25</v>
      </c>
      <c r="G67" s="114">
        <v>75</v>
      </c>
      <c r="H67" s="2"/>
      <c r="I67" s="115"/>
      <c r="J67" s="2"/>
      <c r="K67" s="2"/>
      <c r="L67" s="147"/>
      <c r="M67" s="147"/>
      <c r="N67" s="147"/>
      <c r="O67" s="147"/>
      <c r="P67" s="147"/>
      <c r="Q67" s="147"/>
      <c r="R67" s="147"/>
      <c r="S67" s="147"/>
      <c r="T67" s="2"/>
      <c r="U67" s="2"/>
    </row>
    <row r="68" spans="1:21" ht="21.95" customHeight="1" x14ac:dyDescent="0.45">
      <c r="A68" s="2"/>
      <c r="B68" s="2"/>
      <c r="C68" s="2"/>
      <c r="D68" s="275" t="s">
        <v>44</v>
      </c>
      <c r="E68" s="276"/>
      <c r="F68" s="113">
        <v>35</v>
      </c>
      <c r="G68" s="114">
        <v>125</v>
      </c>
      <c r="H68" s="2"/>
      <c r="I68" s="277" t="s">
        <v>46</v>
      </c>
      <c r="J68" s="278"/>
      <c r="K68" s="278"/>
      <c r="L68" s="149"/>
      <c r="M68" s="147"/>
      <c r="N68" s="147"/>
      <c r="O68" s="147"/>
      <c r="P68" s="147"/>
      <c r="Q68" s="147"/>
      <c r="R68" s="147"/>
      <c r="S68" s="147"/>
      <c r="T68" s="2"/>
      <c r="U68" s="2"/>
    </row>
    <row r="69" spans="1:21" ht="21.95" customHeight="1" x14ac:dyDescent="0.25">
      <c r="A69" s="2"/>
      <c r="B69" s="2"/>
      <c r="C69" s="2"/>
      <c r="D69" s="275" t="s">
        <v>45</v>
      </c>
      <c r="E69" s="276"/>
      <c r="F69" s="113">
        <v>45</v>
      </c>
      <c r="G69" s="114">
        <v>300</v>
      </c>
      <c r="H69" s="2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2"/>
      <c r="U69" s="2"/>
    </row>
    <row r="70" spans="1:21" hidden="1" x14ac:dyDescent="0.25"/>
    <row r="71" spans="1:21" ht="18.75" hidden="1" x14ac:dyDescent="0.3">
      <c r="B71" s="259" t="s">
        <v>47</v>
      </c>
      <c r="C71" s="260"/>
      <c r="D71" s="260"/>
      <c r="E71" s="260"/>
      <c r="F71" s="260"/>
      <c r="G71" s="260"/>
      <c r="H71" s="261"/>
    </row>
    <row r="72" spans="1:21" hidden="1" x14ac:dyDescent="0.25">
      <c r="B72" s="7" t="s">
        <v>33</v>
      </c>
      <c r="C72" s="7">
        <f>IF(AND(B5&gt;=30,B5&lt;=80),-0.0014*(B5)+0.6656,0)</f>
        <v>0.57599999999999996</v>
      </c>
      <c r="D72" s="7">
        <f>IF(AND(B5&gt;=30,B5&lt;=130),-0.0015*B5+0.6149,0)</f>
        <v>0.51890000000000003</v>
      </c>
      <c r="F72" s="7">
        <f>IF(AND(B5&gt;=30,B5&lt;=300),-0.0016*B5+0.5546,0)</f>
        <v>0.45219999999999999</v>
      </c>
    </row>
    <row r="73" spans="1:21" hidden="1" x14ac:dyDescent="0.25">
      <c r="B73" s="7" t="s">
        <v>34</v>
      </c>
      <c r="C73" s="7">
        <v>0.96</v>
      </c>
      <c r="D73" s="7">
        <v>0.90500000000000003</v>
      </c>
      <c r="F73" s="7">
        <v>0.85199999999999998</v>
      </c>
    </row>
    <row r="74" spans="1:21" hidden="1" x14ac:dyDescent="0.25"/>
    <row r="75" spans="1:21" hidden="1" x14ac:dyDescent="0.25">
      <c r="B75" s="116" t="s">
        <v>5</v>
      </c>
      <c r="C75" s="116" t="s">
        <v>48</v>
      </c>
      <c r="D75" s="116" t="s">
        <v>49</v>
      </c>
      <c r="E75" s="116"/>
      <c r="F75" s="116" t="s">
        <v>50</v>
      </c>
    </row>
    <row r="76" spans="1:21" hidden="1" x14ac:dyDescent="0.25">
      <c r="B76" s="117">
        <v>40</v>
      </c>
      <c r="C76" s="118">
        <v>0.61209999999999998</v>
      </c>
      <c r="D76" s="118">
        <v>0.56240000000000001</v>
      </c>
      <c r="F76" s="118">
        <v>0.49959999999999999</v>
      </c>
    </row>
    <row r="77" spans="1:21" hidden="1" x14ac:dyDescent="0.25">
      <c r="B77" s="117">
        <v>50</v>
      </c>
      <c r="C77" s="118">
        <v>0.59660000000000002</v>
      </c>
      <c r="D77" s="118">
        <v>0.5413</v>
      </c>
      <c r="F77" s="118">
        <v>0.4773</v>
      </c>
    </row>
    <row r="78" spans="1:21" hidden="1" x14ac:dyDescent="0.25">
      <c r="B78" s="117">
        <v>60</v>
      </c>
      <c r="C78" s="118">
        <v>0.58169999999999999</v>
      </c>
      <c r="D78" s="118">
        <v>0.52239999999999998</v>
      </c>
      <c r="F78" s="118">
        <v>0.45729999999999998</v>
      </c>
    </row>
    <row r="79" spans="1:21" hidden="1" x14ac:dyDescent="0.25">
      <c r="B79" s="117">
        <v>70</v>
      </c>
      <c r="C79" s="118">
        <v>0.56940000000000002</v>
      </c>
      <c r="D79" s="118">
        <v>0.50360000000000005</v>
      </c>
      <c r="F79" s="118">
        <v>0.43890000000000001</v>
      </c>
    </row>
    <row r="80" spans="1:21" hidden="1" x14ac:dyDescent="0.25">
      <c r="B80" s="117">
        <v>75</v>
      </c>
      <c r="C80" s="118">
        <v>0.5645</v>
      </c>
      <c r="D80" s="118">
        <v>0.49509999999999998</v>
      </c>
      <c r="F80" s="118">
        <v>0.43020000000000003</v>
      </c>
    </row>
    <row r="81" spans="2:13" hidden="1" x14ac:dyDescent="0.25">
      <c r="B81" s="117">
        <v>80</v>
      </c>
      <c r="D81" s="118">
        <v>0.48720000000000002</v>
      </c>
      <c r="F81" s="118">
        <v>0.4219</v>
      </c>
    </row>
    <row r="82" spans="2:13" hidden="1" x14ac:dyDescent="0.25">
      <c r="B82" s="117">
        <v>90</v>
      </c>
      <c r="D82" s="118">
        <v>0.47220000000000001</v>
      </c>
      <c r="F82" s="118">
        <v>0.40539999999999998</v>
      </c>
    </row>
    <row r="83" spans="2:13" hidden="1" x14ac:dyDescent="0.25">
      <c r="B83" s="117">
        <v>100</v>
      </c>
      <c r="D83" s="118">
        <v>0.45810000000000001</v>
      </c>
      <c r="F83" s="118">
        <v>0.3906</v>
      </c>
    </row>
    <row r="84" spans="2:13" hidden="1" x14ac:dyDescent="0.25">
      <c r="B84" s="117">
        <v>110</v>
      </c>
      <c r="D84" s="118">
        <v>0.4451</v>
      </c>
      <c r="F84" s="118">
        <v>0.37819999999999998</v>
      </c>
    </row>
    <row r="85" spans="2:13" hidden="1" x14ac:dyDescent="0.25">
      <c r="B85" s="117">
        <v>120</v>
      </c>
      <c r="D85" s="118">
        <v>0.43340000000000001</v>
      </c>
      <c r="F85" s="118">
        <v>0.36559999999999998</v>
      </c>
    </row>
    <row r="86" spans="2:13" hidden="1" x14ac:dyDescent="0.25">
      <c r="B86" s="117">
        <v>130</v>
      </c>
      <c r="D86" s="118">
        <v>0.42370000000000002</v>
      </c>
      <c r="F86" s="118">
        <v>0.35370000000000001</v>
      </c>
    </row>
    <row r="87" spans="2:13" hidden="1" x14ac:dyDescent="0.25"/>
    <row r="88" spans="2:13" hidden="1" x14ac:dyDescent="0.25"/>
    <row r="89" spans="2:13" hidden="1" x14ac:dyDescent="0.25">
      <c r="B89" s="119" t="s">
        <v>33</v>
      </c>
      <c r="C89" s="119">
        <f>IF(C5&lt;=20,C72,IF(AND(C5&gt;20,C5&lt;=45),D72,F72))</f>
        <v>0.45219999999999999</v>
      </c>
      <c r="D89" s="120" t="s">
        <v>51</v>
      </c>
      <c r="E89" s="121">
        <v>101.325</v>
      </c>
      <c r="F89" s="120" t="s">
        <v>52</v>
      </c>
    </row>
    <row r="90" spans="2:13" hidden="1" x14ac:dyDescent="0.25">
      <c r="B90" s="122" t="s">
        <v>34</v>
      </c>
      <c r="C90" s="122">
        <f>IF(C5&lt;=20,C73,IF(AND(C5&gt;20,C5&lt;=45),D73,F73))</f>
        <v>0.85199999999999998</v>
      </c>
      <c r="E90" s="7">
        <v>2115.6999999999998</v>
      </c>
      <c r="F90" s="7" t="s">
        <v>53</v>
      </c>
    </row>
    <row r="91" spans="2:13" hidden="1" x14ac:dyDescent="0.25"/>
    <row r="92" spans="2:13" ht="18.75" hidden="1" x14ac:dyDescent="0.3">
      <c r="B92" s="259" t="s">
        <v>54</v>
      </c>
      <c r="C92" s="260"/>
      <c r="D92" s="260"/>
      <c r="E92" s="260"/>
      <c r="F92" s="260"/>
      <c r="G92" s="260"/>
      <c r="H92" s="261"/>
    </row>
    <row r="93" spans="2:13" hidden="1" x14ac:dyDescent="0.25">
      <c r="B93" s="123" t="s">
        <v>55</v>
      </c>
      <c r="C93" s="124" t="s">
        <v>56</v>
      </c>
      <c r="D93" s="124" t="s">
        <v>57</v>
      </c>
    </row>
    <row r="94" spans="2:13" hidden="1" x14ac:dyDescent="0.25">
      <c r="B94" s="125">
        <v>0</v>
      </c>
      <c r="C94" s="126">
        <f t="shared" ref="C94:C104" si="14">$C$89*$E$89*(B94/$E$89)^$C$90</f>
        <v>0</v>
      </c>
      <c r="D94" s="7">
        <f t="shared" ref="D94:D104" si="15">C94*20.885434273</f>
        <v>0</v>
      </c>
    </row>
    <row r="95" spans="2:13" hidden="1" x14ac:dyDescent="0.25">
      <c r="B95" s="125">
        <v>15</v>
      </c>
      <c r="C95" s="126">
        <f t="shared" si="14"/>
        <v>8.9992510907314074</v>
      </c>
      <c r="D95" s="7">
        <f t="shared" si="15"/>
        <v>187.95326716169438</v>
      </c>
    </row>
    <row r="96" spans="2:13" hidden="1" x14ac:dyDescent="0.25">
      <c r="B96" s="125">
        <v>25</v>
      </c>
      <c r="C96" s="126">
        <f t="shared" si="14"/>
        <v>13.906617321966744</v>
      </c>
      <c r="D96" s="7">
        <f t="shared" si="15"/>
        <v>290.44574203769974</v>
      </c>
      <c r="M96" s="91">
        <f>0.5*(0.0023+0.004)</f>
        <v>3.15E-3</v>
      </c>
    </row>
    <row r="97" spans="2:10" hidden="1" x14ac:dyDescent="0.25">
      <c r="B97" s="125">
        <v>75</v>
      </c>
      <c r="C97" s="126">
        <f t="shared" si="14"/>
        <v>35.459190190813885</v>
      </c>
      <c r="D97" s="7">
        <f t="shared" si="15"/>
        <v>740.58058610404976</v>
      </c>
    </row>
    <row r="98" spans="2:10" hidden="1" x14ac:dyDescent="0.25">
      <c r="B98" s="125">
        <v>150</v>
      </c>
      <c r="C98" s="126">
        <f t="shared" si="14"/>
        <v>64.003889884876386</v>
      </c>
      <c r="D98" s="7">
        <f t="shared" si="15"/>
        <v>1336.7490354069155</v>
      </c>
    </row>
    <row r="99" spans="2:10" hidden="1" x14ac:dyDescent="0.25">
      <c r="B99" s="125">
        <v>200</v>
      </c>
      <c r="C99" s="126">
        <f t="shared" si="14"/>
        <v>81.78133071505593</v>
      </c>
      <c r="D99" s="7">
        <f t="shared" si="15"/>
        <v>1708.0386074077769</v>
      </c>
    </row>
    <row r="100" spans="2:10" hidden="1" x14ac:dyDescent="0.25">
      <c r="B100" s="125">
        <v>300</v>
      </c>
      <c r="C100" s="126">
        <f t="shared" si="14"/>
        <v>115.52711436305239</v>
      </c>
      <c r="D100" s="7">
        <f t="shared" si="15"/>
        <v>2412.8339537788852</v>
      </c>
    </row>
    <row r="101" spans="2:10" hidden="1" x14ac:dyDescent="0.25">
      <c r="B101" s="125">
        <v>400</v>
      </c>
      <c r="C101" s="126">
        <f t="shared" si="14"/>
        <v>147.61542092636711</v>
      </c>
      <c r="D101" s="7">
        <f t="shared" si="15"/>
        <v>3083.0121714388692</v>
      </c>
    </row>
    <row r="102" spans="2:10" hidden="1" x14ac:dyDescent="0.25">
      <c r="B102" s="125">
        <v>500</v>
      </c>
      <c r="C102" s="126">
        <f t="shared" si="14"/>
        <v>178.52500764343969</v>
      </c>
      <c r="D102" s="7">
        <f t="shared" si="15"/>
        <v>3728.5723132238827</v>
      </c>
    </row>
    <row r="103" spans="2:10" hidden="1" x14ac:dyDescent="0.25">
      <c r="B103" s="125">
        <v>600</v>
      </c>
      <c r="C103" s="126">
        <f t="shared" si="14"/>
        <v>208.52660950858024</v>
      </c>
      <c r="D103" s="7">
        <f t="shared" si="15"/>
        <v>4355.1687970629901</v>
      </c>
    </row>
    <row r="104" spans="2:10" hidden="1" x14ac:dyDescent="0.25">
      <c r="B104" s="125">
        <v>700</v>
      </c>
      <c r="C104" s="126">
        <f t="shared" si="14"/>
        <v>237.79359175543735</v>
      </c>
      <c r="D104" s="7">
        <f t="shared" si="15"/>
        <v>4966.4224311487815</v>
      </c>
    </row>
    <row r="105" spans="2:10" hidden="1" x14ac:dyDescent="0.25"/>
    <row r="106" spans="2:10" ht="15.6" hidden="1" customHeight="1" x14ac:dyDescent="0.25">
      <c r="B106" s="91"/>
      <c r="J106" s="91"/>
    </row>
    <row r="107" spans="2:10" hidden="1" x14ac:dyDescent="0.25">
      <c r="B107" s="91"/>
      <c r="J107" s="91"/>
    </row>
    <row r="108" spans="2:10" hidden="1" x14ac:dyDescent="0.25">
      <c r="B108" s="91"/>
      <c r="J108" s="91"/>
    </row>
    <row r="109" spans="2:10" ht="18.75" hidden="1" x14ac:dyDescent="0.3">
      <c r="B109" s="259" t="s">
        <v>58</v>
      </c>
      <c r="C109" s="260"/>
      <c r="D109" s="260"/>
      <c r="E109" s="260"/>
      <c r="F109" s="260"/>
      <c r="G109" s="260"/>
      <c r="H109" s="261"/>
      <c r="J109" s="91"/>
    </row>
    <row r="110" spans="2:10" hidden="1" x14ac:dyDescent="0.25">
      <c r="B110" s="119" t="s">
        <v>33</v>
      </c>
      <c r="C110" s="7">
        <f>IF(AND(B5&gt;=30,B5&lt;=80),3*10^-5*(B5)^2-0.008*B5+0.8047,0)</f>
        <v>0.41557999999999995</v>
      </c>
      <c r="D110" s="7">
        <f>IF(AND(B5&gt;=30,B5&lt;=130),3*10^-5*(B5)^2-0.0076*B5+0.7448,0)</f>
        <v>0.38128000000000006</v>
      </c>
      <c r="G110" s="7">
        <f>IF(AND(B5&gt;=30,B5&lt;=300),3*10^-5*(B5)^2-0.0077*B5+0.6352,0)</f>
        <v>0.26527999999999996</v>
      </c>
      <c r="J110" s="91"/>
    </row>
    <row r="111" spans="2:10" hidden="1" x14ac:dyDescent="0.25">
      <c r="B111" s="127" t="s">
        <v>34</v>
      </c>
      <c r="C111" s="7">
        <f>IF(AND(B5&gt;=30,B5&lt;=80),2*10^-5*(B5)^2-0.0023*B5+1.0261,0)</f>
        <v>0.96082000000000001</v>
      </c>
      <c r="D111" s="7">
        <f>IF(AND(B5&gt;=30,B5&lt;=130),2*10^-5*(B5)^2-0.005*B5+0.997,0)</f>
        <v>0.75892000000000004</v>
      </c>
      <c r="G111" s="7">
        <f>IF(AND(B5&gt;=30,B5&lt;300),3*10^-5*(B5)^2-0.0059*B5+1.0792,0)</f>
        <v>0.82447999999999999</v>
      </c>
      <c r="J111" s="91"/>
    </row>
    <row r="112" spans="2:10" hidden="1" x14ac:dyDescent="0.25">
      <c r="B112" s="91"/>
      <c r="J112" s="91"/>
    </row>
    <row r="113" spans="2:10" hidden="1" x14ac:dyDescent="0.25">
      <c r="B113" s="91"/>
      <c r="J113" s="91"/>
    </row>
    <row r="114" spans="2:10" hidden="1" x14ac:dyDescent="0.25">
      <c r="B114" s="271" t="s">
        <v>59</v>
      </c>
      <c r="C114" s="272"/>
      <c r="D114" s="272" t="s">
        <v>60</v>
      </c>
      <c r="E114" s="272"/>
      <c r="F114" s="128"/>
      <c r="G114" s="272" t="s">
        <v>61</v>
      </c>
      <c r="H114" s="272"/>
      <c r="J114" s="91"/>
    </row>
    <row r="115" spans="2:10" hidden="1" x14ac:dyDescent="0.25">
      <c r="B115" s="129" t="s">
        <v>33</v>
      </c>
      <c r="C115" s="130" t="s">
        <v>34</v>
      </c>
      <c r="D115" s="130" t="s">
        <v>33</v>
      </c>
      <c r="E115" s="130" t="s">
        <v>34</v>
      </c>
      <c r="F115" s="130"/>
      <c r="G115" s="130" t="s">
        <v>33</v>
      </c>
      <c r="H115" s="130" t="s">
        <v>34</v>
      </c>
      <c r="J115" s="91"/>
    </row>
    <row r="116" spans="2:10" hidden="1" x14ac:dyDescent="0.25">
      <c r="B116" s="7">
        <v>0.54369999999999996</v>
      </c>
      <c r="C116" s="91">
        <v>0.95940000000000003</v>
      </c>
      <c r="D116" s="7">
        <v>0.4657</v>
      </c>
      <c r="E116" s="91">
        <v>0.87060000000000004</v>
      </c>
      <c r="F116" s="131"/>
      <c r="G116" s="7">
        <v>0.37519999999999998</v>
      </c>
      <c r="H116" s="91">
        <v>0.87890000000000001</v>
      </c>
      <c r="J116" s="91"/>
    </row>
    <row r="117" spans="2:10" hidden="1" x14ac:dyDescent="0.25">
      <c r="B117" s="7">
        <v>0.49070000000000003</v>
      </c>
      <c r="C117" s="91">
        <v>0.95189999999999997</v>
      </c>
      <c r="D117" s="7">
        <v>0.4199</v>
      </c>
      <c r="E117" s="91">
        <v>0.85899999999999999</v>
      </c>
      <c r="F117" s="131"/>
      <c r="G117" s="7">
        <v>0.32700000000000001</v>
      </c>
      <c r="H117" s="91">
        <v>0.8609</v>
      </c>
      <c r="J117" s="91"/>
    </row>
    <row r="118" spans="2:10" hidden="1" x14ac:dyDescent="0.25">
      <c r="B118" s="7">
        <v>0.44409999999999999</v>
      </c>
      <c r="C118" s="91">
        <v>0.94640000000000002</v>
      </c>
      <c r="D118" s="7">
        <v>0.374</v>
      </c>
      <c r="E118" s="91">
        <v>0.84770000000000001</v>
      </c>
      <c r="F118" s="131"/>
      <c r="G118" s="7">
        <v>0.28349999999999997</v>
      </c>
      <c r="H118" s="91">
        <v>0.84040000000000004</v>
      </c>
      <c r="J118" s="91"/>
    </row>
    <row r="119" spans="2:10" hidden="1" x14ac:dyDescent="0.25">
      <c r="B119" s="7">
        <v>0.40229999999999999</v>
      </c>
      <c r="C119" s="91">
        <v>0.9446</v>
      </c>
      <c r="D119" s="7">
        <v>0.32829999999999998</v>
      </c>
      <c r="E119" s="91">
        <v>0.83950000000000002</v>
      </c>
      <c r="F119" s="131"/>
      <c r="G119" s="7">
        <v>0.2455</v>
      </c>
      <c r="H119" s="91">
        <v>0.81669999999999998</v>
      </c>
      <c r="J119" s="91"/>
    </row>
    <row r="120" spans="2:10" hidden="1" x14ac:dyDescent="0.25">
      <c r="B120" s="7">
        <v>0.38250000000000001</v>
      </c>
      <c r="C120" s="91">
        <v>0.94599999999999995</v>
      </c>
      <c r="D120" s="7">
        <v>0.30620000000000003</v>
      </c>
      <c r="E120" s="91">
        <v>0.83730000000000004</v>
      </c>
      <c r="F120" s="131"/>
      <c r="G120" s="7">
        <v>0.22819999999999999</v>
      </c>
      <c r="H120" s="91">
        <v>0.80569999999999997</v>
      </c>
      <c r="J120" s="91"/>
    </row>
    <row r="121" spans="2:10" hidden="1" x14ac:dyDescent="0.25">
      <c r="B121" s="132" t="s">
        <v>62</v>
      </c>
      <c r="C121" s="132" t="s">
        <v>62</v>
      </c>
      <c r="D121" s="7">
        <v>0.28549999999999998</v>
      </c>
      <c r="E121" s="91">
        <v>0.83499999999999996</v>
      </c>
      <c r="F121" s="131"/>
      <c r="G121" s="7">
        <v>0.2132</v>
      </c>
      <c r="H121" s="91">
        <v>0.79210000000000003</v>
      </c>
      <c r="J121" s="91"/>
    </row>
    <row r="122" spans="2:10" hidden="1" x14ac:dyDescent="0.25">
      <c r="B122" s="132" t="s">
        <v>62</v>
      </c>
      <c r="C122" s="132" t="s">
        <v>62</v>
      </c>
      <c r="D122" s="7">
        <v>0.24779999999999999</v>
      </c>
      <c r="E122" s="91">
        <v>0.83189999999999997</v>
      </c>
      <c r="F122" s="131"/>
      <c r="G122" s="7">
        <v>0.18659999999999999</v>
      </c>
      <c r="H122" s="91">
        <v>0.77249999999999996</v>
      </c>
      <c r="J122" s="91"/>
    </row>
    <row r="123" spans="2:10" hidden="1" x14ac:dyDescent="0.25">
      <c r="B123" s="132" t="s">
        <v>62</v>
      </c>
      <c r="C123" s="132" t="s">
        <v>62</v>
      </c>
      <c r="D123" s="7">
        <v>0.2155</v>
      </c>
      <c r="E123" s="91">
        <v>0.83760000000000001</v>
      </c>
      <c r="F123" s="131"/>
      <c r="G123" s="7">
        <v>0.16619999999999999</v>
      </c>
      <c r="H123" s="91">
        <v>0.76500000000000001</v>
      </c>
      <c r="J123" s="91"/>
    </row>
    <row r="124" spans="2:10" hidden="1" x14ac:dyDescent="0.25">
      <c r="B124" s="132" t="s">
        <v>62</v>
      </c>
      <c r="C124" s="132" t="s">
        <v>62</v>
      </c>
      <c r="D124" s="7">
        <v>0.1913</v>
      </c>
      <c r="E124" s="91">
        <v>0.84970000000000001</v>
      </c>
      <c r="F124" s="131"/>
      <c r="G124" s="7">
        <v>0.15390000000000001</v>
      </c>
      <c r="H124" s="91">
        <v>0.77300000000000002</v>
      </c>
      <c r="J124" s="91"/>
    </row>
    <row r="125" spans="2:10" hidden="1" x14ac:dyDescent="0.25">
      <c r="B125" s="132" t="s">
        <v>62</v>
      </c>
      <c r="C125" s="132" t="s">
        <v>62</v>
      </c>
      <c r="D125" s="7">
        <v>0.1769</v>
      </c>
      <c r="E125" s="91">
        <v>0.87019999999999997</v>
      </c>
      <c r="F125" s="131"/>
      <c r="G125" s="7">
        <v>0.14699999999999999</v>
      </c>
      <c r="H125" s="91">
        <v>0.79559999999999997</v>
      </c>
      <c r="J125" s="91"/>
    </row>
    <row r="126" spans="2:10" hidden="1" x14ac:dyDescent="0.25">
      <c r="B126" s="133" t="s">
        <v>62</v>
      </c>
      <c r="C126" s="133" t="s">
        <v>62</v>
      </c>
      <c r="D126" s="7">
        <v>0.1734</v>
      </c>
      <c r="E126" s="91">
        <v>0.89670000000000005</v>
      </c>
      <c r="F126" s="130"/>
      <c r="G126" s="7">
        <v>0.14399999999999999</v>
      </c>
      <c r="H126" s="91">
        <v>0.80059999999999998</v>
      </c>
      <c r="J126" s="91"/>
    </row>
    <row r="127" spans="2:10" hidden="1" x14ac:dyDescent="0.25">
      <c r="B127" s="91"/>
      <c r="J127" s="91"/>
    </row>
    <row r="128" spans="2:10" hidden="1" x14ac:dyDescent="0.25">
      <c r="B128" s="91">
        <f>AVERAGE(B116:B126)</f>
        <v>0.45265999999999995</v>
      </c>
      <c r="C128" s="91">
        <f t="shared" ref="C128:H128" si="16">AVERAGE(C116:C126)</f>
        <v>0.94965999999999995</v>
      </c>
      <c r="D128" s="91">
        <f t="shared" si="16"/>
        <v>0.28949999999999992</v>
      </c>
      <c r="E128" s="91">
        <f t="shared" si="16"/>
        <v>0.8522909090909091</v>
      </c>
      <c r="F128" s="91"/>
      <c r="G128" s="91">
        <f t="shared" si="16"/>
        <v>0.22457272727272726</v>
      </c>
      <c r="H128" s="91">
        <f t="shared" si="16"/>
        <v>0.80921818181818173</v>
      </c>
      <c r="J128" s="91"/>
    </row>
    <row r="129" spans="2:10" hidden="1" x14ac:dyDescent="0.25">
      <c r="B129" s="91"/>
      <c r="J129" s="91"/>
    </row>
    <row r="130" spans="2:10" hidden="1" x14ac:dyDescent="0.25">
      <c r="B130" s="91"/>
      <c r="J130" s="91"/>
    </row>
    <row r="131" spans="2:10" hidden="1" x14ac:dyDescent="0.25">
      <c r="B131" s="91"/>
      <c r="D131" s="7">
        <f>AVERAGE(D124:D126)</f>
        <v>0.18053333333333332</v>
      </c>
      <c r="G131" s="7">
        <f>AVERAGE(G124:G126)</f>
        <v>0.14829999999999999</v>
      </c>
      <c r="J131" s="91"/>
    </row>
    <row r="132" spans="2:10" hidden="1" x14ac:dyDescent="0.25">
      <c r="J132" s="91"/>
    </row>
    <row r="133" spans="2:10" hidden="1" x14ac:dyDescent="0.25">
      <c r="J133" s="91"/>
    </row>
    <row r="134" spans="2:10" hidden="1" x14ac:dyDescent="0.25">
      <c r="J134" s="91"/>
    </row>
    <row r="135" spans="2:10" hidden="1" x14ac:dyDescent="0.25">
      <c r="J135" s="91"/>
    </row>
    <row r="136" spans="2:10" hidden="1" x14ac:dyDescent="0.25">
      <c r="J136" s="91"/>
    </row>
    <row r="137" spans="2:10" hidden="1" x14ac:dyDescent="0.25">
      <c r="J137" s="91"/>
    </row>
    <row r="138" spans="2:10" hidden="1" x14ac:dyDescent="0.25">
      <c r="J138" s="91"/>
    </row>
    <row r="139" spans="2:10" hidden="1" x14ac:dyDescent="0.25">
      <c r="J139" s="91"/>
    </row>
    <row r="140" spans="2:10" hidden="1" x14ac:dyDescent="0.25">
      <c r="J140" s="91"/>
    </row>
    <row r="141" spans="2:10" hidden="1" x14ac:dyDescent="0.25"/>
    <row r="142" spans="2:10" hidden="1" x14ac:dyDescent="0.25">
      <c r="B142" s="119" t="s">
        <v>33</v>
      </c>
      <c r="C142" s="119">
        <f>IF(C5&lt;=20,C110,IF(AND(C5&gt;20,C5&lt;=45),D110,G110))</f>
        <v>0.26527999999999996</v>
      </c>
      <c r="D142" s="120" t="s">
        <v>51</v>
      </c>
      <c r="E142" s="121">
        <v>101.325</v>
      </c>
      <c r="F142" s="120" t="s">
        <v>52</v>
      </c>
    </row>
    <row r="143" spans="2:10" hidden="1" x14ac:dyDescent="0.25">
      <c r="B143" s="122" t="s">
        <v>34</v>
      </c>
      <c r="C143" s="122">
        <f>IF(C5&lt;=20,C111,IF(AND(C5&gt;20,C5&lt;=45),D111,G111))</f>
        <v>0.82447999999999999</v>
      </c>
      <c r="E143" s="7">
        <v>2116.8000000000002</v>
      </c>
      <c r="F143" s="7" t="s">
        <v>53</v>
      </c>
    </row>
    <row r="144" spans="2:10" hidden="1" x14ac:dyDescent="0.25"/>
    <row r="145" spans="2:8" ht="18.75" hidden="1" x14ac:dyDescent="0.3">
      <c r="B145" s="259" t="s">
        <v>63</v>
      </c>
      <c r="C145" s="260"/>
      <c r="D145" s="260"/>
      <c r="E145" s="260"/>
      <c r="F145" s="260"/>
      <c r="G145" s="260"/>
      <c r="H145" s="261"/>
    </row>
    <row r="146" spans="2:8" hidden="1" x14ac:dyDescent="0.25">
      <c r="B146" s="123" t="s">
        <v>55</v>
      </c>
      <c r="C146" s="124" t="s">
        <v>56</v>
      </c>
      <c r="D146" s="124" t="s">
        <v>57</v>
      </c>
    </row>
    <row r="147" spans="2:8" hidden="1" x14ac:dyDescent="0.25">
      <c r="B147" s="125">
        <v>0</v>
      </c>
      <c r="C147" s="126">
        <f t="shared" ref="C147:C156" si="17">$C$142*$E$142*(B147/$E$89)^$C$143</f>
        <v>0</v>
      </c>
      <c r="D147" s="7">
        <f t="shared" ref="D147:D157" si="18">C147*20.885434273</f>
        <v>0</v>
      </c>
    </row>
    <row r="148" spans="2:8" hidden="1" x14ac:dyDescent="0.25">
      <c r="B148" s="125">
        <v>15</v>
      </c>
      <c r="C148" s="126">
        <f t="shared" si="17"/>
        <v>5.5643137469374215</v>
      </c>
      <c r="D148" s="7">
        <f t="shared" si="18"/>
        <v>116.21310903601189</v>
      </c>
    </row>
    <row r="149" spans="2:8" hidden="1" x14ac:dyDescent="0.25">
      <c r="B149" s="125">
        <v>25</v>
      </c>
      <c r="C149" s="126">
        <f t="shared" si="17"/>
        <v>8.4785476842932024</v>
      </c>
      <c r="D149" s="7">
        <f t="shared" si="18"/>
        <v>177.07815039080205</v>
      </c>
    </row>
    <row r="150" spans="2:8" hidden="1" x14ac:dyDescent="0.25">
      <c r="B150" s="125">
        <v>75</v>
      </c>
      <c r="C150" s="126">
        <f t="shared" si="17"/>
        <v>20.974827563129242</v>
      </c>
      <c r="D150" s="7">
        <f t="shared" si="18"/>
        <v>438.06838245724458</v>
      </c>
    </row>
    <row r="151" spans="2:8" hidden="1" x14ac:dyDescent="0.25">
      <c r="B151" s="125">
        <v>150</v>
      </c>
      <c r="C151" s="126">
        <f t="shared" si="17"/>
        <v>37.144251390082331</v>
      </c>
      <c r="D151" s="7">
        <f t="shared" si="18"/>
        <v>775.77382102735351</v>
      </c>
    </row>
    <row r="152" spans="2:8" hidden="1" x14ac:dyDescent="0.25">
      <c r="B152" s="125">
        <v>200</v>
      </c>
      <c r="C152" s="126">
        <f t="shared" si="17"/>
        <v>47.08700844475247</v>
      </c>
      <c r="D152" s="7">
        <f t="shared" si="18"/>
        <v>983.43261998507376</v>
      </c>
    </row>
    <row r="153" spans="2:8" hidden="1" x14ac:dyDescent="0.25">
      <c r="B153" s="125">
        <v>300</v>
      </c>
      <c r="C153" s="126">
        <f t="shared" si="17"/>
        <v>65.778629510878147</v>
      </c>
      <c r="D153" s="7">
        <f t="shared" si="18"/>
        <v>1373.8152432174638</v>
      </c>
    </row>
    <row r="154" spans="2:8" hidden="1" x14ac:dyDescent="0.25">
      <c r="B154" s="125">
        <v>400</v>
      </c>
      <c r="C154" s="126">
        <f t="shared" si="17"/>
        <v>83.386224445216854</v>
      </c>
      <c r="D154" s="7">
        <f t="shared" si="18"/>
        <v>1741.5575099242026</v>
      </c>
    </row>
    <row r="155" spans="2:8" hidden="1" x14ac:dyDescent="0.25">
      <c r="B155" s="125">
        <v>500</v>
      </c>
      <c r="C155" s="126">
        <f t="shared" si="17"/>
        <v>100.22929552137433</v>
      </c>
      <c r="D155" s="7">
        <f t="shared" si="18"/>
        <v>2093.3323638407569</v>
      </c>
    </row>
    <row r="156" spans="2:8" hidden="1" x14ac:dyDescent="0.25">
      <c r="B156" s="125">
        <v>600</v>
      </c>
      <c r="C156" s="126">
        <f t="shared" si="17"/>
        <v>116.48715315028936</v>
      </c>
      <c r="D156" s="7">
        <f t="shared" si="18"/>
        <v>2432.8847807692537</v>
      </c>
    </row>
    <row r="157" spans="2:8" hidden="1" x14ac:dyDescent="0.25">
      <c r="B157" s="125">
        <v>700</v>
      </c>
      <c r="C157" s="126">
        <f>$C$142*$E$142*(B157/$E$142)^$C$143</f>
        <v>132.2739493770361</v>
      </c>
      <c r="D157" s="7">
        <f t="shared" si="18"/>
        <v>2762.5988757442169</v>
      </c>
    </row>
    <row r="158" spans="2:8" hidden="1" x14ac:dyDescent="0.25"/>
  </sheetData>
  <sheetProtection algorithmName="SHA-512" hashValue="oVUivFehat/NFTNeG89PKDbFh+tmxyiYPR9e6dTiTRzkvGu3EmSzscG4LFWDF/5UcVqLbvIDYzZwk4xa1bLn4w==" saltValue="9JnDIVjzdKcTjwPwyTOpDw==" spinCount="100000" sheet="1" objects="1" scenarios="1" selectLockedCells="1"/>
  <mergeCells count="49">
    <mergeCell ref="S51:U61"/>
    <mergeCell ref="B145:H145"/>
    <mergeCell ref="B71:H71"/>
    <mergeCell ref="B92:H92"/>
    <mergeCell ref="B109:H109"/>
    <mergeCell ref="B114:C114"/>
    <mergeCell ref="D114:E114"/>
    <mergeCell ref="G114:H114"/>
    <mergeCell ref="F65:G65"/>
    <mergeCell ref="D66:E66"/>
    <mergeCell ref="D67:E67"/>
    <mergeCell ref="D68:E68"/>
    <mergeCell ref="D69:E69"/>
    <mergeCell ref="I68:K68"/>
    <mergeCell ref="K50:L50"/>
    <mergeCell ref="B8:H8"/>
    <mergeCell ref="K8:O8"/>
    <mergeCell ref="Q8:T8"/>
    <mergeCell ref="B9:B10"/>
    <mergeCell ref="B11:B12"/>
    <mergeCell ref="B13:B15"/>
    <mergeCell ref="B17:H17"/>
    <mergeCell ref="B18:B19"/>
    <mergeCell ref="B20:B21"/>
    <mergeCell ref="B22:B23"/>
    <mergeCell ref="K47:O47"/>
    <mergeCell ref="O50:P50"/>
    <mergeCell ref="B37:W37"/>
    <mergeCell ref="C26:E26"/>
    <mergeCell ref="G26:I26"/>
    <mergeCell ref="B3:C3"/>
    <mergeCell ref="E3:I3"/>
    <mergeCell ref="J3:O3"/>
    <mergeCell ref="P3:U3"/>
    <mergeCell ref="B2:U2"/>
    <mergeCell ref="K48:N49"/>
    <mergeCell ref="O48:R49"/>
    <mergeCell ref="B44:B45"/>
    <mergeCell ref="B39:V39"/>
    <mergeCell ref="B43:V43"/>
    <mergeCell ref="C40:F40"/>
    <mergeCell ref="G40:J40"/>
    <mergeCell ref="K40:N40"/>
    <mergeCell ref="O40:R40"/>
    <mergeCell ref="C44:F44"/>
    <mergeCell ref="G44:J44"/>
    <mergeCell ref="K44:N44"/>
    <mergeCell ref="O44:R44"/>
    <mergeCell ref="B40:B41"/>
  </mergeCells>
  <phoneticPr fontId="30" type="noConversion"/>
  <hyperlinks>
    <hyperlink ref="I68" r:id="rId1" xr:uid="{00000000-0004-0000-0000-000000000000}"/>
  </hyperlinks>
  <pageMargins left="0.7" right="0.7" top="0.75" bottom="0.75" header="0.3" footer="0.3"/>
  <pageSetup orientation="portrait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3083-70C7-4F08-A1E3-D6FB18E3C760}">
  <sheetPr codeName="Sheet3"/>
  <dimension ref="A1:T118"/>
  <sheetViews>
    <sheetView zoomScaleNormal="100" workbookViewId="0">
      <selection activeCell="B5" sqref="B5"/>
    </sheetView>
  </sheetViews>
  <sheetFormatPr defaultColWidth="8.85546875" defaultRowHeight="15" x14ac:dyDescent="0.25"/>
  <cols>
    <col min="1" max="1" width="1.85546875" style="7" customWidth="1"/>
    <col min="2" max="2" width="10.140625" style="7" customWidth="1"/>
    <col min="3" max="3" width="17.42578125" style="7" customWidth="1"/>
    <col min="4" max="4" width="12.85546875" style="7" customWidth="1"/>
    <col min="5" max="5" width="10.140625" style="7" customWidth="1"/>
    <col min="6" max="6" width="10.42578125" style="7" customWidth="1"/>
    <col min="7" max="7" width="11.42578125" style="7" customWidth="1"/>
    <col min="8" max="8" width="12.85546875" style="7" customWidth="1"/>
    <col min="9" max="9" width="9.140625" style="7" bestFit="1" customWidth="1"/>
    <col min="10" max="11" width="10" style="7" customWidth="1"/>
    <col min="12" max="12" width="12.42578125" style="7" customWidth="1"/>
    <col min="13" max="13" width="11.5703125" style="7" customWidth="1"/>
    <col min="14" max="14" width="11.28515625" style="7" customWidth="1"/>
    <col min="15" max="15" width="11.140625" style="7" customWidth="1"/>
    <col min="16" max="16" width="13.28515625" style="7" customWidth="1"/>
    <col min="17" max="17" width="10.7109375" style="7" bestFit="1" customWidth="1"/>
    <col min="18" max="18" width="14.140625" style="7" customWidth="1"/>
    <col min="19" max="19" width="13.5703125" style="7" customWidth="1"/>
    <col min="20" max="20" width="19.5703125" style="7" customWidth="1"/>
    <col min="21" max="21" width="10" style="7" bestFit="1" customWidth="1"/>
    <col min="22" max="16384" width="8.85546875" style="7"/>
  </cols>
  <sheetData>
    <row r="1" spans="1:20" ht="30" customHeight="1" x14ac:dyDescent="0.25">
      <c r="A1" s="2"/>
      <c r="B1" s="139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83"/>
      <c r="M1" s="139"/>
      <c r="N1" s="182" t="s">
        <v>96</v>
      </c>
      <c r="O1" s="140"/>
      <c r="P1" s="140"/>
      <c r="Q1" s="140"/>
      <c r="R1" s="2"/>
      <c r="S1" s="2"/>
      <c r="T1" s="2"/>
    </row>
    <row r="2" spans="1:20" ht="19.5" customHeight="1" x14ac:dyDescent="0.35">
      <c r="A2" s="2"/>
      <c r="B2" s="279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1"/>
      <c r="S2" s="281"/>
      <c r="T2" s="281"/>
    </row>
    <row r="3" spans="1:20" ht="18.75" customHeight="1" x14ac:dyDescent="0.35">
      <c r="A3" s="2"/>
      <c r="B3" s="196" t="s">
        <v>1</v>
      </c>
      <c r="C3" s="141"/>
      <c r="D3" s="238" t="s">
        <v>2</v>
      </c>
      <c r="E3" s="239"/>
      <c r="F3" s="239"/>
      <c r="G3" s="239"/>
      <c r="H3" s="240"/>
      <c r="I3" s="241" t="s">
        <v>3</v>
      </c>
      <c r="J3" s="242"/>
      <c r="K3" s="242"/>
      <c r="L3" s="242"/>
      <c r="M3" s="242"/>
      <c r="N3" s="243"/>
      <c r="O3" s="241" t="s">
        <v>4</v>
      </c>
      <c r="P3" s="242"/>
      <c r="Q3" s="242"/>
      <c r="R3" s="242"/>
      <c r="S3" s="242"/>
      <c r="T3" s="243"/>
    </row>
    <row r="4" spans="1:20" ht="17.25" customHeight="1" x14ac:dyDescent="0.25">
      <c r="A4" s="2"/>
      <c r="B4" s="142" t="s">
        <v>7</v>
      </c>
      <c r="C4" s="193" t="s">
        <v>8</v>
      </c>
      <c r="D4" s="144" t="s">
        <v>9</v>
      </c>
      <c r="E4" s="194" t="s">
        <v>10</v>
      </c>
      <c r="F4" s="144" t="s">
        <v>11</v>
      </c>
      <c r="G4" s="194" t="s">
        <v>12</v>
      </c>
      <c r="H4" s="194" t="s">
        <v>13</v>
      </c>
      <c r="I4" s="146">
        <v>0</v>
      </c>
      <c r="J4" s="146">
        <v>12</v>
      </c>
      <c r="K4" s="146">
        <v>50</v>
      </c>
      <c r="L4" s="146">
        <v>100</v>
      </c>
      <c r="M4" s="146">
        <v>400</v>
      </c>
      <c r="N4" s="146">
        <v>700</v>
      </c>
      <c r="O4" s="146">
        <v>0</v>
      </c>
      <c r="P4" s="146">
        <f>J4*20.89</f>
        <v>250.68</v>
      </c>
      <c r="Q4" s="146">
        <f t="shared" ref="Q4:T6" si="0">K4*20.89</f>
        <v>1044.5</v>
      </c>
      <c r="R4" s="146">
        <f t="shared" si="0"/>
        <v>2089</v>
      </c>
      <c r="S4" s="146">
        <f t="shared" si="0"/>
        <v>8356</v>
      </c>
      <c r="T4" s="146">
        <f t="shared" si="0"/>
        <v>14623</v>
      </c>
    </row>
    <row r="5" spans="1:20" ht="21" customHeight="1" x14ac:dyDescent="0.3">
      <c r="A5" s="2"/>
      <c r="B5" s="1">
        <v>35</v>
      </c>
      <c r="C5" s="134" t="s">
        <v>14</v>
      </c>
      <c r="D5" s="135" t="s">
        <v>15</v>
      </c>
      <c r="E5" s="148">
        <f>P18</f>
        <v>17.608681299363504</v>
      </c>
      <c r="F5" s="148">
        <f>P19</f>
        <v>16.168750172689897</v>
      </c>
      <c r="G5" s="148">
        <f>P22</f>
        <v>13.601464445292267</v>
      </c>
      <c r="H5" s="148">
        <f>P23</f>
        <v>12.675586351868583</v>
      </c>
      <c r="I5" s="137">
        <v>0</v>
      </c>
      <c r="J5" s="137" t="s">
        <v>15</v>
      </c>
      <c r="K5" s="136">
        <f>IF(E5="NA", "NA", K4*TAN(RADIANS(E5)))</f>
        <v>15.869272884644205</v>
      </c>
      <c r="L5" s="136">
        <f>IF(F5="NA", "NA", L4*TAN(RADIANS(F5)))</f>
        <v>28.993550200255449</v>
      </c>
      <c r="M5" s="136">
        <f>IF(G5="NA", "NA", M4*TAN(RADIANS(G5)))</f>
        <v>96.781006584079009</v>
      </c>
      <c r="N5" s="136">
        <f>IF(H5="NA", "NA", N4*TAN(RADIANS(H5)))</f>
        <v>157.43842600291296</v>
      </c>
      <c r="O5" s="138">
        <v>0</v>
      </c>
      <c r="P5" s="138" t="s">
        <v>15</v>
      </c>
      <c r="Q5" s="138">
        <f t="shared" si="0"/>
        <v>331.50911056021744</v>
      </c>
      <c r="R5" s="138">
        <f t="shared" si="0"/>
        <v>605.67526368333631</v>
      </c>
      <c r="S5" s="138">
        <f t="shared" si="0"/>
        <v>2021.7552275414105</v>
      </c>
      <c r="T5" s="138">
        <f t="shared" si="0"/>
        <v>3288.8887192008519</v>
      </c>
    </row>
    <row r="6" spans="1:20" ht="21" customHeight="1" x14ac:dyDescent="0.25">
      <c r="A6" s="2"/>
      <c r="B6" s="207"/>
      <c r="C6" s="4" t="s">
        <v>16</v>
      </c>
      <c r="D6" s="5">
        <f>DEGREES(ATAN(((J12*101*(12/101)^K12)/12)))</f>
        <v>31.196563915536633</v>
      </c>
      <c r="E6" s="5">
        <f>L18</f>
        <v>27.718225342003759</v>
      </c>
      <c r="F6" s="5">
        <f>L19</f>
        <v>26.124204827725634</v>
      </c>
      <c r="G6" s="5">
        <f>L22</f>
        <v>23.135088019692141</v>
      </c>
      <c r="H6" s="6" t="s">
        <v>15</v>
      </c>
      <c r="I6" s="5">
        <v>0</v>
      </c>
      <c r="J6" s="5">
        <f>IF(D6="NA", "NA", J4*TAN(RADIANS(D6)))</f>
        <v>7.2664747557255502</v>
      </c>
      <c r="K6" s="5">
        <f>IF(E6="NA", "NA", K4*TAN(RADIANS(E6)))</f>
        <v>26.270878774353214</v>
      </c>
      <c r="L6" s="5">
        <f>IF(F6="NA", "NA", L4*TAN(RADIANS(F6)))</f>
        <v>49.041889513009949</v>
      </c>
      <c r="M6" s="5">
        <f>IF(G6="NA","NA",M4*TAN(RADIANS(G6)))</f>
        <v>170.90406116338022</v>
      </c>
      <c r="N6" s="5" t="s">
        <v>15</v>
      </c>
      <c r="O6" s="5">
        <f>I6*20.89</f>
        <v>0</v>
      </c>
      <c r="P6" s="5">
        <f t="shared" ref="P6" si="1">J6*20.89</f>
        <v>151.79665764710674</v>
      </c>
      <c r="Q6" s="5">
        <f t="shared" si="0"/>
        <v>548.79865759623863</v>
      </c>
      <c r="R6" s="5">
        <f t="shared" si="0"/>
        <v>1024.4850719267779</v>
      </c>
      <c r="S6" s="5">
        <f t="shared" si="0"/>
        <v>3570.185837703013</v>
      </c>
      <c r="T6" s="5" t="s">
        <v>15</v>
      </c>
    </row>
    <row r="7" spans="1:20" ht="18" customHeight="1" thickBot="1" x14ac:dyDescent="0.3">
      <c r="A7" s="2"/>
      <c r="B7" s="2"/>
      <c r="C7" s="2"/>
      <c r="D7" s="2"/>
      <c r="E7" s="2"/>
      <c r="F7" s="2"/>
      <c r="G7" s="2"/>
      <c r="H7" s="2"/>
      <c r="I7" s="2"/>
      <c r="J7" s="263"/>
      <c r="K7" s="264"/>
      <c r="L7" s="264"/>
      <c r="M7" s="264"/>
      <c r="N7" s="264"/>
      <c r="O7" s="100"/>
      <c r="P7" s="100"/>
      <c r="Q7" s="100"/>
      <c r="R7" s="2"/>
      <c r="S7" s="2"/>
      <c r="T7" s="2"/>
    </row>
    <row r="8" spans="1:20" ht="18.9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09" t="s">
        <v>85</v>
      </c>
      <c r="K8" s="210"/>
      <c r="L8" s="210"/>
      <c r="M8" s="211"/>
      <c r="N8" s="282" t="s">
        <v>86</v>
      </c>
      <c r="O8" s="283"/>
      <c r="P8" s="283"/>
      <c r="Q8" s="284"/>
      <c r="R8" s="2"/>
      <c r="S8" s="2"/>
      <c r="T8" s="2"/>
    </row>
    <row r="9" spans="1:20" ht="18.95" customHeight="1" thickBot="1" x14ac:dyDescent="0.3">
      <c r="A9" s="2"/>
      <c r="B9" s="2"/>
      <c r="C9" s="2"/>
      <c r="D9" s="2"/>
      <c r="E9" s="2"/>
      <c r="F9" s="2"/>
      <c r="G9" s="2"/>
      <c r="H9" s="2"/>
      <c r="I9" s="2"/>
      <c r="J9" s="212"/>
      <c r="K9" s="213"/>
      <c r="L9" s="213"/>
      <c r="M9" s="214"/>
      <c r="N9" s="285"/>
      <c r="O9" s="286"/>
      <c r="P9" s="286"/>
      <c r="Q9" s="287"/>
      <c r="R9" s="2"/>
      <c r="S9" s="2"/>
      <c r="T9" s="2"/>
    </row>
    <row r="10" spans="1:20" ht="18.9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46" t="s">
        <v>32</v>
      </c>
      <c r="K10" s="247"/>
      <c r="L10" s="165"/>
      <c r="M10" s="177"/>
      <c r="N10" s="246" t="s">
        <v>32</v>
      </c>
      <c r="O10" s="247"/>
      <c r="P10" s="165"/>
      <c r="Q10" s="166"/>
      <c r="R10" s="2"/>
      <c r="S10" s="2"/>
      <c r="T10" s="2"/>
    </row>
    <row r="11" spans="1:20" ht="18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167" t="s">
        <v>33</v>
      </c>
      <c r="K11" s="101" t="s">
        <v>34</v>
      </c>
      <c r="L11" s="168"/>
      <c r="M11" s="177"/>
      <c r="N11" s="167" t="s">
        <v>33</v>
      </c>
      <c r="O11" s="101" t="s">
        <v>34</v>
      </c>
      <c r="P11" s="168"/>
      <c r="Q11" s="166"/>
      <c r="R11" s="269" t="s">
        <v>64</v>
      </c>
      <c r="S11" s="270"/>
      <c r="T11" s="270"/>
    </row>
    <row r="12" spans="1:20" ht="20.100000000000001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169">
        <f>IF(B5&lt;15,"NA",IF(B5&lt;=250,(-0.1155919163 * LN(B5) + 0.9009033321),"NA"))</f>
        <v>0.4899338365589484</v>
      </c>
      <c r="K12" s="102">
        <f>IF(B5&lt;15,"NA",IF(B5&lt;=250,(1.01942688696052 - 0.0073472240400078 *B5 + 0.000178309220623747 *B5^ 2 - 2.38795286739483E-06 *B5^ 3 + 1.68890854353566E-08 *B5^ 4 - 6.33820210851731E-11 *B5^ 5 + 1.20443010803692E-13 *B5^ 6- 9.17672439667536E-17 *B5^ 7),"NA"))</f>
        <v>0.90055010488411191</v>
      </c>
      <c r="L12" s="168"/>
      <c r="M12" s="105"/>
      <c r="N12" s="169">
        <f>IF(B5&lt;15,"NA",IF(B5&lt;=250,(2.818*((B5)^(-0.64))),"NA"))</f>
        <v>0.28955924821069001</v>
      </c>
      <c r="O12" s="102">
        <f>IF(B5&lt;15,"NA",IF(B5&lt;=250,(1.07-0.0083*B5+0.0000836*(B5)^2-0.0000003027*(B5)^3+0.000000000376*B5^4),"NA"))</f>
        <v>0.8694959725000001</v>
      </c>
      <c r="P12" s="168"/>
      <c r="Q12" s="181"/>
      <c r="R12" s="270"/>
      <c r="S12" s="270"/>
      <c r="T12" s="270"/>
    </row>
    <row r="13" spans="1:20" ht="18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170" t="s">
        <v>35</v>
      </c>
      <c r="K13" s="103" t="s">
        <v>36</v>
      </c>
      <c r="L13" s="104" t="s">
        <v>37</v>
      </c>
      <c r="M13" s="178" t="s">
        <v>84</v>
      </c>
      <c r="N13" s="170" t="s">
        <v>35</v>
      </c>
      <c r="O13" s="103" t="s">
        <v>36</v>
      </c>
      <c r="P13" s="104" t="s">
        <v>37</v>
      </c>
      <c r="Q13" s="171" t="s">
        <v>84</v>
      </c>
      <c r="R13" s="270"/>
      <c r="S13" s="270"/>
      <c r="T13" s="270"/>
    </row>
    <row r="14" spans="1:20" ht="22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172">
        <v>0</v>
      </c>
      <c r="K14" s="107">
        <v>0</v>
      </c>
      <c r="L14" s="106" t="s">
        <v>38</v>
      </c>
      <c r="M14" s="179">
        <f>K14*20.89</f>
        <v>0</v>
      </c>
      <c r="N14" s="172">
        <v>0</v>
      </c>
      <c r="O14" s="107">
        <v>0</v>
      </c>
      <c r="P14" s="106" t="s">
        <v>38</v>
      </c>
      <c r="Q14" s="173">
        <f>O14*20.89</f>
        <v>0</v>
      </c>
      <c r="R14" s="270"/>
      <c r="S14" s="270"/>
      <c r="T14" s="270"/>
    </row>
    <row r="15" spans="1:20" ht="20.100000000000001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172">
        <v>5</v>
      </c>
      <c r="K15" s="107">
        <f t="shared" ref="K15:K22" si="2">J$12*101*(J15/101)^K$12</f>
        <v>3.3031210946924165</v>
      </c>
      <c r="L15" s="107">
        <f t="shared" ref="L15:L21" si="3">DEGREES(ATAN(K15/J15))</f>
        <v>33.449717039101259</v>
      </c>
      <c r="M15" s="179">
        <f t="shared" ref="M15:M22" si="4">K15*20.89</f>
        <v>69.002199668124589</v>
      </c>
      <c r="N15" s="172">
        <v>5</v>
      </c>
      <c r="O15" s="107">
        <f t="shared" ref="O15:O23" si="5">N$12*101*(N15/101)^O$12</f>
        <v>2.1431918827973786</v>
      </c>
      <c r="P15" s="107">
        <f t="shared" ref="P15:P23" si="6">DEGREES(ATAN(O15/N15))</f>
        <v>23.20183105614532</v>
      </c>
      <c r="Q15" s="173">
        <f t="shared" ref="Q15:Q23" si="7">O15*20.89</f>
        <v>44.771278431637242</v>
      </c>
      <c r="R15" s="270"/>
      <c r="S15" s="270"/>
      <c r="T15" s="270"/>
    </row>
    <row r="16" spans="1:20" ht="20.100000000000001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172">
        <v>10</v>
      </c>
      <c r="K16" s="107">
        <f t="shared" si="2"/>
        <v>6.1661926563393461</v>
      </c>
      <c r="L16" s="107">
        <f t="shared" si="3"/>
        <v>31.658783422680585</v>
      </c>
      <c r="M16" s="179">
        <f t="shared" si="4"/>
        <v>128.81176459092893</v>
      </c>
      <c r="N16" s="172">
        <v>10</v>
      </c>
      <c r="O16" s="107">
        <f t="shared" si="5"/>
        <v>3.9156640568449697</v>
      </c>
      <c r="P16" s="107">
        <f t="shared" si="6"/>
        <v>21.383642150808168</v>
      </c>
      <c r="Q16" s="173">
        <f t="shared" si="7"/>
        <v>81.798222147491416</v>
      </c>
      <c r="R16" s="270"/>
      <c r="S16" s="270"/>
      <c r="T16" s="270"/>
    </row>
    <row r="17" spans="1:20" ht="20.100000000000001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172">
        <v>25</v>
      </c>
      <c r="K17" s="107">
        <f t="shared" si="2"/>
        <v>14.072848302341106</v>
      </c>
      <c r="L17" s="107">
        <f t="shared" si="3"/>
        <v>29.375766498222408</v>
      </c>
      <c r="M17" s="179">
        <f t="shared" si="4"/>
        <v>293.98180103590568</v>
      </c>
      <c r="N17" s="172">
        <v>25</v>
      </c>
      <c r="O17" s="107">
        <f t="shared" si="5"/>
        <v>8.685856687018795</v>
      </c>
      <c r="P17" s="107">
        <f t="shared" si="6"/>
        <v>19.158978880573034</v>
      </c>
      <c r="Q17" s="173">
        <f t="shared" si="7"/>
        <v>181.44754619182262</v>
      </c>
      <c r="R17" s="270"/>
      <c r="S17" s="270"/>
      <c r="T17" s="270"/>
    </row>
    <row r="18" spans="1:20" ht="20.100000000000001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172">
        <v>50</v>
      </c>
      <c r="K18" s="107">
        <f t="shared" si="2"/>
        <v>26.270878774353211</v>
      </c>
      <c r="L18" s="107">
        <f t="shared" si="3"/>
        <v>27.718225342003759</v>
      </c>
      <c r="M18" s="179">
        <f t="shared" si="4"/>
        <v>548.79865759623863</v>
      </c>
      <c r="N18" s="172">
        <v>50</v>
      </c>
      <c r="O18" s="107">
        <f t="shared" si="5"/>
        <v>15.869272884644205</v>
      </c>
      <c r="P18" s="107">
        <f t="shared" si="6"/>
        <v>17.608681299363504</v>
      </c>
      <c r="Q18" s="173">
        <f t="shared" si="7"/>
        <v>331.50911056021744</v>
      </c>
      <c r="R18" s="270"/>
      <c r="S18" s="270"/>
      <c r="T18" s="270"/>
    </row>
    <row r="19" spans="1:20" ht="20.100000000000001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172">
        <v>100</v>
      </c>
      <c r="K19" s="107">
        <f t="shared" si="2"/>
        <v>49.041889513009949</v>
      </c>
      <c r="L19" s="107">
        <f t="shared" si="3"/>
        <v>26.124204827725634</v>
      </c>
      <c r="M19" s="179">
        <f t="shared" si="4"/>
        <v>1024.4850719267779</v>
      </c>
      <c r="N19" s="172">
        <v>100</v>
      </c>
      <c r="O19" s="107">
        <f t="shared" si="5"/>
        <v>28.993550200255445</v>
      </c>
      <c r="P19" s="107">
        <f t="shared" si="6"/>
        <v>16.168750172689897</v>
      </c>
      <c r="Q19" s="173">
        <f t="shared" si="7"/>
        <v>605.67526368333631</v>
      </c>
      <c r="R19" s="270"/>
      <c r="S19" s="270"/>
      <c r="T19" s="270"/>
    </row>
    <row r="20" spans="1:20" ht="20.100000000000001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172">
        <v>200</v>
      </c>
      <c r="K20" s="107">
        <f t="shared" si="2"/>
        <v>91.550303576226256</v>
      </c>
      <c r="L20" s="107">
        <f t="shared" si="3"/>
        <v>24.596010239360982</v>
      </c>
      <c r="M20" s="179">
        <f t="shared" si="4"/>
        <v>1912.4858417073665</v>
      </c>
      <c r="N20" s="172">
        <v>200</v>
      </c>
      <c r="O20" s="107">
        <f t="shared" si="5"/>
        <v>52.971926270683674</v>
      </c>
      <c r="P20" s="107">
        <f t="shared" si="6"/>
        <v>14.834711992834093</v>
      </c>
      <c r="Q20" s="173">
        <f t="shared" si="7"/>
        <v>1106.5835397945821</v>
      </c>
      <c r="R20" s="270"/>
      <c r="S20" s="270"/>
      <c r="T20" s="270"/>
    </row>
    <row r="21" spans="1:20" ht="20.100000000000001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172">
        <v>300</v>
      </c>
      <c r="K21" s="107">
        <f t="shared" si="2"/>
        <v>131.89817622951119</v>
      </c>
      <c r="L21" s="107">
        <f t="shared" si="3"/>
        <v>23.733199804004055</v>
      </c>
      <c r="M21" s="179">
        <f t="shared" si="4"/>
        <v>2755.352901434489</v>
      </c>
      <c r="N21" s="172">
        <v>300</v>
      </c>
      <c r="O21" s="107">
        <f t="shared" si="5"/>
        <v>75.36269254262028</v>
      </c>
      <c r="P21" s="107">
        <f t="shared" si="6"/>
        <v>14.101419415478304</v>
      </c>
      <c r="Q21" s="173">
        <f t="shared" si="7"/>
        <v>1574.3266472153377</v>
      </c>
      <c r="R21" s="270"/>
      <c r="S21" s="270"/>
      <c r="T21" s="270"/>
    </row>
    <row r="22" spans="1:20" ht="20.100000000000001" customHeight="1" thickBot="1" x14ac:dyDescent="0.3">
      <c r="A22" s="2"/>
      <c r="B22" s="2"/>
      <c r="C22" s="2"/>
      <c r="D22" s="2"/>
      <c r="E22" s="2"/>
      <c r="F22" s="2"/>
      <c r="G22" s="2"/>
      <c r="H22" s="2"/>
      <c r="I22" s="2"/>
      <c r="J22" s="174">
        <v>400</v>
      </c>
      <c r="K22" s="175">
        <f t="shared" si="2"/>
        <v>170.90406116338019</v>
      </c>
      <c r="L22" s="175">
        <f>DEGREES(ATAN(K22/J22))</f>
        <v>23.135088019692141</v>
      </c>
      <c r="M22" s="180">
        <f t="shared" si="4"/>
        <v>3570.1858377030121</v>
      </c>
      <c r="N22" s="172">
        <v>400</v>
      </c>
      <c r="O22" s="107">
        <f t="shared" si="5"/>
        <v>96.781006584079009</v>
      </c>
      <c r="P22" s="107">
        <f t="shared" si="6"/>
        <v>13.601464445292267</v>
      </c>
      <c r="Q22" s="173">
        <f t="shared" si="7"/>
        <v>2021.7552275414105</v>
      </c>
      <c r="R22" s="2"/>
      <c r="S22" s="2"/>
      <c r="T22" s="2"/>
    </row>
    <row r="23" spans="1:20" ht="21" customHeight="1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74">
        <v>700</v>
      </c>
      <c r="O23" s="175">
        <f t="shared" si="5"/>
        <v>157.43842600291296</v>
      </c>
      <c r="P23" s="175">
        <f t="shared" si="6"/>
        <v>12.675586351868583</v>
      </c>
      <c r="Q23" s="176">
        <f t="shared" si="7"/>
        <v>3288.8887192008519</v>
      </c>
      <c r="R23" s="2"/>
      <c r="S23" s="2"/>
      <c r="T23" s="2"/>
    </row>
    <row r="24" spans="1:20" ht="20.100000000000001" customHeight="1" x14ac:dyDescent="0.25">
      <c r="A24" s="2"/>
      <c r="B24" s="168"/>
      <c r="C24" s="168"/>
      <c r="D24" s="168"/>
      <c r="E24" s="168"/>
      <c r="F24" s="168"/>
      <c r="G24" s="2"/>
      <c r="H24" s="2"/>
      <c r="I24" s="2"/>
      <c r="J24" s="2"/>
      <c r="K24" s="147"/>
      <c r="L24" s="147"/>
      <c r="M24" s="147"/>
      <c r="N24" s="147"/>
      <c r="O24" s="147"/>
      <c r="P24" s="147"/>
      <c r="Q24" s="147"/>
      <c r="R24" s="2"/>
      <c r="S24" s="2"/>
      <c r="T24" s="2"/>
    </row>
    <row r="25" spans="1:20" ht="22.5" customHeight="1" x14ac:dyDescent="0.25">
      <c r="A25" s="2"/>
      <c r="B25" s="168"/>
      <c r="C25" s="108"/>
      <c r="D25" s="108"/>
      <c r="E25" s="288" t="s">
        <v>69</v>
      </c>
      <c r="F25" s="289"/>
      <c r="G25" s="2"/>
      <c r="H25" s="109"/>
      <c r="I25" s="2"/>
      <c r="J25" s="2"/>
      <c r="K25" s="147"/>
      <c r="L25" s="147"/>
      <c r="M25" s="147"/>
      <c r="N25" s="147"/>
      <c r="O25" s="147"/>
      <c r="P25" s="147"/>
      <c r="Q25" s="147"/>
      <c r="R25" s="2"/>
      <c r="S25" s="2"/>
      <c r="T25" s="2"/>
    </row>
    <row r="26" spans="1:20" ht="21.95" customHeight="1" x14ac:dyDescent="0.25">
      <c r="A26" s="2"/>
      <c r="B26" s="168"/>
      <c r="C26" s="275" t="s">
        <v>40</v>
      </c>
      <c r="D26" s="276"/>
      <c r="E26" s="110" t="s">
        <v>41</v>
      </c>
      <c r="F26" s="111" t="s">
        <v>42</v>
      </c>
      <c r="G26" s="2"/>
      <c r="H26" s="112"/>
      <c r="I26" s="2"/>
      <c r="J26" s="2"/>
      <c r="K26" s="147"/>
      <c r="L26" s="168"/>
      <c r="M26" s="168"/>
      <c r="N26" s="168"/>
      <c r="O26" s="168"/>
      <c r="P26" s="147"/>
      <c r="Q26" s="147"/>
      <c r="R26" s="2"/>
      <c r="S26" s="2"/>
      <c r="T26" s="2"/>
    </row>
    <row r="27" spans="1:20" ht="23.1" customHeight="1" x14ac:dyDescent="0.25">
      <c r="A27" s="2"/>
      <c r="B27" s="168"/>
      <c r="C27" s="275" t="s">
        <v>70</v>
      </c>
      <c r="D27" s="276"/>
      <c r="E27" s="113">
        <v>15</v>
      </c>
      <c r="F27" s="114">
        <v>250</v>
      </c>
      <c r="G27" s="2"/>
      <c r="H27" s="115"/>
      <c r="I27" s="2"/>
      <c r="J27" s="2"/>
      <c r="K27" s="147"/>
      <c r="L27" s="168"/>
      <c r="M27" s="168"/>
      <c r="N27" s="168"/>
      <c r="O27" s="168"/>
      <c r="P27" s="147"/>
      <c r="Q27" s="147"/>
      <c r="R27" s="2"/>
      <c r="S27" s="2"/>
      <c r="T27" s="2"/>
    </row>
    <row r="28" spans="1:20" ht="21.95" customHeight="1" x14ac:dyDescent="0.45">
      <c r="A28" s="2"/>
      <c r="B28" s="168"/>
      <c r="C28" s="290"/>
      <c r="D28" s="290"/>
      <c r="E28" s="195"/>
      <c r="F28" s="195"/>
      <c r="G28" s="2"/>
      <c r="H28" s="277" t="s">
        <v>46</v>
      </c>
      <c r="I28" s="278"/>
      <c r="J28" s="278"/>
      <c r="K28" s="149"/>
      <c r="L28" s="168"/>
      <c r="M28" s="168"/>
      <c r="N28" s="168"/>
      <c r="O28" s="168"/>
      <c r="P28" s="147"/>
      <c r="Q28" s="147"/>
      <c r="R28" s="2"/>
      <c r="S28" s="2"/>
      <c r="T28" s="2"/>
    </row>
    <row r="29" spans="1:20" ht="21.95" customHeight="1" x14ac:dyDescent="0.25">
      <c r="A29" s="2"/>
      <c r="B29" s="168"/>
      <c r="C29" s="290"/>
      <c r="D29" s="290"/>
      <c r="E29" s="195"/>
      <c r="F29" s="195"/>
      <c r="G29" s="2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2"/>
      <c r="S29" s="2"/>
      <c r="T29" s="2"/>
    </row>
    <row r="30" spans="1:20" hidden="1" x14ac:dyDescent="0.25"/>
    <row r="31" spans="1:20" ht="18.75" hidden="1" x14ac:dyDescent="0.3">
      <c r="B31" s="259"/>
      <c r="C31" s="260"/>
      <c r="D31" s="260"/>
      <c r="E31" s="260"/>
      <c r="F31" s="260"/>
      <c r="G31" s="261"/>
    </row>
    <row r="32" spans="1:20" hidden="1" x14ac:dyDescent="0.25"/>
    <row r="33" spans="2:5" hidden="1" x14ac:dyDescent="0.25"/>
    <row r="34" spans="2:5" hidden="1" x14ac:dyDescent="0.25"/>
    <row r="35" spans="2:5" hidden="1" x14ac:dyDescent="0.25">
      <c r="B35" s="116"/>
      <c r="C35" s="116"/>
      <c r="D35" s="116"/>
      <c r="E35" s="116"/>
    </row>
    <row r="36" spans="2:5" hidden="1" x14ac:dyDescent="0.25">
      <c r="B36" s="117"/>
      <c r="C36" s="118"/>
      <c r="E36" s="118"/>
    </row>
    <row r="37" spans="2:5" hidden="1" x14ac:dyDescent="0.25">
      <c r="B37" s="117"/>
      <c r="C37" s="118"/>
      <c r="E37" s="118"/>
    </row>
    <row r="38" spans="2:5" hidden="1" x14ac:dyDescent="0.25">
      <c r="B38" s="117"/>
      <c r="C38" s="118"/>
      <c r="E38" s="118"/>
    </row>
    <row r="39" spans="2:5" hidden="1" x14ac:dyDescent="0.25">
      <c r="B39" s="117"/>
      <c r="C39" s="118"/>
      <c r="E39" s="118"/>
    </row>
    <row r="40" spans="2:5" hidden="1" x14ac:dyDescent="0.25">
      <c r="B40" s="117"/>
      <c r="C40" s="118"/>
      <c r="E40" s="118"/>
    </row>
    <row r="41" spans="2:5" hidden="1" x14ac:dyDescent="0.25">
      <c r="B41" s="117"/>
      <c r="C41" s="118"/>
      <c r="E41" s="118"/>
    </row>
    <row r="42" spans="2:5" hidden="1" x14ac:dyDescent="0.25">
      <c r="B42" s="117"/>
      <c r="C42" s="118"/>
      <c r="E42" s="118"/>
    </row>
    <row r="43" spans="2:5" hidden="1" x14ac:dyDescent="0.25">
      <c r="B43" s="117"/>
      <c r="C43" s="118"/>
      <c r="E43" s="118"/>
    </row>
    <row r="44" spans="2:5" hidden="1" x14ac:dyDescent="0.25">
      <c r="B44" s="117"/>
      <c r="C44" s="118"/>
      <c r="E44" s="118"/>
    </row>
    <row r="45" spans="2:5" hidden="1" x14ac:dyDescent="0.25">
      <c r="B45" s="117"/>
      <c r="C45" s="118"/>
      <c r="E45" s="118"/>
    </row>
    <row r="46" spans="2:5" hidden="1" x14ac:dyDescent="0.25">
      <c r="B46" s="117"/>
      <c r="C46" s="118"/>
      <c r="E46" s="118"/>
    </row>
    <row r="47" spans="2:5" hidden="1" x14ac:dyDescent="0.25"/>
    <row r="48" spans="2:5" hidden="1" x14ac:dyDescent="0.25"/>
    <row r="49" spans="2:12" hidden="1" x14ac:dyDescent="0.25">
      <c r="B49" s="119"/>
      <c r="C49" s="120"/>
      <c r="D49" s="121"/>
      <c r="E49" s="120"/>
    </row>
    <row r="50" spans="2:12" hidden="1" x14ac:dyDescent="0.25">
      <c r="B50" s="122"/>
    </row>
    <row r="51" spans="2:12" hidden="1" x14ac:dyDescent="0.25"/>
    <row r="52" spans="2:12" ht="18.75" hidden="1" x14ac:dyDescent="0.3">
      <c r="B52" s="259"/>
      <c r="C52" s="260"/>
      <c r="D52" s="260"/>
      <c r="E52" s="260"/>
      <c r="F52" s="260"/>
      <c r="G52" s="261"/>
    </row>
    <row r="53" spans="2:12" hidden="1" x14ac:dyDescent="0.25">
      <c r="B53" s="123"/>
      <c r="C53" s="124"/>
    </row>
    <row r="54" spans="2:12" hidden="1" x14ac:dyDescent="0.25">
      <c r="B54" s="125"/>
    </row>
    <row r="55" spans="2:12" hidden="1" x14ac:dyDescent="0.25">
      <c r="B55" s="125"/>
    </row>
    <row r="56" spans="2:12" hidden="1" x14ac:dyDescent="0.25">
      <c r="B56" s="125"/>
      <c r="L56" s="91">
        <f>0.5*(0.0023+0.004)</f>
        <v>3.15E-3</v>
      </c>
    </row>
    <row r="57" spans="2:12" hidden="1" x14ac:dyDescent="0.25">
      <c r="B57" s="125"/>
    </row>
    <row r="58" spans="2:12" hidden="1" x14ac:dyDescent="0.25">
      <c r="B58" s="125"/>
    </row>
    <row r="59" spans="2:12" hidden="1" x14ac:dyDescent="0.25">
      <c r="B59" s="125"/>
    </row>
    <row r="60" spans="2:12" hidden="1" x14ac:dyDescent="0.25">
      <c r="B60" s="125"/>
    </row>
    <row r="61" spans="2:12" hidden="1" x14ac:dyDescent="0.25">
      <c r="B61" s="125"/>
    </row>
    <row r="62" spans="2:12" hidden="1" x14ac:dyDescent="0.25">
      <c r="B62" s="125"/>
    </row>
    <row r="63" spans="2:12" hidden="1" x14ac:dyDescent="0.25">
      <c r="B63" s="125"/>
    </row>
    <row r="64" spans="2:12" hidden="1" x14ac:dyDescent="0.25">
      <c r="B64" s="125"/>
    </row>
    <row r="65" spans="2:9" hidden="1" x14ac:dyDescent="0.25"/>
    <row r="66" spans="2:9" ht="15.6" hidden="1" customHeight="1" x14ac:dyDescent="0.25">
      <c r="B66" s="91"/>
      <c r="I66" s="91"/>
    </row>
    <row r="67" spans="2:9" hidden="1" x14ac:dyDescent="0.25">
      <c r="B67" s="91"/>
      <c r="I67" s="91"/>
    </row>
    <row r="68" spans="2:9" hidden="1" x14ac:dyDescent="0.25">
      <c r="B68" s="91"/>
      <c r="I68" s="91"/>
    </row>
    <row r="69" spans="2:9" ht="18.75" hidden="1" x14ac:dyDescent="0.3">
      <c r="B69" s="259"/>
      <c r="C69" s="260"/>
      <c r="D69" s="260"/>
      <c r="E69" s="260"/>
      <c r="F69" s="260"/>
      <c r="G69" s="261"/>
      <c r="I69" s="91"/>
    </row>
    <row r="70" spans="2:9" hidden="1" x14ac:dyDescent="0.25">
      <c r="B70" s="119"/>
      <c r="I70" s="91"/>
    </row>
    <row r="71" spans="2:9" hidden="1" x14ac:dyDescent="0.25">
      <c r="B71" s="127"/>
      <c r="I71" s="91"/>
    </row>
    <row r="72" spans="2:9" hidden="1" x14ac:dyDescent="0.25">
      <c r="B72" s="91"/>
      <c r="I72" s="91"/>
    </row>
    <row r="73" spans="2:9" hidden="1" x14ac:dyDescent="0.25">
      <c r="B73" s="91"/>
      <c r="I73" s="91"/>
    </row>
    <row r="74" spans="2:9" hidden="1" x14ac:dyDescent="0.25">
      <c r="B74" s="190"/>
      <c r="C74" s="272"/>
      <c r="D74" s="272"/>
      <c r="E74" s="128"/>
      <c r="F74" s="272"/>
      <c r="G74" s="272"/>
      <c r="I74" s="91"/>
    </row>
    <row r="75" spans="2:9" hidden="1" x14ac:dyDescent="0.25">
      <c r="B75" s="129"/>
      <c r="C75" s="130"/>
      <c r="D75" s="130"/>
      <c r="E75" s="130"/>
      <c r="F75" s="130"/>
      <c r="G75" s="130"/>
      <c r="I75" s="91"/>
    </row>
    <row r="76" spans="2:9" hidden="1" x14ac:dyDescent="0.25">
      <c r="D76" s="91"/>
      <c r="E76" s="131"/>
      <c r="G76" s="91"/>
      <c r="I76" s="91"/>
    </row>
    <row r="77" spans="2:9" hidden="1" x14ac:dyDescent="0.25">
      <c r="D77" s="91"/>
      <c r="E77" s="131"/>
      <c r="G77" s="91"/>
      <c r="I77" s="91"/>
    </row>
    <row r="78" spans="2:9" hidden="1" x14ac:dyDescent="0.25">
      <c r="D78" s="91"/>
      <c r="E78" s="131"/>
      <c r="G78" s="91"/>
      <c r="I78" s="91"/>
    </row>
    <row r="79" spans="2:9" hidden="1" x14ac:dyDescent="0.25">
      <c r="D79" s="91"/>
      <c r="E79" s="131"/>
      <c r="G79" s="91"/>
      <c r="I79" s="91"/>
    </row>
    <row r="80" spans="2:9" hidden="1" x14ac:dyDescent="0.25">
      <c r="D80" s="91"/>
      <c r="E80" s="131"/>
      <c r="G80" s="91"/>
      <c r="I80" s="91"/>
    </row>
    <row r="81" spans="2:9" hidden="1" x14ac:dyDescent="0.25">
      <c r="B81" s="132"/>
      <c r="D81" s="91"/>
      <c r="E81" s="131"/>
      <c r="G81" s="91"/>
      <c r="I81" s="91"/>
    </row>
    <row r="82" spans="2:9" hidden="1" x14ac:dyDescent="0.25">
      <c r="B82" s="132"/>
      <c r="D82" s="91"/>
      <c r="E82" s="131"/>
      <c r="G82" s="91"/>
      <c r="I82" s="91"/>
    </row>
    <row r="83" spans="2:9" hidden="1" x14ac:dyDescent="0.25">
      <c r="B83" s="132"/>
      <c r="D83" s="91"/>
      <c r="E83" s="131"/>
      <c r="G83" s="91"/>
      <c r="I83" s="91"/>
    </row>
    <row r="84" spans="2:9" hidden="1" x14ac:dyDescent="0.25">
      <c r="B84" s="132"/>
      <c r="D84" s="91"/>
      <c r="E84" s="131"/>
      <c r="G84" s="91"/>
      <c r="I84" s="91"/>
    </row>
    <row r="85" spans="2:9" hidden="1" x14ac:dyDescent="0.25">
      <c r="B85" s="132"/>
      <c r="D85" s="91"/>
      <c r="E85" s="131"/>
      <c r="G85" s="91"/>
      <c r="I85" s="91"/>
    </row>
    <row r="86" spans="2:9" hidden="1" x14ac:dyDescent="0.25">
      <c r="B86" s="133"/>
      <c r="D86" s="91"/>
      <c r="E86" s="130"/>
      <c r="G86" s="91"/>
      <c r="I86" s="91"/>
    </row>
    <row r="87" spans="2:9" hidden="1" x14ac:dyDescent="0.25">
      <c r="B87" s="91"/>
      <c r="I87" s="91"/>
    </row>
    <row r="88" spans="2:9" hidden="1" x14ac:dyDescent="0.25">
      <c r="B88" s="91"/>
      <c r="C88" s="91"/>
      <c r="D88" s="91"/>
      <c r="E88" s="91"/>
      <c r="F88" s="91"/>
      <c r="G88" s="91"/>
      <c r="I88" s="91"/>
    </row>
    <row r="89" spans="2:9" hidden="1" x14ac:dyDescent="0.25">
      <c r="B89" s="91"/>
      <c r="I89" s="91"/>
    </row>
    <row r="90" spans="2:9" hidden="1" x14ac:dyDescent="0.25">
      <c r="B90" s="91"/>
      <c r="I90" s="91"/>
    </row>
    <row r="91" spans="2:9" hidden="1" x14ac:dyDescent="0.25">
      <c r="B91" s="91"/>
      <c r="I91" s="91"/>
    </row>
    <row r="92" spans="2:9" hidden="1" x14ac:dyDescent="0.25">
      <c r="I92" s="91"/>
    </row>
    <row r="93" spans="2:9" hidden="1" x14ac:dyDescent="0.25">
      <c r="I93" s="91"/>
    </row>
    <row r="94" spans="2:9" hidden="1" x14ac:dyDescent="0.25">
      <c r="I94" s="91"/>
    </row>
    <row r="95" spans="2:9" hidden="1" x14ac:dyDescent="0.25">
      <c r="I95" s="91"/>
    </row>
    <row r="96" spans="2:9" hidden="1" x14ac:dyDescent="0.25">
      <c r="I96" s="91"/>
    </row>
    <row r="97" spans="2:9" hidden="1" x14ac:dyDescent="0.25">
      <c r="I97" s="91"/>
    </row>
    <row r="98" spans="2:9" hidden="1" x14ac:dyDescent="0.25">
      <c r="I98" s="91"/>
    </row>
    <row r="99" spans="2:9" hidden="1" x14ac:dyDescent="0.25">
      <c r="I99" s="91"/>
    </row>
    <row r="100" spans="2:9" hidden="1" x14ac:dyDescent="0.25">
      <c r="I100" s="91"/>
    </row>
    <row r="101" spans="2:9" hidden="1" x14ac:dyDescent="0.25"/>
    <row r="102" spans="2:9" hidden="1" x14ac:dyDescent="0.25">
      <c r="B102" s="119"/>
      <c r="C102" s="120"/>
      <c r="D102" s="121"/>
      <c r="E102" s="120"/>
    </row>
    <row r="103" spans="2:9" hidden="1" x14ac:dyDescent="0.25">
      <c r="B103" s="122"/>
    </row>
    <row r="104" spans="2:9" hidden="1" x14ac:dyDescent="0.25"/>
    <row r="105" spans="2:9" ht="18.75" hidden="1" x14ac:dyDescent="0.3">
      <c r="B105" s="259"/>
      <c r="C105" s="260"/>
      <c r="D105" s="260"/>
      <c r="E105" s="260"/>
      <c r="F105" s="260"/>
      <c r="G105" s="261"/>
    </row>
    <row r="106" spans="2:9" hidden="1" x14ac:dyDescent="0.25">
      <c r="B106" s="123"/>
      <c r="C106" s="124"/>
    </row>
    <row r="107" spans="2:9" hidden="1" x14ac:dyDescent="0.25">
      <c r="B107" s="125"/>
    </row>
    <row r="108" spans="2:9" hidden="1" x14ac:dyDescent="0.25">
      <c r="B108" s="125"/>
    </row>
    <row r="109" spans="2:9" hidden="1" x14ac:dyDescent="0.25">
      <c r="B109" s="125"/>
    </row>
    <row r="110" spans="2:9" hidden="1" x14ac:dyDescent="0.25">
      <c r="B110" s="125"/>
    </row>
    <row r="111" spans="2:9" hidden="1" x14ac:dyDescent="0.25">
      <c r="B111" s="125"/>
    </row>
    <row r="112" spans="2:9" hidden="1" x14ac:dyDescent="0.25">
      <c r="B112" s="125"/>
    </row>
    <row r="113" spans="2:2" hidden="1" x14ac:dyDescent="0.25">
      <c r="B113" s="125"/>
    </row>
    <row r="114" spans="2:2" hidden="1" x14ac:dyDescent="0.25">
      <c r="B114" s="125"/>
    </row>
    <row r="115" spans="2:2" hidden="1" x14ac:dyDescent="0.25">
      <c r="B115" s="125"/>
    </row>
    <row r="116" spans="2:2" hidden="1" x14ac:dyDescent="0.25">
      <c r="B116" s="125"/>
    </row>
    <row r="117" spans="2:2" hidden="1" x14ac:dyDescent="0.25">
      <c r="B117" s="125"/>
    </row>
    <row r="118" spans="2:2" hidden="1" x14ac:dyDescent="0.25"/>
  </sheetData>
  <sheetProtection algorithmName="SHA-512" hashValue="Ka1yFqpThZP+gB9XxESS76ki3PM9LBT0IOpbXlXX1yBdOGDZEWB/F5BKbgt7GxreJi4IP/cKqWYN81ns4dn/9w==" saltValue="/LC+r08wy6acfhG7nxaBaA==" spinCount="100000" sheet="1" objects="1" scenarios="1" selectLockedCells="1"/>
  <mergeCells count="22">
    <mergeCell ref="J10:K10"/>
    <mergeCell ref="N10:O10"/>
    <mergeCell ref="R11:T21"/>
    <mergeCell ref="D3:H3"/>
    <mergeCell ref="I3:N3"/>
    <mergeCell ref="O3:T3"/>
    <mergeCell ref="B2:T2"/>
    <mergeCell ref="B105:G105"/>
    <mergeCell ref="J8:M9"/>
    <mergeCell ref="N8:Q9"/>
    <mergeCell ref="E25:F25"/>
    <mergeCell ref="C26:D26"/>
    <mergeCell ref="C27:D27"/>
    <mergeCell ref="B31:G31"/>
    <mergeCell ref="B52:G52"/>
    <mergeCell ref="B69:G69"/>
    <mergeCell ref="C74:D74"/>
    <mergeCell ref="F74:G74"/>
    <mergeCell ref="C28:D28"/>
    <mergeCell ref="H28:J28"/>
    <mergeCell ref="C29:D29"/>
    <mergeCell ref="J7:N7"/>
  </mergeCells>
  <phoneticPr fontId="30" type="noConversion"/>
  <hyperlinks>
    <hyperlink ref="H28" r:id="rId1" xr:uid="{2B6650A2-26BB-4A9B-AE1C-568FF9577380}"/>
  </hyperlinks>
  <pageMargins left="0.7" right="0.7" top="0.75" bottom="0.75" header="0.3" footer="0.3"/>
  <pageSetup orientation="portrait" vertic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E9A4-DD4E-472E-8F3A-CF0BCA974BE6}">
  <sheetPr codeName="Sheet2"/>
  <dimension ref="A1:X158"/>
  <sheetViews>
    <sheetView topLeftCell="B1" zoomScaleNormal="100" workbookViewId="0">
      <selection activeCell="B5" sqref="B5"/>
    </sheetView>
  </sheetViews>
  <sheetFormatPr defaultColWidth="8.85546875" defaultRowHeight="15" x14ac:dyDescent="0.25"/>
  <cols>
    <col min="1" max="1" width="1.85546875" style="7" customWidth="1"/>
    <col min="2" max="2" width="10.140625" style="7" customWidth="1"/>
    <col min="3" max="3" width="11.140625" style="7" customWidth="1"/>
    <col min="4" max="4" width="17.42578125" style="7" customWidth="1"/>
    <col min="5" max="5" width="12.85546875" style="7" customWidth="1"/>
    <col min="6" max="6" width="10.140625" style="7" customWidth="1"/>
    <col min="7" max="7" width="10.42578125" style="7" customWidth="1"/>
    <col min="8" max="8" width="11.42578125" style="7" customWidth="1"/>
    <col min="9" max="9" width="12.85546875" style="7" customWidth="1"/>
    <col min="10" max="10" width="9.140625" style="7" bestFit="1" customWidth="1"/>
    <col min="11" max="12" width="10" style="7" customWidth="1"/>
    <col min="13" max="13" width="12.42578125" style="7" customWidth="1"/>
    <col min="14" max="14" width="11.5703125" style="7" customWidth="1"/>
    <col min="15" max="15" width="11.28515625" style="7" customWidth="1"/>
    <col min="16" max="16" width="11.140625" style="7" customWidth="1"/>
    <col min="17" max="17" width="13.28515625" style="7" customWidth="1"/>
    <col min="18" max="19" width="10.7109375" style="7" bestFit="1" customWidth="1"/>
    <col min="20" max="20" width="12.85546875" style="7" bestFit="1" customWidth="1"/>
    <col min="21" max="24" width="22.28515625" style="7" customWidth="1"/>
    <col min="25" max="25" width="10" style="7" bestFit="1" customWidth="1"/>
    <col min="26" max="16384" width="8.85546875" style="7"/>
  </cols>
  <sheetData>
    <row r="1" spans="1:22" ht="30" customHeight="1" x14ac:dyDescent="0.25">
      <c r="A1" s="2"/>
      <c r="B1" s="139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82" t="s">
        <v>89</v>
      </c>
      <c r="O1" s="139"/>
      <c r="P1" s="140"/>
      <c r="Q1" s="140"/>
      <c r="R1" s="140"/>
      <c r="S1" s="140"/>
      <c r="T1" s="140"/>
      <c r="U1" s="140"/>
    </row>
    <row r="2" spans="1:22" ht="19.5" customHeight="1" x14ac:dyDescent="0.35">
      <c r="A2" s="2"/>
      <c r="B2" s="244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</row>
    <row r="3" spans="1:22" ht="18.75" customHeight="1" x14ac:dyDescent="0.35">
      <c r="A3" s="2"/>
      <c r="B3" s="236" t="s">
        <v>1</v>
      </c>
      <c r="C3" s="237"/>
      <c r="D3" s="141"/>
      <c r="E3" s="238" t="s">
        <v>2</v>
      </c>
      <c r="F3" s="239"/>
      <c r="G3" s="239"/>
      <c r="H3" s="239"/>
      <c r="I3" s="240"/>
      <c r="J3" s="241" t="s">
        <v>3</v>
      </c>
      <c r="K3" s="242"/>
      <c r="L3" s="242"/>
      <c r="M3" s="242"/>
      <c r="N3" s="242"/>
      <c r="O3" s="243"/>
      <c r="P3" s="241" t="s">
        <v>4</v>
      </c>
      <c r="Q3" s="242"/>
      <c r="R3" s="242"/>
      <c r="S3" s="242"/>
      <c r="T3" s="242"/>
      <c r="U3" s="243"/>
    </row>
    <row r="4" spans="1:22" ht="17.25" customHeight="1" x14ac:dyDescent="0.25">
      <c r="A4" s="2"/>
      <c r="B4" s="142" t="s">
        <v>5</v>
      </c>
      <c r="C4" s="142" t="s">
        <v>6</v>
      </c>
      <c r="D4" s="184" t="s">
        <v>8</v>
      </c>
      <c r="E4" s="144" t="s">
        <v>9</v>
      </c>
      <c r="F4" s="185" t="s">
        <v>10</v>
      </c>
      <c r="G4" s="144" t="s">
        <v>11</v>
      </c>
      <c r="H4" s="185" t="s">
        <v>12</v>
      </c>
      <c r="I4" s="185" t="s">
        <v>13</v>
      </c>
      <c r="J4" s="146">
        <v>0</v>
      </c>
      <c r="K4" s="146">
        <v>12</v>
      </c>
      <c r="L4" s="146">
        <v>50</v>
      </c>
      <c r="M4" s="146">
        <v>100</v>
      </c>
      <c r="N4" s="146">
        <v>400</v>
      </c>
      <c r="O4" s="146">
        <v>700</v>
      </c>
      <c r="P4" s="146">
        <v>0</v>
      </c>
      <c r="Q4" s="146">
        <f>K4*20.89</f>
        <v>250.68</v>
      </c>
      <c r="R4" s="146">
        <f t="shared" ref="R4:U6" si="0">L4*20.89</f>
        <v>1044.5</v>
      </c>
      <c r="S4" s="146">
        <f t="shared" si="0"/>
        <v>2089</v>
      </c>
      <c r="T4" s="146">
        <f t="shared" si="0"/>
        <v>8356</v>
      </c>
      <c r="U4" s="146">
        <f t="shared" si="0"/>
        <v>14623</v>
      </c>
    </row>
    <row r="5" spans="1:22" ht="21" customHeight="1" x14ac:dyDescent="0.3">
      <c r="A5" s="2"/>
      <c r="B5" s="1">
        <v>130</v>
      </c>
      <c r="C5" s="1">
        <v>55</v>
      </c>
      <c r="D5" s="134" t="s">
        <v>14</v>
      </c>
      <c r="E5" s="135" t="s">
        <v>15</v>
      </c>
      <c r="F5" s="148">
        <f>IF(C5&lt;21,E10,IF(C5=21,((4*E10+E12)/5),IF(C5=22,((3*E10+2*E12)/5),IF(C5=23,((2*E10+3*E12)/5),IF(C5=24,((E10+4*E12)/5),IF(C5=46,((4*E12+E15)/5),IF(C5=47,((3*E12+2*E15)/5),IF(C5=48,((2*E12+3*E15)/5),IF(C5=49,((E12+4*E15)/5),IF(C5&gt;49,E15,E12))))))))))</f>
        <v>9.234</v>
      </c>
      <c r="G5" s="148">
        <f>IF(C5&lt;21,F10,IF(C5=21,((4*F10+F12)/5),IF(C5=22,((3*F10+2*F12)/5),IF(C5=23,((2*F10+3*F12)/5),IF(C5=24,((F10+4*F12)/5),IF(C5=46,((4*F12+F15)/5),IF(C5=47,((3*F12+2*F15)/5),IF(C5=48,((2*F12+3*F15)/5),IF(C5=49,((F12+4*F15)/5),IF(C5&gt;49,F15,F12))))))))))</f>
        <v>8.2598000000000003</v>
      </c>
      <c r="H5" s="148">
        <f>IF(C5&lt;21,G10,IF(C5=21,((4*G10+G12)/5),IF(C5=22,((3*G10+2*G12)/5),IF(C5=23,((2*G10+3*G12)/5),IF(C5=24,((G10+4*G12)/5),IF(C5=46,((4*G12+G15)/5),IF(C5=47,((3*G12+2*G15)/5),IF(C5=48,((2*G12+3*G15)/5),IF(C5=49,((G12+4*G15)/5),IF(C5&gt;49,G15,G12))))))))))</f>
        <v>6.835399999999999</v>
      </c>
      <c r="I5" s="148">
        <f>IF(C5&lt;21,H10,IF(C5=21,((4*H10+H12)/5),IF(C5=22,((3*H10+2*H12)/5),IF(C5=23,((2*H10+3*H12)/5),IF(C5=24,((H10+4*H12)/5),IF(C5=46,((4*H12+H15)/5),IF(C5=47,((3*H12+2*H15)/5),IF(C5=48,((2*H12+3*H15)/5),IF(C5=49,((H12+4*H15)/5),IF(C5&gt;49,H15,H12))))))))))</f>
        <v>5.2552000000000003</v>
      </c>
      <c r="J5" s="137">
        <v>0</v>
      </c>
      <c r="K5" s="137" t="s">
        <v>15</v>
      </c>
      <c r="L5" s="136">
        <f>IF(F5="NA", "NA", L4*TAN(RADIANS(F5)))</f>
        <v>8.1286847691542672</v>
      </c>
      <c r="M5" s="136">
        <f>IF(G5="NA", "NA", M4*TAN(RADIANS(G5)))</f>
        <v>14.51677419125415</v>
      </c>
      <c r="N5" s="136">
        <f>IF(H5="NA", "NA", N4*TAN(RADIANS(H5)))</f>
        <v>47.947783418790294</v>
      </c>
      <c r="O5" s="136">
        <f>IF(I5="NA", "NA", O4*TAN(RADIANS(I5)))</f>
        <v>64.385031085517838</v>
      </c>
      <c r="P5" s="138">
        <v>0</v>
      </c>
      <c r="Q5" s="138" t="s">
        <v>15</v>
      </c>
      <c r="R5" s="138">
        <f t="shared" si="0"/>
        <v>169.80822482763264</v>
      </c>
      <c r="S5" s="138">
        <f t="shared" si="0"/>
        <v>303.2554128552992</v>
      </c>
      <c r="T5" s="138">
        <f t="shared" si="0"/>
        <v>1001.6291956185293</v>
      </c>
      <c r="U5" s="138">
        <f t="shared" si="0"/>
        <v>1345.0032993764676</v>
      </c>
    </row>
    <row r="6" spans="1:22" ht="20.25" customHeight="1" x14ac:dyDescent="0.3">
      <c r="A6" s="2"/>
      <c r="B6" s="3"/>
      <c r="C6" s="3"/>
      <c r="D6" s="4" t="s">
        <v>16</v>
      </c>
      <c r="E6" s="5">
        <f>IF(C5&lt;21,D19,IF(C5=21,((4*D19+D21)/5),IF(C5=22,((3*D19+2*D21)/5),IF(C5=23,((2*D19+3*D21)/5),IF(C5=24,((D19+4*D21)/5),IF(C5=46,((4*D21+D23)/5),IF(C5=47,((3*D21+2*D23)/5),IF(C5=48,((2*D21+3*D23)/5),IF(C5=49,((D21+4*D23)/5),IF(C5&gt;49,D23,D21))))))))))</f>
        <v>24.048842250271402</v>
      </c>
      <c r="F6" s="5">
        <f>IF(C5&lt;21,E19,IF(C5=21,((4*E19+E21)/5),IF(C5=22,((3*E19+2*E21)/5),IF(C5=23,((2*E19+3*E21)/5),IF(C5=24,((E19+4*E21)/5),IF(C5=46,((4*E21+E23)/5),IF(C5=47,((3*E21+2*E23)/5),IF(C5=48,((2*E21+3*E23)/5),IF(C5=49,((E21+4*E23)/5),IF(C5&gt;49,E23,E21))))))))))</f>
        <v>21.383451009607132</v>
      </c>
      <c r="G6" s="5">
        <f>IF(C5&lt;21,F19,IF(C5=21,((4*F19+F21)/5),IF(C5=22,((3*F19+2*F21)/5),IF(C5=23,((2*F19+3*F21)/5),IF(C5=24,((F19+4*F21)/5),IF(C5=46,((4*F21+F23)/5),IF(C5=47,((3*F21+2*F23)/5),IF(C5=48,((2*F21+3*F23)/5),IF(C5=49,((F21+4*F23)/5),IF(C5&gt;49,F23,F21))))))))))</f>
        <v>18.517746530700457</v>
      </c>
      <c r="H6" s="5">
        <f>IF(C5&lt;21,G19,IF(C5=21,((4*G19+G21)/5),IF(C5=22,((3*G19+2*G21)/5),IF(C5=23,((2*G19+3*G21)/5),IF(C5=24,((G19+4*G21)/5),IF(C5=46,((4*G21+G23)/5),IF(C5=47,((3*G21+2*G23)/5),IF(C5=48,((2*G21+3*G23)/5),IF(C5=49,((G21+4*G23)/5),IF(C5&gt;49,G23,G21))))))))))</f>
        <v>15.228854488580749</v>
      </c>
      <c r="I6" s="6" t="s">
        <v>15</v>
      </c>
      <c r="J6" s="5">
        <v>0</v>
      </c>
      <c r="K6" s="5">
        <f>IF(E6="NA", "NA", K4*TAN(RADIANS(E6)))</f>
        <v>5.3550061562098445</v>
      </c>
      <c r="L6" s="5">
        <f>IF(F6="NA", "NA", L4*TAN(RADIANS(F6)))</f>
        <v>19.578127907494618</v>
      </c>
      <c r="M6" s="5">
        <f>IF(G6="NA", "NA", M4*TAN(RADIANS(G6)))</f>
        <v>33.493976672639818</v>
      </c>
      <c r="N6" s="5">
        <f>IF(H6="NA","NA",N4*TAN(RADIANS(H6)))</f>
        <v>108.89393663647195</v>
      </c>
      <c r="O6" s="5" t="s">
        <v>15</v>
      </c>
      <c r="P6" s="5">
        <f>J6*20.89</f>
        <v>0</v>
      </c>
      <c r="Q6" s="5">
        <f t="shared" ref="Q6" si="1">K6*20.89</f>
        <v>111.86607860322366</v>
      </c>
      <c r="R6" s="5">
        <f t="shared" si="0"/>
        <v>408.98709198756256</v>
      </c>
      <c r="S6" s="5">
        <f t="shared" si="0"/>
        <v>699.68917269144583</v>
      </c>
      <c r="T6" s="5">
        <f t="shared" si="0"/>
        <v>2274.7943363358991</v>
      </c>
      <c r="U6" s="5" t="s">
        <v>15</v>
      </c>
    </row>
    <row r="7" spans="1:22" ht="21" hidden="1" x14ac:dyDescent="0.35">
      <c r="A7" s="2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P7" s="2"/>
      <c r="Q7" s="9"/>
    </row>
    <row r="8" spans="1:22" ht="18.75" hidden="1" x14ac:dyDescent="0.3">
      <c r="A8" s="2"/>
      <c r="B8" s="218" t="s">
        <v>17</v>
      </c>
      <c r="C8" s="218"/>
      <c r="D8" s="218"/>
      <c r="E8" s="218"/>
      <c r="F8" s="218"/>
      <c r="G8" s="218"/>
      <c r="H8" s="218"/>
      <c r="I8" s="10"/>
      <c r="J8" s="10"/>
      <c r="K8" s="248" t="s">
        <v>17</v>
      </c>
      <c r="L8" s="248"/>
      <c r="M8" s="248"/>
      <c r="N8" s="248"/>
      <c r="O8" s="248"/>
      <c r="P8" s="2"/>
      <c r="Q8" s="249" t="s">
        <v>18</v>
      </c>
      <c r="R8" s="250"/>
      <c r="S8" s="250"/>
      <c r="T8" s="251"/>
    </row>
    <row r="9" spans="1:22" ht="18.75" hidden="1" x14ac:dyDescent="0.3">
      <c r="A9" s="2"/>
      <c r="B9" s="252" t="s">
        <v>19</v>
      </c>
      <c r="C9" s="11">
        <f>B5</f>
        <v>130</v>
      </c>
      <c r="D9" s="11" t="s">
        <v>15</v>
      </c>
      <c r="E9" s="12">
        <f>L11+M11*C9+N11*(C9)^2</f>
        <v>12.483679436349997</v>
      </c>
      <c r="F9" s="12">
        <f>L12+M12*C9+N12*(C9)^2</f>
        <v>10.982048507960002</v>
      </c>
      <c r="G9" s="12">
        <f>L13+M13*C9+N13*(C9)^2</f>
        <v>11.52372471484</v>
      </c>
      <c r="H9" s="13">
        <f>L14+M14*C9+N14*(C9)^2+O14*(C9)^3</f>
        <v>4.4446874765500013</v>
      </c>
      <c r="K9" s="14" t="s">
        <v>19</v>
      </c>
      <c r="L9" s="15" t="s">
        <v>20</v>
      </c>
      <c r="M9" s="15" t="s">
        <v>21</v>
      </c>
      <c r="N9" s="15" t="s">
        <v>22</v>
      </c>
      <c r="O9" s="15" t="s">
        <v>22</v>
      </c>
      <c r="P9" s="2"/>
      <c r="Q9" s="14" t="s">
        <v>19</v>
      </c>
      <c r="R9" s="16" t="s">
        <v>20</v>
      </c>
      <c r="S9" s="17" t="s">
        <v>21</v>
      </c>
      <c r="T9" s="17" t="s">
        <v>22</v>
      </c>
      <c r="U9" s="17" t="s">
        <v>28</v>
      </c>
    </row>
    <row r="10" spans="1:22" ht="18.75" hidden="1" x14ac:dyDescent="0.35">
      <c r="A10" s="2"/>
      <c r="B10" s="253"/>
      <c r="C10" s="18">
        <f>C9</f>
        <v>130</v>
      </c>
      <c r="D10" s="18" t="s">
        <v>15</v>
      </c>
      <c r="E10" s="19" t="str">
        <f>IF(C10&lt;25,"NA",IF(C10&lt;76,E9,"NA"))</f>
        <v>NA</v>
      </c>
      <c r="F10" s="19" t="str">
        <f>IF(C10&lt;25,"NA",IF(C10&lt;76,F9,"NA"))</f>
        <v>NA</v>
      </c>
      <c r="G10" s="19" t="str">
        <f>IF(C10&lt;25,"NA",IF(C10&lt;76,G9,"NA"))</f>
        <v>NA</v>
      </c>
      <c r="H10" s="20" t="str">
        <f>IF(C10&lt;25,"NA",IF(C10&lt;76,H9,"NA"))</f>
        <v>NA</v>
      </c>
      <c r="K10" s="21" t="s">
        <v>23</v>
      </c>
      <c r="L10" s="22"/>
      <c r="M10" s="22" t="s">
        <v>24</v>
      </c>
      <c r="N10" s="22" t="s">
        <v>25</v>
      </c>
      <c r="O10" s="22" t="s">
        <v>29</v>
      </c>
      <c r="P10" s="2"/>
      <c r="Q10" s="21" t="s">
        <v>23</v>
      </c>
      <c r="R10" s="23"/>
      <c r="S10" s="24" t="s">
        <v>24</v>
      </c>
      <c r="T10" s="24" t="s">
        <v>25</v>
      </c>
      <c r="U10" s="24" t="s">
        <v>29</v>
      </c>
    </row>
    <row r="11" spans="1:22" hidden="1" x14ac:dyDescent="0.25">
      <c r="A11" s="2"/>
      <c r="B11" s="254" t="s">
        <v>26</v>
      </c>
      <c r="C11" s="25">
        <f>B5</f>
        <v>130</v>
      </c>
      <c r="D11" s="25" t="s">
        <v>15</v>
      </c>
      <c r="E11" s="26">
        <f>J18+K18*C11+L18*(C11)^2+M18*(C11)^3</f>
        <v>10.784521459259999</v>
      </c>
      <c r="F11" s="26">
        <f>J19+K19*C11+L19*(C11)^2+M19*(C11)^3+N19*(C11)^4+O19*(C11)^5</f>
        <v>9.7182089647642158</v>
      </c>
      <c r="G11" s="26">
        <f>J20+K20*C11+L20*(C11)^2+M20*(C11)^3+N20*(C11)^4+O20*(C11)^5+P20*(C11)^6</f>
        <v>8.957334088856129</v>
      </c>
      <c r="H11" s="27">
        <f>J21+K21*C11+L21*(C11)^2+M21*(C11)^3+N21*(C11)^4+O21*(C11)^5</f>
        <v>7.4092260131499756</v>
      </c>
      <c r="K11" s="28">
        <v>50</v>
      </c>
      <c r="L11" s="29">
        <v>38.033086709999999</v>
      </c>
      <c r="M11" s="30">
        <v>-0.2605941973</v>
      </c>
      <c r="N11" s="31">
        <v>4.9277150149999998E-4</v>
      </c>
      <c r="P11" s="2"/>
      <c r="Q11" s="32">
        <v>12</v>
      </c>
      <c r="R11" s="33">
        <v>35.406075280000003</v>
      </c>
      <c r="S11" s="34">
        <v>-7.1986118880000005E-2</v>
      </c>
      <c r="T11" s="35">
        <v>2.3364568279999999E-4</v>
      </c>
      <c r="U11" s="35">
        <v>0</v>
      </c>
      <c r="V11" s="99"/>
    </row>
    <row r="12" spans="1:22" hidden="1" x14ac:dyDescent="0.25">
      <c r="A12" s="2"/>
      <c r="B12" s="255"/>
      <c r="C12" s="36">
        <f>C11</f>
        <v>130</v>
      </c>
      <c r="D12" s="36" t="s">
        <v>15</v>
      </c>
      <c r="E12" s="37" t="str">
        <f>IF(C12&lt;35,"NA",IF(C12&lt;=126,E11,"NA"))</f>
        <v>NA</v>
      </c>
      <c r="F12" s="37" t="str">
        <f>IF(C12&lt;35,"NA",IF(C12&lt;=126,F11,"NA"))</f>
        <v>NA</v>
      </c>
      <c r="G12" s="37" t="str">
        <f>IF(C12&lt;35,"NA",IF(C12&lt;=126,G11,"NA"))</f>
        <v>NA</v>
      </c>
      <c r="H12" s="38" t="str">
        <f>IF(C12&lt;35,"NA",IF(C12&lt;=126,H11,"NA"))</f>
        <v>NA</v>
      </c>
      <c r="K12" s="39">
        <v>100</v>
      </c>
      <c r="L12" s="40">
        <v>37.803024729999997</v>
      </c>
      <c r="M12" s="41">
        <v>-0.27287084909999998</v>
      </c>
      <c r="N12" s="42">
        <v>5.1196651839999999E-4</v>
      </c>
      <c r="P12" s="2"/>
      <c r="Q12" s="32">
        <v>50</v>
      </c>
      <c r="R12" s="33">
        <v>33.934800000000003</v>
      </c>
      <c r="S12" s="34">
        <v>-7.234071551E-2</v>
      </c>
      <c r="T12" s="35">
        <v>2.1144580809999999E-4</v>
      </c>
      <c r="U12" s="35">
        <v>0</v>
      </c>
    </row>
    <row r="13" spans="1:22" hidden="1" x14ac:dyDescent="0.25">
      <c r="A13" s="2"/>
      <c r="B13" s="256" t="s">
        <v>27</v>
      </c>
      <c r="C13" s="47">
        <f>B5</f>
        <v>130</v>
      </c>
      <c r="D13" s="47" t="s">
        <v>15</v>
      </c>
      <c r="E13" s="48">
        <f>L25+M25*C13+N25*(C13)^2+O25*(C13)^3</f>
        <v>9.3978000000000002</v>
      </c>
      <c r="F13" s="48">
        <f>L26+M26*$C13+N26*($C13)^2+O26*($C13)^3</f>
        <v>8.672279299999996</v>
      </c>
      <c r="G13" s="48">
        <f>L27+M27*C13+N27*(C13)^2+O27*(C13)^3</f>
        <v>7.4618299999999973</v>
      </c>
      <c r="H13" s="49">
        <f>L28+M28*C13+N28*(C13)^2+O28*(C13)^3</f>
        <v>5.3744000000000085</v>
      </c>
      <c r="K13" s="50">
        <v>400</v>
      </c>
      <c r="L13" s="51">
        <v>38.32356411</v>
      </c>
      <c r="M13" s="44">
        <v>-0.31898651680000001</v>
      </c>
      <c r="N13" s="52">
        <v>8.679531236E-4</v>
      </c>
      <c r="P13" s="2"/>
      <c r="Q13" s="43">
        <v>100</v>
      </c>
      <c r="R13" s="44">
        <v>33.978889160000001</v>
      </c>
      <c r="S13" s="45">
        <v>-8.7667032820000004E-2</v>
      </c>
      <c r="T13" s="46">
        <v>2.7418913529999998E-4</v>
      </c>
      <c r="U13" s="35">
        <v>0</v>
      </c>
    </row>
    <row r="14" spans="1:22" ht="13.5" hidden="1" customHeight="1" x14ac:dyDescent="0.25">
      <c r="A14" s="2"/>
      <c r="B14" s="257"/>
      <c r="C14" s="57">
        <f>C13</f>
        <v>130</v>
      </c>
      <c r="D14" s="57" t="s">
        <v>15</v>
      </c>
      <c r="E14" s="58">
        <f>L32+M32*$C14</f>
        <v>9.234</v>
      </c>
      <c r="F14" s="58">
        <f>L33+M33*$C14</f>
        <v>8.2598000000000003</v>
      </c>
      <c r="G14" s="58">
        <f>L34+M34*$C14</f>
        <v>6.835399999999999</v>
      </c>
      <c r="H14" s="59">
        <f>L35+M35*$C14</f>
        <v>5.2552000000000003</v>
      </c>
      <c r="K14" s="60">
        <v>700</v>
      </c>
      <c r="L14" s="61">
        <v>39.095295100000001</v>
      </c>
      <c r="M14" s="54">
        <v>-0.43707049380000002</v>
      </c>
      <c r="N14" s="62">
        <v>3.4175760939999999E-3</v>
      </c>
      <c r="O14" s="187">
        <v>-1.6198670650000001E-5</v>
      </c>
      <c r="P14" s="2"/>
      <c r="Q14" s="53">
        <v>400</v>
      </c>
      <c r="R14" s="54">
        <v>33.433427129999998</v>
      </c>
      <c r="S14" s="55">
        <v>-9.4975937659999995E-2</v>
      </c>
      <c r="T14" s="56">
        <v>1.5747615449999999E-4</v>
      </c>
      <c r="U14" s="35">
        <v>0</v>
      </c>
    </row>
    <row r="15" spans="1:22" hidden="1" x14ac:dyDescent="0.25">
      <c r="A15" s="2"/>
      <c r="B15" s="258"/>
      <c r="C15" s="63">
        <f>B5</f>
        <v>130</v>
      </c>
      <c r="D15" s="63" t="s">
        <v>15</v>
      </c>
      <c r="E15" s="64">
        <f>IF(C15&lt;45,"NA",IF(C15&lt;120,E13,IF(C15&lt;=300,E14,"NA")))</f>
        <v>9.234</v>
      </c>
      <c r="F15" s="64">
        <f>IF(C15&lt;45,"NA",IF(C15&lt;120,F13,IF(C15&lt;=300,F14,"NA")))</f>
        <v>8.2598000000000003</v>
      </c>
      <c r="G15" s="64">
        <f>IF(C15&lt;45,"NA",IF(C15&lt;120,G13,IF(C15&lt;=300,G14,"NA")))</f>
        <v>6.835399999999999</v>
      </c>
      <c r="H15" s="65">
        <f>IF(C15&lt;45,"NA",IF(C15&lt;120,H13,IF(C15&lt;=300,H14,"NA")))</f>
        <v>5.2552000000000003</v>
      </c>
      <c r="P15" s="2"/>
    </row>
    <row r="16" spans="1:22" ht="18.75" hidden="1" x14ac:dyDescent="0.3">
      <c r="A16" s="2"/>
      <c r="I16" s="66" t="s">
        <v>26</v>
      </c>
      <c r="J16" s="67" t="s">
        <v>20</v>
      </c>
      <c r="K16" s="67" t="s">
        <v>21</v>
      </c>
      <c r="L16" s="67" t="s">
        <v>22</v>
      </c>
      <c r="M16" s="67" t="s">
        <v>28</v>
      </c>
      <c r="N16" s="67" t="s">
        <v>28</v>
      </c>
      <c r="O16" s="67" t="s">
        <v>28</v>
      </c>
      <c r="P16" s="67" t="s">
        <v>28</v>
      </c>
      <c r="Q16" s="66" t="s">
        <v>26</v>
      </c>
      <c r="R16" s="68" t="s">
        <v>20</v>
      </c>
      <c r="S16" s="69" t="s">
        <v>21</v>
      </c>
      <c r="T16" s="69" t="s">
        <v>22</v>
      </c>
      <c r="U16" s="69" t="s">
        <v>28</v>
      </c>
    </row>
    <row r="17" spans="1:24" ht="19.5" hidden="1" x14ac:dyDescent="0.35">
      <c r="A17" s="2"/>
      <c r="B17" s="259" t="s">
        <v>18</v>
      </c>
      <c r="C17" s="260"/>
      <c r="D17" s="260"/>
      <c r="E17" s="260"/>
      <c r="F17" s="260"/>
      <c r="G17" s="260"/>
      <c r="H17" s="261"/>
      <c r="I17" s="70" t="s">
        <v>23</v>
      </c>
      <c r="J17" s="67"/>
      <c r="K17" s="67" t="s">
        <v>24</v>
      </c>
      <c r="L17" s="67" t="s">
        <v>25</v>
      </c>
      <c r="M17" s="67" t="s">
        <v>29</v>
      </c>
      <c r="N17" s="67" t="s">
        <v>65</v>
      </c>
      <c r="O17" s="67" t="s">
        <v>66</v>
      </c>
      <c r="P17" s="67" t="s">
        <v>91</v>
      </c>
      <c r="Q17" s="70" t="s">
        <v>23</v>
      </c>
      <c r="R17" s="68"/>
      <c r="S17" s="69" t="s">
        <v>24</v>
      </c>
      <c r="T17" s="69" t="s">
        <v>25</v>
      </c>
      <c r="U17" s="69" t="s">
        <v>29</v>
      </c>
    </row>
    <row r="18" spans="1:24" hidden="1" x14ac:dyDescent="0.25">
      <c r="A18" s="2"/>
      <c r="B18" s="262" t="s">
        <v>19</v>
      </c>
      <c r="C18" s="71">
        <f>B5</f>
        <v>130</v>
      </c>
      <c r="D18" s="72">
        <f>R11+S11*(C18)+T11*(C18)^2</f>
        <v>29.996491864920003</v>
      </c>
      <c r="E18" s="72">
        <f>R12+S12*(C18)+T12*(C18)^2</f>
        <v>28.103941140589999</v>
      </c>
      <c r="F18" s="72">
        <f>R13+S13*(C18)+T13*(C18)^2</f>
        <v>27.215971279969999</v>
      </c>
      <c r="G18" s="72">
        <f>R14+S14*(C18)+T14*(C18)^2+U14*(C18)^3</f>
        <v>23.74790224525</v>
      </c>
      <c r="H18" s="73" t="s">
        <v>15</v>
      </c>
      <c r="I18" s="28">
        <v>50</v>
      </c>
      <c r="J18" s="74">
        <v>32.008962449999999</v>
      </c>
      <c r="K18" s="75">
        <v>-5.1561604470000001E-2</v>
      </c>
      <c r="L18" s="75">
        <v>-3.096033389E-3</v>
      </c>
      <c r="M18" s="75">
        <v>1.7205977180000002E-5</v>
      </c>
      <c r="P18" s="2"/>
      <c r="Q18" s="32">
        <v>12</v>
      </c>
      <c r="R18" s="33">
        <v>35.621955309999997</v>
      </c>
      <c r="S18" s="34">
        <v>-7.6736341390000004E-2</v>
      </c>
      <c r="T18" s="35">
        <v>-7.0530895469999994E-5</v>
      </c>
      <c r="U18" s="186">
        <v>1.2535158759999999E-6</v>
      </c>
      <c r="V18" s="99"/>
    </row>
    <row r="19" spans="1:24" hidden="1" x14ac:dyDescent="0.25">
      <c r="A19" s="2"/>
      <c r="B19" s="253"/>
      <c r="C19" s="18">
        <f>C18</f>
        <v>130</v>
      </c>
      <c r="D19" s="19" t="str">
        <f>IF(C19&lt;25,"NA",IF(C19&lt;76,D18,"NA"))</f>
        <v>NA</v>
      </c>
      <c r="E19" s="19" t="str">
        <f>IF(C19&lt;25,"NA",IF(C19&lt;76,E18,"NA"))</f>
        <v>NA</v>
      </c>
      <c r="F19" s="19" t="str">
        <f>IF(C19&lt;25,"NA",IF(C19&lt;76,F18,"NA"))</f>
        <v>NA</v>
      </c>
      <c r="G19" s="19" t="str">
        <f>IF(C19&lt;25,"NA",IF(C19&lt;76,G18,"NA"))</f>
        <v>NA</v>
      </c>
      <c r="H19" s="20" t="s">
        <v>15</v>
      </c>
      <c r="I19" s="39">
        <v>100</v>
      </c>
      <c r="J19" s="76">
        <v>42.846793499999997</v>
      </c>
      <c r="K19" s="77">
        <v>-0.95247491269999995</v>
      </c>
      <c r="L19" s="77">
        <v>2.099823411E-2</v>
      </c>
      <c r="M19" s="77">
        <v>-2.9366059069999999E-4</v>
      </c>
      <c r="N19" s="92">
        <v>1.9564796509999998E-6</v>
      </c>
      <c r="O19" s="92">
        <v>-4.7885319059999996E-9</v>
      </c>
      <c r="P19" s="2"/>
      <c r="Q19" s="32">
        <v>50</v>
      </c>
      <c r="R19" s="33">
        <v>33.789955640000002</v>
      </c>
      <c r="S19" s="34">
        <v>-9.4482599269999995E-2</v>
      </c>
      <c r="T19" s="35">
        <v>2.0438564179999999E-4</v>
      </c>
    </row>
    <row r="20" spans="1:24" hidden="1" x14ac:dyDescent="0.25">
      <c r="A20" s="2"/>
      <c r="B20" s="254" t="s">
        <v>26</v>
      </c>
      <c r="C20" s="25">
        <f>B5</f>
        <v>130</v>
      </c>
      <c r="D20" s="26">
        <f>R18+S18*(C20)+T18*(C20)^2</f>
        <v>24.454258795856997</v>
      </c>
      <c r="E20" s="26">
        <f>R19+S19*(C20)+T19*(C20)^2</f>
        <v>24.961335081320001</v>
      </c>
      <c r="F20" s="26">
        <f>R20+S20*(C20)+T20*(C20)^2</f>
        <v>22.893573205199999</v>
      </c>
      <c r="G20" s="26">
        <f>R21+S21*(C20)+T21*(C20)^2</f>
        <v>19.868864482890004</v>
      </c>
      <c r="H20" s="27" t="s">
        <v>15</v>
      </c>
      <c r="I20" s="50">
        <v>400</v>
      </c>
      <c r="J20" s="188">
        <v>47.345950649999999</v>
      </c>
      <c r="K20" s="189">
        <v>-1.5287339520000001</v>
      </c>
      <c r="L20" s="189">
        <v>4.0686569999999998E-2</v>
      </c>
      <c r="M20" s="189">
        <v>-6.4303825950000001E-4</v>
      </c>
      <c r="N20" s="189">
        <v>5.3513928050000002E-6</v>
      </c>
      <c r="O20" s="189">
        <v>-2.158603094E-8</v>
      </c>
      <c r="P20" s="189">
        <v>3.2850220479999997E-11</v>
      </c>
      <c r="Q20" s="43">
        <v>100</v>
      </c>
      <c r="R20" s="44">
        <v>32.607030330000001</v>
      </c>
      <c r="S20" s="45">
        <v>-0.10782350340000001</v>
      </c>
      <c r="T20" s="78">
        <v>2.5465078799999998E-4</v>
      </c>
    </row>
    <row r="21" spans="1:24" hidden="1" x14ac:dyDescent="0.25">
      <c r="A21" s="2"/>
      <c r="B21" s="255"/>
      <c r="C21" s="36">
        <f>C20</f>
        <v>130</v>
      </c>
      <c r="D21" s="37" t="str">
        <f>IF(C21&lt;35,"NA",IF(C21&lt;=126,D20,"NA"))</f>
        <v>NA</v>
      </c>
      <c r="E21" s="37" t="str">
        <f>IF(C21&lt;35,"NA",IF(C21&lt;=126,E20,"NA"))</f>
        <v>NA</v>
      </c>
      <c r="F21" s="37" t="str">
        <f>IF(C21&lt;35,"NA",IF(C21&lt;=126,F20,"NA"))</f>
        <v>NA</v>
      </c>
      <c r="G21" s="37" t="str">
        <f>IF(C21&lt;35,"NA",IF(C21&lt;=126,G20,"NA"))</f>
        <v>NA</v>
      </c>
      <c r="H21" s="38" t="s">
        <v>15</v>
      </c>
      <c r="I21" s="60">
        <v>700</v>
      </c>
      <c r="J21" s="80">
        <v>38.358431019999998</v>
      </c>
      <c r="K21" s="81">
        <v>-0.95417449909999996</v>
      </c>
      <c r="L21" s="81">
        <v>1.9693885059999999E-2</v>
      </c>
      <c r="M21" s="81">
        <v>-2.6045865530000001E-4</v>
      </c>
      <c r="N21" s="92">
        <v>1.7128802039999999E-6</v>
      </c>
      <c r="O21" s="92">
        <v>-4.2209583000000002E-9</v>
      </c>
      <c r="P21" s="2"/>
      <c r="Q21" s="53">
        <v>400</v>
      </c>
      <c r="R21" s="54">
        <v>31.80820121</v>
      </c>
      <c r="S21" s="55">
        <v>-0.14648675559999999</v>
      </c>
      <c r="T21" s="79">
        <v>4.203515681E-4</v>
      </c>
    </row>
    <row r="22" spans="1:24" hidden="1" x14ac:dyDescent="0.25">
      <c r="A22" s="2"/>
      <c r="B22" s="256" t="s">
        <v>27</v>
      </c>
      <c r="C22" s="57">
        <f>B5</f>
        <v>130</v>
      </c>
      <c r="D22" s="58">
        <f>R25+S25*(C22)+T25*(C22)^2+U25*(C22)^3+V25*(C22)^4+W25*(C22)^5</f>
        <v>24.048842250271402</v>
      </c>
      <c r="E22" s="58">
        <f>R26+S26*(C22)+T26*(C22)^2+U26*(C22)^3+V26*(C22)^4+W26*(C22)^5</f>
        <v>21.383451009607132</v>
      </c>
      <c r="F22" s="58">
        <f>R27+S27*(C22)+T27*(C22)^2+U27*(C22)^3+V27*(C22)^4+W27*(C22)^5</f>
        <v>18.517746530700457</v>
      </c>
      <c r="G22" s="58">
        <f>R28+S28*(C22)+T28*(C22)^2+U28*(C22)^3+V28*(C22)^4+W28*(C22)^5</f>
        <v>15.228854488580749</v>
      </c>
      <c r="H22" s="59" t="s">
        <v>15</v>
      </c>
      <c r="K22" s="82" t="s">
        <v>30</v>
      </c>
      <c r="L22" s="83"/>
      <c r="M22" s="83"/>
      <c r="N22" s="83"/>
      <c r="O22" s="83"/>
      <c r="P22" s="2"/>
    </row>
    <row r="23" spans="1:24" ht="18.75" hidden="1" x14ac:dyDescent="0.3">
      <c r="A23" s="2"/>
      <c r="B23" s="258"/>
      <c r="C23" s="63">
        <f>C22</f>
        <v>130</v>
      </c>
      <c r="D23" s="64">
        <f>IF(C23&lt;45,"NA",IF(C23&lt;=300,D22,"NA"))</f>
        <v>24.048842250271402</v>
      </c>
      <c r="E23" s="64">
        <f>IF(C23&lt;45,"NA",IF(C23&lt;=300,E22,"NA"))</f>
        <v>21.383451009607132</v>
      </c>
      <c r="F23" s="64">
        <f>IF(C23&lt;45,"NA",IF(C23&lt;=300,F22,"NA"))</f>
        <v>18.517746530700457</v>
      </c>
      <c r="G23" s="64">
        <f>IF(C23&lt;45,"NA",IF(C23&lt;=300,G22,"NA"))</f>
        <v>15.228854488580749</v>
      </c>
      <c r="H23" s="65" t="s">
        <v>15</v>
      </c>
      <c r="K23" s="84" t="s">
        <v>27</v>
      </c>
      <c r="L23" s="85" t="s">
        <v>20</v>
      </c>
      <c r="M23" s="85" t="s">
        <v>21</v>
      </c>
      <c r="N23" s="85" t="s">
        <v>22</v>
      </c>
      <c r="O23" s="85" t="s">
        <v>28</v>
      </c>
      <c r="P23" s="2"/>
      <c r="Q23" s="84" t="s">
        <v>27</v>
      </c>
      <c r="R23" s="86" t="s">
        <v>20</v>
      </c>
      <c r="S23" s="87" t="s">
        <v>21</v>
      </c>
      <c r="T23" s="87" t="s">
        <v>22</v>
      </c>
      <c r="U23" s="87" t="s">
        <v>28</v>
      </c>
      <c r="V23" s="87" t="s">
        <v>67</v>
      </c>
      <c r="W23" s="87" t="s">
        <v>68</v>
      </c>
    </row>
    <row r="24" spans="1:24" ht="18.75" hidden="1" x14ac:dyDescent="0.35">
      <c r="A24" s="2"/>
      <c r="K24" s="88" t="s">
        <v>23</v>
      </c>
      <c r="L24" s="85"/>
      <c r="M24" s="85" t="s">
        <v>24</v>
      </c>
      <c r="N24" s="85" t="s">
        <v>25</v>
      </c>
      <c r="O24" s="85" t="s">
        <v>29</v>
      </c>
      <c r="P24" s="2"/>
      <c r="Q24" s="88" t="s">
        <v>23</v>
      </c>
      <c r="R24" s="86"/>
      <c r="S24" s="87" t="s">
        <v>24</v>
      </c>
      <c r="T24" s="87" t="s">
        <v>25</v>
      </c>
      <c r="U24" s="87" t="s">
        <v>29</v>
      </c>
      <c r="V24" s="87" t="s">
        <v>65</v>
      </c>
      <c r="W24" s="87" t="s">
        <v>66</v>
      </c>
    </row>
    <row r="25" spans="1:24" ht="17.25" hidden="1" customHeight="1" x14ac:dyDescent="0.25">
      <c r="A25" s="2"/>
      <c r="K25" s="89">
        <v>50</v>
      </c>
      <c r="L25" s="90">
        <v>33.44</v>
      </c>
      <c r="M25" s="91">
        <v>-0.31</v>
      </c>
      <c r="N25" s="92">
        <v>3.8999999999999999E-4</v>
      </c>
      <c r="O25" s="93">
        <v>4.4000000000000002E-6</v>
      </c>
      <c r="P25" s="2"/>
      <c r="Q25" s="94">
        <v>12</v>
      </c>
      <c r="R25" s="95">
        <v>35.642353880000002</v>
      </c>
      <c r="S25" s="34">
        <v>-0.11425207749999999</v>
      </c>
      <c r="T25" s="35">
        <v>2.238184592E-4</v>
      </c>
      <c r="U25" s="96">
        <v>-2.381763838E-7</v>
      </c>
      <c r="V25" s="96">
        <v>0</v>
      </c>
      <c r="W25" s="96">
        <v>0</v>
      </c>
      <c r="X25" s="90"/>
    </row>
    <row r="26" spans="1:24" hidden="1" x14ac:dyDescent="0.25">
      <c r="A26" s="2"/>
      <c r="C26" s="267" t="s">
        <v>83</v>
      </c>
      <c r="D26" s="268"/>
      <c r="E26" s="268"/>
      <c r="G26" s="267" t="s">
        <v>82</v>
      </c>
      <c r="H26" s="268"/>
      <c r="I26" s="268"/>
      <c r="K26" s="89">
        <v>100</v>
      </c>
      <c r="L26" s="90">
        <v>30.65</v>
      </c>
      <c r="M26" s="91">
        <v>-0.25040000000000001</v>
      </c>
      <c r="N26" s="92">
        <v>-4.2053000000000001E-4</v>
      </c>
      <c r="O26" s="93">
        <v>8.0478999999999996E-6</v>
      </c>
      <c r="P26" s="2"/>
      <c r="Q26" s="94">
        <v>50</v>
      </c>
      <c r="R26" s="95">
        <v>34.759863250000002</v>
      </c>
      <c r="S26" s="34">
        <v>-0.24065530630000001</v>
      </c>
      <c r="T26" s="35">
        <v>2.0315981500000002E-3</v>
      </c>
      <c r="U26" s="96">
        <v>-1.0439104369999999E-5</v>
      </c>
      <c r="V26" s="96">
        <v>2.6104614510000001E-8</v>
      </c>
      <c r="W26" s="96">
        <v>-2.5485473889999999E-11</v>
      </c>
    </row>
    <row r="27" spans="1:24" hidden="1" x14ac:dyDescent="0.25">
      <c r="A27" s="2"/>
      <c r="D27" s="7" t="s">
        <v>33</v>
      </c>
      <c r="E27" s="7" t="s">
        <v>34</v>
      </c>
      <c r="H27" s="7" t="s">
        <v>33</v>
      </c>
      <c r="I27" s="7" t="s">
        <v>34</v>
      </c>
      <c r="K27" s="89">
        <v>400</v>
      </c>
      <c r="L27" s="90">
        <v>29.42</v>
      </c>
      <c r="M27" s="91">
        <v>-0.26650000000000001</v>
      </c>
      <c r="N27" s="92">
        <v>-3.4000000000000002E-4</v>
      </c>
      <c r="O27" s="93">
        <v>8.3899999999999993E-6</v>
      </c>
      <c r="P27" s="2"/>
      <c r="Q27" s="94">
        <v>100</v>
      </c>
      <c r="R27" s="51">
        <v>32.96766865</v>
      </c>
      <c r="S27" s="45">
        <v>-0.25454966759999997</v>
      </c>
      <c r="T27" s="78">
        <v>1.7867971039999999E-3</v>
      </c>
      <c r="U27" s="97">
        <v>-6.3067128199999996E-6</v>
      </c>
      <c r="V27" s="97">
        <v>8.0547308450000003E-9</v>
      </c>
      <c r="W27" s="97">
        <v>0</v>
      </c>
    </row>
    <row r="28" spans="1:24" hidden="1" x14ac:dyDescent="0.25">
      <c r="A28" s="2"/>
      <c r="C28" s="7" t="s">
        <v>79</v>
      </c>
      <c r="D28" s="7" t="str">
        <f>IF(B5&lt;25,"NA",IF(B5&lt;76,(2.2*B5^(-0.393)),"NA"))</f>
        <v>NA</v>
      </c>
      <c r="E28" s="7" t="str">
        <f>IF(B5&lt;25,"NA",IF(B5&lt;76,(1.31*B5^(-0.0842)),"NA"))</f>
        <v>NA</v>
      </c>
      <c r="G28" s="7" t="s">
        <v>79</v>
      </c>
      <c r="H28" s="7" t="str">
        <f>IF(B5&lt;25,"NA",IF(B5&lt;76,(0.864343*B5^(-0.10357015)),"NA"))</f>
        <v>NA</v>
      </c>
      <c r="I28" s="7" t="str">
        <f>IF(B5&lt;25,"NA",IF(B5&lt;76,(1.0957355*B5^(-0.0338365698)),"NA"))</f>
        <v>NA</v>
      </c>
      <c r="K28" s="89">
        <v>700</v>
      </c>
      <c r="L28" s="90">
        <v>40.49</v>
      </c>
      <c r="M28" s="91">
        <v>-0.8</v>
      </c>
      <c r="N28" s="92">
        <v>6.0000000000000001E-3</v>
      </c>
      <c r="O28" s="93">
        <v>-1.4800000000000001E-5</v>
      </c>
      <c r="P28" s="2"/>
      <c r="Q28" s="94">
        <v>400</v>
      </c>
      <c r="R28" s="61">
        <v>32.01931476</v>
      </c>
      <c r="S28" s="55">
        <v>-0.29080876979999998</v>
      </c>
      <c r="T28" s="79">
        <v>1.9356442050000001E-3</v>
      </c>
      <c r="U28" s="98">
        <v>-6.30856158E-6</v>
      </c>
      <c r="V28" s="98">
        <v>7.5704720750000005E-9</v>
      </c>
      <c r="W28" s="98">
        <v>0</v>
      </c>
    </row>
    <row r="29" spans="1:24" hidden="1" x14ac:dyDescent="0.25">
      <c r="A29" s="2"/>
      <c r="C29" s="7" t="s">
        <v>80</v>
      </c>
      <c r="D29" s="7" t="str">
        <f>IF(B5&lt;35,"NA",IF(B5&lt;126,(8.83*B5^(-0.795)),"NA"))</f>
        <v>NA</v>
      </c>
      <c r="E29" s="7" t="str">
        <f>IF(B5&lt;35,"NA",IF(B5&lt;126,(1.07*B5^(-0.0452)),"NA"))</f>
        <v>NA</v>
      </c>
      <c r="G29" s="7" t="s">
        <v>80</v>
      </c>
      <c r="H29" s="7" t="str">
        <f>IF(B5&lt;35,"NA",IF(B5&lt;126,(-0.075+0.91*B5^(-0.12)),"NA"))</f>
        <v>NA</v>
      </c>
      <c r="I29" s="7" t="str">
        <f>IF(B5&lt;35,"NA",IF(B5&lt;126,(1.109514*B5^(-0.04726674)),"NA"))</f>
        <v>NA</v>
      </c>
      <c r="K29" s="82" t="s">
        <v>31</v>
      </c>
      <c r="L29" s="83"/>
      <c r="M29" s="83"/>
      <c r="P29" s="2"/>
      <c r="R29" s="107"/>
    </row>
    <row r="30" spans="1:24" ht="18.75" hidden="1" x14ac:dyDescent="0.3">
      <c r="A30" s="2"/>
      <c r="C30" s="7" t="s">
        <v>81</v>
      </c>
      <c r="D30" s="7">
        <f>IF(B5&lt;45,"NA",IF(B5&lt;301,(5.23*B5^(-0.729)),"NA"))</f>
        <v>0.15046551815319389</v>
      </c>
      <c r="E30" s="7">
        <f>IF(B5&lt;45,"NA",IF(B5&lt;301,(1.257-0.00938*B5+0.0000574*B5^2-0.0000000991*B5^3),"NA"))</f>
        <v>0.78993730000000006</v>
      </c>
      <c r="G30" s="7" t="s">
        <v>81</v>
      </c>
      <c r="H30" s="7">
        <f>IF(B5&lt;45,"NA",IF(B5&lt;301,(-0.064+2.37*B5^(-0.376)),"NA"))</f>
        <v>0.31610680566121946</v>
      </c>
      <c r="I30" s="7">
        <f>IF(B5&lt;45,"NA",IF(B5&lt;301,(0.9928997224-0.00184977*B5+0.0000050692391*B5^2),"NA"))</f>
        <v>0.83809976319000001</v>
      </c>
      <c r="K30" s="84" t="s">
        <v>27</v>
      </c>
      <c r="L30" s="85" t="s">
        <v>20</v>
      </c>
      <c r="M30" s="85" t="s">
        <v>21</v>
      </c>
      <c r="P30" s="2"/>
    </row>
    <row r="31" spans="1:24" hidden="1" x14ac:dyDescent="0.25">
      <c r="A31" s="2"/>
      <c r="K31" s="89"/>
      <c r="L31" s="85"/>
      <c r="M31" s="85" t="s">
        <v>24</v>
      </c>
      <c r="P31" s="2"/>
    </row>
    <row r="32" spans="1:24" hidden="1" x14ac:dyDescent="0.25">
      <c r="A32" s="2"/>
      <c r="K32" s="89">
        <v>50</v>
      </c>
      <c r="L32" s="99">
        <v>12.029</v>
      </c>
      <c r="M32" s="93">
        <v>-2.1499999999999998E-2</v>
      </c>
      <c r="P32" s="2"/>
    </row>
    <row r="33" spans="1:23" hidden="1" x14ac:dyDescent="0.25">
      <c r="A33" s="2"/>
      <c r="K33" s="89">
        <v>100</v>
      </c>
      <c r="L33" s="99">
        <v>10.6388</v>
      </c>
      <c r="M33" s="93">
        <v>-1.83E-2</v>
      </c>
      <c r="P33" s="2"/>
    </row>
    <row r="34" spans="1:23" hidden="1" x14ac:dyDescent="0.25">
      <c r="A34" s="2"/>
      <c r="K34" s="89">
        <v>400</v>
      </c>
      <c r="L34" s="99">
        <v>8.3173999999999992</v>
      </c>
      <c r="M34" s="93">
        <v>-1.14E-2</v>
      </c>
      <c r="P34" s="2"/>
    </row>
    <row r="35" spans="1:23" hidden="1" x14ac:dyDescent="0.25">
      <c r="A35" s="2"/>
      <c r="K35" s="89">
        <v>700</v>
      </c>
      <c r="L35" s="99">
        <v>5.9702000000000002</v>
      </c>
      <c r="M35" s="93">
        <v>-5.4999999999999997E-3</v>
      </c>
      <c r="P35" s="2"/>
    </row>
    <row r="36" spans="1:23" hidden="1" x14ac:dyDescent="0.25">
      <c r="A36" s="2"/>
      <c r="K36" s="150"/>
      <c r="L36" s="99"/>
      <c r="M36" s="93"/>
      <c r="P36" s="2"/>
    </row>
    <row r="37" spans="1:23" hidden="1" x14ac:dyDescent="0.25">
      <c r="A37" s="2"/>
      <c r="B37" s="265" t="s">
        <v>71</v>
      </c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</row>
    <row r="38" spans="1:23" ht="21" hidden="1" x14ac:dyDescent="0.35">
      <c r="A38" s="2"/>
      <c r="B38" s="8"/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P38" s="2"/>
      <c r="Q38" s="9"/>
    </row>
    <row r="39" spans="1:23" ht="18.75" hidden="1" x14ac:dyDescent="0.3">
      <c r="A39" s="2"/>
      <c r="B39" s="218" t="s">
        <v>17</v>
      </c>
      <c r="C39" s="219"/>
      <c r="D39" s="219"/>
      <c r="E39" s="219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</row>
    <row r="40" spans="1:23" hidden="1" x14ac:dyDescent="0.25">
      <c r="A40" s="2"/>
      <c r="B40" s="217"/>
      <c r="C40" s="224" t="s">
        <v>76</v>
      </c>
      <c r="D40" s="225"/>
      <c r="E40" s="225"/>
      <c r="F40" s="226"/>
      <c r="G40" s="227" t="s">
        <v>77</v>
      </c>
      <c r="H40" s="228"/>
      <c r="I40" s="228"/>
      <c r="J40" s="229"/>
      <c r="K40" s="230"/>
      <c r="L40" s="231"/>
      <c r="M40" s="231"/>
      <c r="N40" s="232"/>
      <c r="O40" s="233"/>
      <c r="P40" s="234"/>
      <c r="Q40" s="234"/>
      <c r="R40" s="235"/>
      <c r="S40" s="155" t="s">
        <v>72</v>
      </c>
      <c r="T40" s="155" t="s">
        <v>73</v>
      </c>
      <c r="U40" s="155" t="s">
        <v>74</v>
      </c>
      <c r="V40" s="155" t="s">
        <v>75</v>
      </c>
    </row>
    <row r="41" spans="1:23" hidden="1" x14ac:dyDescent="0.25">
      <c r="A41" s="2"/>
      <c r="B41" s="217"/>
      <c r="C41" s="153">
        <v>50</v>
      </c>
      <c r="D41" s="153">
        <v>100</v>
      </c>
      <c r="E41" s="153">
        <v>400</v>
      </c>
      <c r="F41" s="154">
        <v>700</v>
      </c>
      <c r="G41" s="163">
        <f>L5</f>
        <v>8.1286847691542672</v>
      </c>
      <c r="H41" s="163">
        <f t="shared" ref="H41:J41" si="2">M5</f>
        <v>14.51677419125415</v>
      </c>
      <c r="I41" s="163">
        <f t="shared" si="2"/>
        <v>47.947783418790294</v>
      </c>
      <c r="J41" s="163">
        <f t="shared" si="2"/>
        <v>64.385031085517838</v>
      </c>
      <c r="K41" s="151">
        <f>LOG(G41/101)</f>
        <v>-1.0943010918671052</v>
      </c>
      <c r="L41" s="151">
        <f>LOG(H41/101)</f>
        <v>-0.84245125236215435</v>
      </c>
      <c r="M41" s="151">
        <f>LOG(I41/101)</f>
        <v>-0.32355283883985808</v>
      </c>
      <c r="N41" s="151">
        <f>LOG(J41/101)</f>
        <v>-0.19553646407193245</v>
      </c>
      <c r="O41" s="164">
        <f>LOG(C41/101)</f>
        <v>-0.30535136944662378</v>
      </c>
      <c r="P41" s="164">
        <f>LOG(D41/101)</f>
        <v>-4.3213737826425782E-3</v>
      </c>
      <c r="Q41" s="164">
        <f>LOG(E41/101)</f>
        <v>0.59773861754531976</v>
      </c>
      <c r="R41" s="164">
        <f>LOG(F41/101)</f>
        <v>0.84077666623161429</v>
      </c>
      <c r="S41" s="152">
        <f>AVERAGE(O41:R41)</f>
        <v>0.28221063513691691</v>
      </c>
      <c r="T41" s="152">
        <f>AVERAGE(K41:N41)</f>
        <v>-0.61396041178526262</v>
      </c>
      <c r="U41" s="152">
        <f>((O41-S41)*(K41-T41)+(P41-S41)*(L41-T41)+(Q41-S41)*(M41-T41)+(R41-S41)*(N41-T41))/((O41-S41)^2+(P41-S41)^2+(Q41-S41)^2+(R41-S41)^2)</f>
        <v>0.802315095490297</v>
      </c>
      <c r="V41" s="152">
        <f>10^(T41-(U41*S41))</f>
        <v>0.14441680595433581</v>
      </c>
    </row>
    <row r="42" spans="1:23" s="156" customFormat="1" ht="18.75" hidden="1" x14ac:dyDescent="0.3">
      <c r="B42" s="157"/>
      <c r="C42" s="157"/>
      <c r="D42" s="157"/>
      <c r="E42" s="157"/>
      <c r="F42" s="157"/>
      <c r="G42" s="158"/>
      <c r="J42" s="159"/>
      <c r="K42" s="160"/>
      <c r="O42" s="161"/>
      <c r="P42" s="162"/>
    </row>
    <row r="43" spans="1:23" ht="18.75" hidden="1" x14ac:dyDescent="0.3">
      <c r="A43" s="2"/>
      <c r="B43" s="221" t="s">
        <v>18</v>
      </c>
      <c r="C43" s="222"/>
      <c r="D43" s="222"/>
      <c r="E43" s="222"/>
      <c r="F43" s="223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</row>
    <row r="44" spans="1:23" hidden="1" x14ac:dyDescent="0.25">
      <c r="A44" s="2"/>
      <c r="B44" s="217"/>
      <c r="C44" s="224" t="s">
        <v>76</v>
      </c>
      <c r="D44" s="225"/>
      <c r="E44" s="225"/>
      <c r="F44" s="226"/>
      <c r="G44" s="227" t="s">
        <v>78</v>
      </c>
      <c r="H44" s="228"/>
      <c r="I44" s="228"/>
      <c r="J44" s="229"/>
      <c r="K44" s="230"/>
      <c r="L44" s="231"/>
      <c r="M44" s="231"/>
      <c r="N44" s="232"/>
      <c r="O44" s="233"/>
      <c r="P44" s="234"/>
      <c r="Q44" s="234"/>
      <c r="R44" s="235"/>
      <c r="S44" s="155" t="s">
        <v>72</v>
      </c>
      <c r="T44" s="155" t="s">
        <v>73</v>
      </c>
      <c r="U44" s="155" t="s">
        <v>74</v>
      </c>
      <c r="V44" s="155" t="s">
        <v>75</v>
      </c>
    </row>
    <row r="45" spans="1:23" hidden="1" x14ac:dyDescent="0.25">
      <c r="A45" s="2"/>
      <c r="B45" s="217"/>
      <c r="C45" s="153">
        <v>12</v>
      </c>
      <c r="D45" s="153">
        <v>50</v>
      </c>
      <c r="E45" s="153">
        <v>100</v>
      </c>
      <c r="F45" s="154">
        <v>400</v>
      </c>
      <c r="G45" s="163">
        <f>K6</f>
        <v>5.3550061562098445</v>
      </c>
      <c r="H45" s="163">
        <f t="shared" ref="H45:J45" si="3">L6</f>
        <v>19.578127907494618</v>
      </c>
      <c r="I45" s="163">
        <f t="shared" si="3"/>
        <v>33.493976672639818</v>
      </c>
      <c r="J45" s="163">
        <f t="shared" si="3"/>
        <v>108.89393663647195</v>
      </c>
      <c r="K45" s="151">
        <f>LOG(G45/101)</f>
        <v>-1.2755613993418591</v>
      </c>
      <c r="L45" s="151">
        <f>LOG(H45/101)</f>
        <v>-0.71255021227648063</v>
      </c>
      <c r="M45" s="151">
        <f>LOG(I45/101)</f>
        <v>-0.47935466026919138</v>
      </c>
      <c r="N45" s="151">
        <f>LOG(J45/101)</f>
        <v>3.2682324534811791E-2</v>
      </c>
      <c r="O45" s="164">
        <f>LOG(C45/101)</f>
        <v>-0.92514012773501775</v>
      </c>
      <c r="P45" s="164">
        <f>LOG(D45/101)</f>
        <v>-0.30535136944662378</v>
      </c>
      <c r="Q45" s="164">
        <f>LOG(E45/101)</f>
        <v>-4.3213737826425782E-3</v>
      </c>
      <c r="R45" s="164">
        <f>LOG(F45/101)</f>
        <v>0.59773861754531976</v>
      </c>
      <c r="S45" s="152">
        <f>AVERAGE(O45:R45)</f>
        <v>-0.15926856335474107</v>
      </c>
      <c r="T45" s="152">
        <f>AVERAGE(K45:N45)</f>
        <v>-0.60869598683817983</v>
      </c>
      <c r="U45" s="152">
        <f>((O45-S45)*(K45-T45)+(P45-S45)*(L45-T45)+(Q45-S45)*(M45-T45)+(R45-S45)*(N45-T45))/((O45-S45)^2+(P45-S45)^2+(Q45-S45)^2+(R45-S45)^2)</f>
        <v>0.85601749152787565</v>
      </c>
      <c r="V45" s="152">
        <f>10^(T45-(U45*S45))</f>
        <v>0.33700837157019958</v>
      </c>
    </row>
    <row r="46" spans="1:23" hidden="1" x14ac:dyDescent="0.25">
      <c r="A46" s="2"/>
      <c r="P46" s="2"/>
    </row>
    <row r="47" spans="1:23" ht="18" customHeight="1" thickBo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63"/>
      <c r="L47" s="264"/>
      <c r="M47" s="264"/>
      <c r="N47" s="264"/>
      <c r="O47" s="264"/>
      <c r="P47" s="100"/>
      <c r="Q47" s="100"/>
      <c r="R47" s="100"/>
      <c r="S47" s="100"/>
      <c r="T47" s="100"/>
      <c r="U47" s="100"/>
    </row>
    <row r="48" spans="1:23" ht="18.9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09" t="s">
        <v>87</v>
      </c>
      <c r="L48" s="210"/>
      <c r="M48" s="210"/>
      <c r="N48" s="211"/>
      <c r="O48" s="209" t="s">
        <v>88</v>
      </c>
      <c r="P48" s="210"/>
      <c r="Q48" s="210"/>
      <c r="R48" s="215"/>
      <c r="S48" s="2"/>
      <c r="T48" s="2"/>
      <c r="U48" s="2"/>
    </row>
    <row r="49" spans="1:21" ht="18.95" customHeight="1" thickBo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12"/>
      <c r="L49" s="213"/>
      <c r="M49" s="213"/>
      <c r="N49" s="214"/>
      <c r="O49" s="212"/>
      <c r="P49" s="213"/>
      <c r="Q49" s="213"/>
      <c r="R49" s="216"/>
      <c r="S49" s="2"/>
      <c r="T49" s="2"/>
      <c r="U49" s="2"/>
    </row>
    <row r="50" spans="1:21" ht="18.9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46" t="s">
        <v>32</v>
      </c>
      <c r="L50" s="247"/>
      <c r="M50" s="165"/>
      <c r="N50" s="177"/>
      <c r="O50" s="246" t="s">
        <v>32</v>
      </c>
      <c r="P50" s="247"/>
      <c r="Q50" s="165"/>
      <c r="R50" s="166"/>
      <c r="S50" s="2"/>
      <c r="T50" s="2"/>
      <c r="U50" s="2"/>
    </row>
    <row r="51" spans="1:21" ht="18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167" t="s">
        <v>33</v>
      </c>
      <c r="L51" s="101" t="s">
        <v>34</v>
      </c>
      <c r="M51" s="168"/>
      <c r="N51" s="177"/>
      <c r="O51" s="167" t="s">
        <v>33</v>
      </c>
      <c r="P51" s="101" t="s">
        <v>34</v>
      </c>
      <c r="Q51" s="168"/>
      <c r="R51" s="166"/>
      <c r="S51" s="269" t="s">
        <v>90</v>
      </c>
      <c r="T51" s="270"/>
      <c r="U51" s="270"/>
    </row>
    <row r="52" spans="1:21" ht="20.100000000000001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169">
        <f>V45</f>
        <v>0.33700837157019958</v>
      </c>
      <c r="L52" s="102">
        <f>U45</f>
        <v>0.85601749152787565</v>
      </c>
      <c r="M52" s="168"/>
      <c r="N52" s="105"/>
      <c r="O52" s="169">
        <f>V41</f>
        <v>0.14441680595433581</v>
      </c>
      <c r="P52" s="102">
        <f>U41</f>
        <v>0.802315095490297</v>
      </c>
      <c r="Q52" s="168"/>
      <c r="R52" s="181"/>
      <c r="S52" s="270"/>
      <c r="T52" s="270"/>
      <c r="U52" s="270"/>
    </row>
    <row r="53" spans="1:21" ht="18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170" t="s">
        <v>35</v>
      </c>
      <c r="L53" s="103" t="s">
        <v>36</v>
      </c>
      <c r="M53" s="104" t="s">
        <v>37</v>
      </c>
      <c r="N53" s="178" t="s">
        <v>84</v>
      </c>
      <c r="O53" s="170" t="s">
        <v>35</v>
      </c>
      <c r="P53" s="103" t="s">
        <v>36</v>
      </c>
      <c r="Q53" s="104" t="s">
        <v>37</v>
      </c>
      <c r="R53" s="171" t="s">
        <v>84</v>
      </c>
      <c r="S53" s="270"/>
      <c r="T53" s="270"/>
      <c r="U53" s="270"/>
    </row>
    <row r="54" spans="1:21" ht="2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172">
        <v>0</v>
      </c>
      <c r="L54" s="107">
        <v>0</v>
      </c>
      <c r="M54" s="107">
        <v>0</v>
      </c>
      <c r="N54" s="179">
        <f>L54*20.89</f>
        <v>0</v>
      </c>
      <c r="O54" s="172">
        <v>0</v>
      </c>
      <c r="P54" s="107">
        <v>0</v>
      </c>
      <c r="Q54" s="107">
        <v>0</v>
      </c>
      <c r="R54" s="173">
        <f>P54*20.89</f>
        <v>0</v>
      </c>
      <c r="S54" s="270"/>
      <c r="T54" s="270"/>
      <c r="U54" s="270"/>
    </row>
    <row r="55" spans="1:21" ht="20.100000000000001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172">
        <v>5</v>
      </c>
      <c r="L55" s="107">
        <f>$K$52*101*(K55/101)^$L$52</f>
        <v>2.5975173565859886</v>
      </c>
      <c r="M55" s="107">
        <f t="shared" ref="M55:M62" si="4">DEGREES(ATAN(L55/K55))</f>
        <v>27.45203334258262</v>
      </c>
      <c r="N55" s="179">
        <f t="shared" ref="N55:N62" si="5">L55*20.89</f>
        <v>54.262137579081305</v>
      </c>
      <c r="O55" s="172">
        <v>5</v>
      </c>
      <c r="P55" s="107">
        <f>O$52*101*(O55/101)^P$52</f>
        <v>1.3080851057841345</v>
      </c>
      <c r="Q55" s="107">
        <f t="shared" ref="Q55:Q63" si="6">DEGREES(ATAN(P55/O55))</f>
        <v>14.660963992991586</v>
      </c>
      <c r="R55" s="173">
        <f t="shared" ref="R55:R63" si="7">P55*20.89</f>
        <v>27.325897859830569</v>
      </c>
      <c r="S55" s="270"/>
      <c r="T55" s="270"/>
      <c r="U55" s="270"/>
    </row>
    <row r="56" spans="1:21" ht="20.100000000000001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172">
        <v>10</v>
      </c>
      <c r="L56" s="107">
        <f>$K$52*101*(K56/101)^$L$52</f>
        <v>4.7015969930935757</v>
      </c>
      <c r="M56" s="107">
        <f t="shared" si="4"/>
        <v>25.181018614028677</v>
      </c>
      <c r="N56" s="179">
        <f t="shared" si="5"/>
        <v>98.216361185724793</v>
      </c>
      <c r="O56" s="172">
        <v>10</v>
      </c>
      <c r="P56" s="107">
        <f t="shared" ref="P56:P63" si="8">O$52*101*(O56/101)^P$52</f>
        <v>2.2811661074643736</v>
      </c>
      <c r="Q56" s="107">
        <f t="shared" si="6"/>
        <v>12.850233832005502</v>
      </c>
      <c r="R56" s="173">
        <f t="shared" si="7"/>
        <v>47.653559984930766</v>
      </c>
      <c r="S56" s="270"/>
      <c r="T56" s="270"/>
      <c r="U56" s="270"/>
    </row>
    <row r="57" spans="1:21" ht="20.100000000000001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172">
        <v>25</v>
      </c>
      <c r="L57" s="107">
        <f t="shared" ref="L57:L62" si="9">$K$52*101*(K57/101)^$L$52</f>
        <v>10.301228197223415</v>
      </c>
      <c r="M57" s="107">
        <f t="shared" si="4"/>
        <v>22.394067373077313</v>
      </c>
      <c r="N57" s="179">
        <f t="shared" si="5"/>
        <v>215.19265703999713</v>
      </c>
      <c r="O57" s="172">
        <v>25</v>
      </c>
      <c r="P57" s="107">
        <f t="shared" si="8"/>
        <v>4.7580629821677043</v>
      </c>
      <c r="Q57" s="107">
        <f t="shared" si="6"/>
        <v>10.775801178240368</v>
      </c>
      <c r="R57" s="173">
        <f t="shared" si="7"/>
        <v>99.395935697483338</v>
      </c>
      <c r="S57" s="270"/>
      <c r="T57" s="270"/>
      <c r="U57" s="270"/>
    </row>
    <row r="58" spans="1:21" ht="20.100000000000001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172">
        <v>50</v>
      </c>
      <c r="L58" s="107">
        <f t="shared" si="9"/>
        <v>18.64558224969576</v>
      </c>
      <c r="M58" s="107">
        <f t="shared" si="4"/>
        <v>20.451071189791669</v>
      </c>
      <c r="N58" s="179">
        <f t="shared" si="5"/>
        <v>389.50621319614442</v>
      </c>
      <c r="O58" s="172">
        <v>50</v>
      </c>
      <c r="P58" s="107">
        <f t="shared" si="8"/>
        <v>8.2975732726468259</v>
      </c>
      <c r="Q58" s="107">
        <f t="shared" si="6"/>
        <v>9.4224470925663972</v>
      </c>
      <c r="R58" s="173">
        <f t="shared" si="7"/>
        <v>173.33630566559219</v>
      </c>
      <c r="S58" s="270"/>
      <c r="T58" s="270"/>
      <c r="U58" s="270"/>
    </row>
    <row r="59" spans="1:21" ht="20.100000000000001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172">
        <v>100</v>
      </c>
      <c r="L59" s="107">
        <f t="shared" si="9"/>
        <v>33.74915405950108</v>
      </c>
      <c r="M59" s="107">
        <f t="shared" si="4"/>
        <v>18.649103628164134</v>
      </c>
      <c r="N59" s="179">
        <f t="shared" si="5"/>
        <v>705.01982830297754</v>
      </c>
      <c r="O59" s="172">
        <v>100</v>
      </c>
      <c r="P59" s="107">
        <f t="shared" si="8"/>
        <v>14.470115774628947</v>
      </c>
      <c r="Q59" s="107">
        <f t="shared" si="6"/>
        <v>8.2336167031188037</v>
      </c>
      <c r="R59" s="173">
        <f t="shared" si="7"/>
        <v>302.28071853199873</v>
      </c>
      <c r="S59" s="270"/>
      <c r="T59" s="270"/>
      <c r="U59" s="270"/>
    </row>
    <row r="60" spans="1:21" ht="20.100000000000001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172">
        <v>200</v>
      </c>
      <c r="L60" s="107">
        <f t="shared" si="9"/>
        <v>61.087145709838239</v>
      </c>
      <c r="M60" s="107">
        <f t="shared" si="4"/>
        <v>16.984543763498014</v>
      </c>
      <c r="N60" s="179">
        <f t="shared" si="5"/>
        <v>1276.1104738785209</v>
      </c>
      <c r="O60" s="172">
        <v>200</v>
      </c>
      <c r="P60" s="107">
        <f t="shared" si="8"/>
        <v>25.234396087999169</v>
      </c>
      <c r="Q60" s="107">
        <f t="shared" si="6"/>
        <v>7.1911232472036763</v>
      </c>
      <c r="R60" s="173">
        <f t="shared" si="7"/>
        <v>527.14653427830262</v>
      </c>
      <c r="S60" s="270"/>
      <c r="T60" s="270"/>
      <c r="U60" s="270"/>
    </row>
    <row r="61" spans="1:21" ht="20.100000000000001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172">
        <v>300</v>
      </c>
      <c r="L61" s="107">
        <f t="shared" si="9"/>
        <v>86.434481498160736</v>
      </c>
      <c r="M61" s="107">
        <f t="shared" si="4"/>
        <v>16.07248144033737</v>
      </c>
      <c r="N61" s="179">
        <f t="shared" si="5"/>
        <v>1805.6163184965778</v>
      </c>
      <c r="O61" s="172">
        <v>300</v>
      </c>
      <c r="P61" s="107">
        <f t="shared" si="8"/>
        <v>34.93603314480081</v>
      </c>
      <c r="Q61" s="107">
        <f t="shared" si="6"/>
        <v>6.64237203183239</v>
      </c>
      <c r="R61" s="173">
        <f t="shared" si="7"/>
        <v>729.81373239488892</v>
      </c>
      <c r="S61" s="270"/>
      <c r="T61" s="270"/>
      <c r="U61" s="270"/>
    </row>
    <row r="62" spans="1:21" ht="20.100000000000001" customHeight="1" thickBo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174">
        <v>400</v>
      </c>
      <c r="L62" s="107">
        <f t="shared" si="9"/>
        <v>110.56986389632112</v>
      </c>
      <c r="M62" s="107">
        <f t="shared" si="4"/>
        <v>15.452111536603715</v>
      </c>
      <c r="N62" s="180">
        <f t="shared" si="5"/>
        <v>2309.8044567941483</v>
      </c>
      <c r="O62" s="172">
        <v>400</v>
      </c>
      <c r="P62" s="107">
        <f t="shared" si="8"/>
        <v>44.00619565480681</v>
      </c>
      <c r="Q62" s="107">
        <f t="shared" si="6"/>
        <v>6.2781753403883096</v>
      </c>
      <c r="R62" s="173">
        <f t="shared" si="7"/>
        <v>919.28942722891429</v>
      </c>
      <c r="S62" s="147"/>
      <c r="T62" s="147"/>
      <c r="U62" s="2"/>
    </row>
    <row r="63" spans="1:21" ht="21" customHeight="1" thickBo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74">
        <v>700</v>
      </c>
      <c r="P63" s="175">
        <f t="shared" si="8"/>
        <v>68.945657971716173</v>
      </c>
      <c r="Q63" s="175">
        <f t="shared" si="6"/>
        <v>5.6251358338066542</v>
      </c>
      <c r="R63" s="176">
        <f t="shared" si="7"/>
        <v>1440.2747950291509</v>
      </c>
      <c r="S63" s="147"/>
      <c r="T63" s="147"/>
      <c r="U63" s="2"/>
    </row>
    <row r="64" spans="1:21" ht="20.100000000000001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147"/>
      <c r="M64" s="147"/>
      <c r="N64" s="147"/>
      <c r="O64" s="147"/>
      <c r="P64" s="147"/>
      <c r="Q64" s="147"/>
      <c r="R64" s="147"/>
      <c r="S64" s="147"/>
      <c r="T64" s="147"/>
      <c r="U64" s="2"/>
    </row>
    <row r="65" spans="1:21" ht="22.5" customHeight="1" x14ac:dyDescent="0.25">
      <c r="A65" s="2"/>
      <c r="B65" s="2"/>
      <c r="C65" s="2"/>
      <c r="D65" s="108"/>
      <c r="E65" s="108"/>
      <c r="F65" s="273" t="s">
        <v>39</v>
      </c>
      <c r="G65" s="274"/>
      <c r="H65" s="2"/>
      <c r="I65" s="109"/>
      <c r="J65" s="2"/>
      <c r="K65" s="2"/>
      <c r="L65" s="147"/>
      <c r="M65" s="147"/>
      <c r="N65" s="147"/>
      <c r="O65" s="147"/>
      <c r="P65" s="147"/>
      <c r="Q65" s="147"/>
      <c r="R65" s="147"/>
      <c r="S65" s="147"/>
      <c r="T65" s="147"/>
      <c r="U65" s="2"/>
    </row>
    <row r="66" spans="1:21" ht="21.95" customHeight="1" x14ac:dyDescent="0.25">
      <c r="A66" s="2"/>
      <c r="B66" s="2"/>
      <c r="C66" s="2"/>
      <c r="D66" s="275" t="s">
        <v>40</v>
      </c>
      <c r="E66" s="276"/>
      <c r="F66" s="110" t="s">
        <v>41</v>
      </c>
      <c r="G66" s="111" t="s">
        <v>42</v>
      </c>
      <c r="H66" s="2"/>
      <c r="I66" s="112"/>
      <c r="J66" s="2"/>
      <c r="K66" s="2"/>
      <c r="L66" s="147"/>
      <c r="M66" s="147"/>
      <c r="N66" s="147"/>
      <c r="O66" s="147"/>
      <c r="P66" s="147"/>
      <c r="Q66" s="147"/>
      <c r="R66" s="147"/>
      <c r="S66" s="147"/>
      <c r="T66" s="2"/>
      <c r="U66" s="2"/>
    </row>
    <row r="67" spans="1:21" ht="23.1" customHeight="1" x14ac:dyDescent="0.25">
      <c r="A67" s="2"/>
      <c r="B67" s="2"/>
      <c r="C67" s="2"/>
      <c r="D67" s="275" t="s">
        <v>43</v>
      </c>
      <c r="E67" s="276"/>
      <c r="F67" s="113">
        <v>25</v>
      </c>
      <c r="G67" s="114">
        <v>75</v>
      </c>
      <c r="H67" s="2"/>
      <c r="I67" s="115"/>
      <c r="J67" s="2"/>
      <c r="K67" s="2"/>
      <c r="L67" s="147"/>
      <c r="M67" s="147"/>
      <c r="N67" s="147"/>
      <c r="O67" s="147"/>
      <c r="P67" s="147"/>
      <c r="Q67" s="147"/>
      <c r="R67" s="147"/>
      <c r="S67" s="147"/>
      <c r="T67" s="2"/>
      <c r="U67" s="2"/>
    </row>
    <row r="68" spans="1:21" ht="21.95" customHeight="1" x14ac:dyDescent="0.45">
      <c r="A68" s="2"/>
      <c r="B68" s="2"/>
      <c r="C68" s="2"/>
      <c r="D68" s="275" t="s">
        <v>44</v>
      </c>
      <c r="E68" s="276"/>
      <c r="F68" s="113">
        <v>35</v>
      </c>
      <c r="G68" s="114">
        <v>125</v>
      </c>
      <c r="H68" s="2"/>
      <c r="I68" s="277" t="s">
        <v>46</v>
      </c>
      <c r="J68" s="278"/>
      <c r="K68" s="278"/>
      <c r="L68" s="149"/>
      <c r="M68" s="147"/>
      <c r="N68" s="147"/>
      <c r="O68" s="147"/>
      <c r="P68" s="147"/>
      <c r="Q68" s="147"/>
      <c r="R68" s="147"/>
      <c r="S68" s="147"/>
      <c r="T68" s="2"/>
      <c r="U68" s="2"/>
    </row>
    <row r="69" spans="1:21" ht="21.95" customHeight="1" x14ac:dyDescent="0.25">
      <c r="A69" s="2"/>
      <c r="B69" s="2"/>
      <c r="C69" s="2"/>
      <c r="D69" s="275" t="s">
        <v>45</v>
      </c>
      <c r="E69" s="276"/>
      <c r="F69" s="113">
        <v>45</v>
      </c>
      <c r="G69" s="114">
        <v>300</v>
      </c>
      <c r="H69" s="2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2"/>
      <c r="U69" s="2"/>
    </row>
    <row r="70" spans="1:21" hidden="1" x14ac:dyDescent="0.25"/>
    <row r="71" spans="1:21" ht="18.75" hidden="1" x14ac:dyDescent="0.3">
      <c r="B71" s="259" t="s">
        <v>47</v>
      </c>
      <c r="C71" s="260"/>
      <c r="D71" s="260"/>
      <c r="E71" s="260"/>
      <c r="F71" s="260"/>
      <c r="G71" s="260"/>
      <c r="H71" s="261"/>
    </row>
    <row r="72" spans="1:21" hidden="1" x14ac:dyDescent="0.25">
      <c r="B72" s="7" t="s">
        <v>33</v>
      </c>
      <c r="C72" s="7">
        <f>IF(AND(B5&gt;=30,B5&lt;=80),-0.0014*(B5)+0.6656,0)</f>
        <v>0</v>
      </c>
      <c r="D72" s="7">
        <f>IF(AND(B5&gt;=30,B5&lt;=130),-0.0015*B5+0.6149,0)</f>
        <v>0.4199</v>
      </c>
      <c r="F72" s="7">
        <f>IF(AND(B5&gt;=30,B5&lt;=300),-0.0016*B5+0.5546,0)</f>
        <v>0.34659999999999996</v>
      </c>
    </row>
    <row r="73" spans="1:21" hidden="1" x14ac:dyDescent="0.25">
      <c r="B73" s="7" t="s">
        <v>34</v>
      </c>
      <c r="C73" s="7">
        <v>0.96</v>
      </c>
      <c r="D73" s="7">
        <v>0.90500000000000003</v>
      </c>
      <c r="F73" s="7">
        <v>0.85199999999999998</v>
      </c>
    </row>
    <row r="74" spans="1:21" hidden="1" x14ac:dyDescent="0.25"/>
    <row r="75" spans="1:21" hidden="1" x14ac:dyDescent="0.25">
      <c r="B75" s="116" t="s">
        <v>5</v>
      </c>
      <c r="C75" s="116" t="s">
        <v>48</v>
      </c>
      <c r="D75" s="116" t="s">
        <v>49</v>
      </c>
      <c r="E75" s="116"/>
      <c r="F75" s="116" t="s">
        <v>50</v>
      </c>
    </row>
    <row r="76" spans="1:21" hidden="1" x14ac:dyDescent="0.25">
      <c r="B76" s="117">
        <v>40</v>
      </c>
      <c r="C76" s="118">
        <v>0.61209999999999998</v>
      </c>
      <c r="D76" s="118">
        <v>0.56240000000000001</v>
      </c>
      <c r="F76" s="118">
        <v>0.49959999999999999</v>
      </c>
    </row>
    <row r="77" spans="1:21" hidden="1" x14ac:dyDescent="0.25">
      <c r="B77" s="117">
        <v>50</v>
      </c>
      <c r="C77" s="118">
        <v>0.59660000000000002</v>
      </c>
      <c r="D77" s="118">
        <v>0.5413</v>
      </c>
      <c r="F77" s="118">
        <v>0.4773</v>
      </c>
    </row>
    <row r="78" spans="1:21" hidden="1" x14ac:dyDescent="0.25">
      <c r="B78" s="117">
        <v>60</v>
      </c>
      <c r="C78" s="118">
        <v>0.58169999999999999</v>
      </c>
      <c r="D78" s="118">
        <v>0.52239999999999998</v>
      </c>
      <c r="F78" s="118">
        <v>0.45729999999999998</v>
      </c>
    </row>
    <row r="79" spans="1:21" hidden="1" x14ac:dyDescent="0.25">
      <c r="B79" s="117">
        <v>70</v>
      </c>
      <c r="C79" s="118">
        <v>0.56940000000000002</v>
      </c>
      <c r="D79" s="118">
        <v>0.50360000000000005</v>
      </c>
      <c r="F79" s="118">
        <v>0.43890000000000001</v>
      </c>
    </row>
    <row r="80" spans="1:21" hidden="1" x14ac:dyDescent="0.25">
      <c r="B80" s="117">
        <v>75</v>
      </c>
      <c r="C80" s="118">
        <v>0.5645</v>
      </c>
      <c r="D80" s="118">
        <v>0.49509999999999998</v>
      </c>
      <c r="F80" s="118">
        <v>0.43020000000000003</v>
      </c>
    </row>
    <row r="81" spans="2:13" hidden="1" x14ac:dyDescent="0.25">
      <c r="B81" s="117">
        <v>80</v>
      </c>
      <c r="D81" s="118">
        <v>0.48720000000000002</v>
      </c>
      <c r="F81" s="118">
        <v>0.4219</v>
      </c>
    </row>
    <row r="82" spans="2:13" hidden="1" x14ac:dyDescent="0.25">
      <c r="B82" s="117">
        <v>90</v>
      </c>
      <c r="D82" s="118">
        <v>0.47220000000000001</v>
      </c>
      <c r="F82" s="118">
        <v>0.40539999999999998</v>
      </c>
    </row>
    <row r="83" spans="2:13" hidden="1" x14ac:dyDescent="0.25">
      <c r="B83" s="117">
        <v>100</v>
      </c>
      <c r="D83" s="118">
        <v>0.45810000000000001</v>
      </c>
      <c r="F83" s="118">
        <v>0.3906</v>
      </c>
    </row>
    <row r="84" spans="2:13" hidden="1" x14ac:dyDescent="0.25">
      <c r="B84" s="117">
        <v>110</v>
      </c>
      <c r="D84" s="118">
        <v>0.4451</v>
      </c>
      <c r="F84" s="118">
        <v>0.37819999999999998</v>
      </c>
    </row>
    <row r="85" spans="2:13" hidden="1" x14ac:dyDescent="0.25">
      <c r="B85" s="117">
        <v>120</v>
      </c>
      <c r="D85" s="118">
        <v>0.43340000000000001</v>
      </c>
      <c r="F85" s="118">
        <v>0.36559999999999998</v>
      </c>
    </row>
    <row r="86" spans="2:13" hidden="1" x14ac:dyDescent="0.25">
      <c r="B86" s="117">
        <v>130</v>
      </c>
      <c r="D86" s="118">
        <v>0.42370000000000002</v>
      </c>
      <c r="F86" s="118">
        <v>0.35370000000000001</v>
      </c>
    </row>
    <row r="87" spans="2:13" hidden="1" x14ac:dyDescent="0.25"/>
    <row r="88" spans="2:13" hidden="1" x14ac:dyDescent="0.25"/>
    <row r="89" spans="2:13" hidden="1" x14ac:dyDescent="0.25">
      <c r="B89" s="119" t="s">
        <v>33</v>
      </c>
      <c r="C89" s="119">
        <f>IF(C5&lt;=20,C72,IF(AND(C5&gt;20,C5&lt;=45),D72,F72))</f>
        <v>0.34659999999999996</v>
      </c>
      <c r="D89" s="120" t="s">
        <v>51</v>
      </c>
      <c r="E89" s="121">
        <v>101.325</v>
      </c>
      <c r="F89" s="120" t="s">
        <v>52</v>
      </c>
    </row>
    <row r="90" spans="2:13" hidden="1" x14ac:dyDescent="0.25">
      <c r="B90" s="122" t="s">
        <v>34</v>
      </c>
      <c r="C90" s="122">
        <f>IF(C5&lt;=20,C73,IF(AND(C5&gt;20,C5&lt;=45),D73,F73))</f>
        <v>0.85199999999999998</v>
      </c>
      <c r="E90" s="7">
        <v>2115.6999999999998</v>
      </c>
      <c r="F90" s="7" t="s">
        <v>53</v>
      </c>
    </row>
    <row r="91" spans="2:13" hidden="1" x14ac:dyDescent="0.25"/>
    <row r="92" spans="2:13" ht="18.75" hidden="1" x14ac:dyDescent="0.3">
      <c r="B92" s="259" t="s">
        <v>54</v>
      </c>
      <c r="C92" s="260"/>
      <c r="D92" s="260"/>
      <c r="E92" s="260"/>
      <c r="F92" s="260"/>
      <c r="G92" s="260"/>
      <c r="H92" s="261"/>
    </row>
    <row r="93" spans="2:13" hidden="1" x14ac:dyDescent="0.25">
      <c r="B93" s="123" t="s">
        <v>55</v>
      </c>
      <c r="C93" s="124" t="s">
        <v>56</v>
      </c>
      <c r="D93" s="124" t="s">
        <v>57</v>
      </c>
    </row>
    <row r="94" spans="2:13" hidden="1" x14ac:dyDescent="0.25">
      <c r="B94" s="125">
        <v>0</v>
      </c>
      <c r="C94" s="126">
        <f t="shared" ref="C94:C104" si="10">$C$89*$E$89*(B94/$E$89)^$C$90</f>
        <v>0</v>
      </c>
      <c r="D94" s="7">
        <f t="shared" ref="D94:D104" si="11">C94*20.885434273</f>
        <v>0</v>
      </c>
    </row>
    <row r="95" spans="2:13" hidden="1" x14ac:dyDescent="0.25">
      <c r="B95" s="125">
        <v>15</v>
      </c>
      <c r="C95" s="126">
        <f t="shared" si="10"/>
        <v>6.8977010792735651</v>
      </c>
      <c r="D95" s="7">
        <f t="shared" si="11"/>
        <v>144.06148252596921</v>
      </c>
    </row>
    <row r="96" spans="2:13" hidden="1" x14ac:dyDescent="0.25">
      <c r="B96" s="125">
        <v>25</v>
      </c>
      <c r="C96" s="126">
        <f t="shared" si="10"/>
        <v>10.659074665620684</v>
      </c>
      <c r="D96" s="7">
        <f t="shared" si="11"/>
        <v>222.61940333982028</v>
      </c>
      <c r="M96" s="91">
        <f>0.5*(0.0023+0.004)</f>
        <v>3.15E-3</v>
      </c>
    </row>
    <row r="97" spans="2:10" hidden="1" x14ac:dyDescent="0.25">
      <c r="B97" s="125">
        <v>75</v>
      </c>
      <c r="C97" s="126">
        <f t="shared" si="10"/>
        <v>27.17858319357827</v>
      </c>
      <c r="D97" s="7">
        <f t="shared" si="11"/>
        <v>567.63651292274142</v>
      </c>
    </row>
    <row r="98" spans="2:10" hidden="1" x14ac:dyDescent="0.25">
      <c r="B98" s="125">
        <v>150</v>
      </c>
      <c r="C98" s="126">
        <f t="shared" si="10"/>
        <v>49.057382207205116</v>
      </c>
      <c r="D98" s="7">
        <f t="shared" si="11"/>
        <v>1024.5847316940221</v>
      </c>
    </row>
    <row r="99" spans="2:10" hidden="1" x14ac:dyDescent="0.25">
      <c r="B99" s="125">
        <v>200</v>
      </c>
      <c r="C99" s="126">
        <f t="shared" si="10"/>
        <v>62.683346364083121</v>
      </c>
      <c r="D99" s="7">
        <f t="shared" si="11"/>
        <v>1309.1689104987515</v>
      </c>
    </row>
    <row r="100" spans="2:10" hidden="1" x14ac:dyDescent="0.25">
      <c r="B100" s="125">
        <v>300</v>
      </c>
      <c r="C100" s="126">
        <f t="shared" si="10"/>
        <v>88.54864625881018</v>
      </c>
      <c r="D100" s="7">
        <f t="shared" si="11"/>
        <v>1849.3769314015076</v>
      </c>
    </row>
    <row r="101" spans="2:10" hidden="1" x14ac:dyDescent="0.25">
      <c r="B101" s="125">
        <v>400</v>
      </c>
      <c r="C101" s="126">
        <f t="shared" si="10"/>
        <v>113.14353138672897</v>
      </c>
      <c r="D101" s="7">
        <f t="shared" si="11"/>
        <v>2363.0517881926407</v>
      </c>
    </row>
    <row r="102" spans="2:10" hidden="1" x14ac:dyDescent="0.25">
      <c r="B102" s="125">
        <v>500</v>
      </c>
      <c r="C102" s="126">
        <f t="shared" si="10"/>
        <v>136.83495720746615</v>
      </c>
      <c r="D102" s="7">
        <f t="shared" si="11"/>
        <v>2857.8575050053018</v>
      </c>
    </row>
    <row r="103" spans="2:10" hidden="1" x14ac:dyDescent="0.25">
      <c r="B103" s="125">
        <v>600</v>
      </c>
      <c r="C103" s="126">
        <f t="shared" si="10"/>
        <v>159.83043532877912</v>
      </c>
      <c r="D103" s="7">
        <f t="shared" si="11"/>
        <v>3338.1280518841936</v>
      </c>
    </row>
    <row r="104" spans="2:10" hidden="1" x14ac:dyDescent="0.25">
      <c r="B104" s="125">
        <v>700</v>
      </c>
      <c r="C104" s="126">
        <f t="shared" si="10"/>
        <v>182.26284587004551</v>
      </c>
      <c r="D104" s="7">
        <f t="shared" si="11"/>
        <v>3806.6386878287653</v>
      </c>
    </row>
    <row r="105" spans="2:10" hidden="1" x14ac:dyDescent="0.25"/>
    <row r="106" spans="2:10" ht="15.6" hidden="1" customHeight="1" x14ac:dyDescent="0.25">
      <c r="B106" s="91"/>
      <c r="J106" s="91"/>
    </row>
    <row r="107" spans="2:10" hidden="1" x14ac:dyDescent="0.25">
      <c r="B107" s="91"/>
      <c r="J107" s="91"/>
    </row>
    <row r="108" spans="2:10" hidden="1" x14ac:dyDescent="0.25">
      <c r="B108" s="91"/>
      <c r="J108" s="91"/>
    </row>
    <row r="109" spans="2:10" ht="18.75" hidden="1" x14ac:dyDescent="0.3">
      <c r="B109" s="259" t="s">
        <v>58</v>
      </c>
      <c r="C109" s="260"/>
      <c r="D109" s="260"/>
      <c r="E109" s="260"/>
      <c r="F109" s="260"/>
      <c r="G109" s="260"/>
      <c r="H109" s="261"/>
      <c r="J109" s="91"/>
    </row>
    <row r="110" spans="2:10" hidden="1" x14ac:dyDescent="0.25">
      <c r="B110" s="119" t="s">
        <v>33</v>
      </c>
      <c r="C110" s="7">
        <f>IF(AND(B5&gt;=30,B5&lt;=80),3*10^-5*(B5)^2-0.008*B5+0.8047,0)</f>
        <v>0</v>
      </c>
      <c r="D110" s="7">
        <f>IF(AND(B5&gt;=30,B5&lt;=130),3*10^-5*(B5)^2-0.0076*B5+0.7448,0)</f>
        <v>0.26380000000000015</v>
      </c>
      <c r="G110" s="7">
        <f>IF(AND(B5&gt;=30,B5&lt;=300),3*10^-5*(B5)^2-0.0077*B5+0.6352,0)</f>
        <v>0.14119999999999999</v>
      </c>
      <c r="J110" s="91"/>
    </row>
    <row r="111" spans="2:10" hidden="1" x14ac:dyDescent="0.25">
      <c r="B111" s="127" t="s">
        <v>34</v>
      </c>
      <c r="C111" s="7">
        <f>IF(AND(B5&gt;=30,B5&lt;=80),2*10^-5*(B5)^2-0.0023*B5+1.0261,0)</f>
        <v>0</v>
      </c>
      <c r="D111" s="7">
        <f>IF(AND(B5&gt;=30,B5&lt;=130),2*10^-5*(B5)^2-0.005*B5+0.997,0)</f>
        <v>0.68500000000000005</v>
      </c>
      <c r="G111" s="7">
        <f>IF(AND(B5&gt;=30,B5&lt;300),3*10^-5*(B5)^2-0.0059*B5+1.0792,0)</f>
        <v>0.81920000000000004</v>
      </c>
      <c r="J111" s="91"/>
    </row>
    <row r="112" spans="2:10" hidden="1" x14ac:dyDescent="0.25">
      <c r="B112" s="91"/>
      <c r="J112" s="91"/>
    </row>
    <row r="113" spans="2:10" hidden="1" x14ac:dyDescent="0.25">
      <c r="B113" s="91"/>
      <c r="J113" s="91"/>
    </row>
    <row r="114" spans="2:10" hidden="1" x14ac:dyDescent="0.25">
      <c r="B114" s="271" t="s">
        <v>59</v>
      </c>
      <c r="C114" s="272"/>
      <c r="D114" s="272" t="s">
        <v>60</v>
      </c>
      <c r="E114" s="272"/>
      <c r="F114" s="128"/>
      <c r="G114" s="272" t="s">
        <v>61</v>
      </c>
      <c r="H114" s="272"/>
      <c r="J114" s="91"/>
    </row>
    <row r="115" spans="2:10" hidden="1" x14ac:dyDescent="0.25">
      <c r="B115" s="129" t="s">
        <v>33</v>
      </c>
      <c r="C115" s="130" t="s">
        <v>34</v>
      </c>
      <c r="D115" s="130" t="s">
        <v>33</v>
      </c>
      <c r="E115" s="130" t="s">
        <v>34</v>
      </c>
      <c r="F115" s="130"/>
      <c r="G115" s="130" t="s">
        <v>33</v>
      </c>
      <c r="H115" s="130" t="s">
        <v>34</v>
      </c>
      <c r="J115" s="91"/>
    </row>
    <row r="116" spans="2:10" hidden="1" x14ac:dyDescent="0.25">
      <c r="B116" s="7">
        <v>0.54369999999999996</v>
      </c>
      <c r="C116" s="91">
        <v>0.95940000000000003</v>
      </c>
      <c r="D116" s="7">
        <v>0.4657</v>
      </c>
      <c r="E116" s="91">
        <v>0.87060000000000004</v>
      </c>
      <c r="F116" s="131"/>
      <c r="G116" s="7">
        <v>0.37519999999999998</v>
      </c>
      <c r="H116" s="91">
        <v>0.87890000000000001</v>
      </c>
      <c r="J116" s="91"/>
    </row>
    <row r="117" spans="2:10" hidden="1" x14ac:dyDescent="0.25">
      <c r="B117" s="7">
        <v>0.49070000000000003</v>
      </c>
      <c r="C117" s="91">
        <v>0.95189999999999997</v>
      </c>
      <c r="D117" s="7">
        <v>0.4199</v>
      </c>
      <c r="E117" s="91">
        <v>0.85899999999999999</v>
      </c>
      <c r="F117" s="131"/>
      <c r="G117" s="7">
        <v>0.32700000000000001</v>
      </c>
      <c r="H117" s="91">
        <v>0.8609</v>
      </c>
      <c r="J117" s="91"/>
    </row>
    <row r="118" spans="2:10" hidden="1" x14ac:dyDescent="0.25">
      <c r="B118" s="7">
        <v>0.44409999999999999</v>
      </c>
      <c r="C118" s="91">
        <v>0.94640000000000002</v>
      </c>
      <c r="D118" s="7">
        <v>0.374</v>
      </c>
      <c r="E118" s="91">
        <v>0.84770000000000001</v>
      </c>
      <c r="F118" s="131"/>
      <c r="G118" s="7">
        <v>0.28349999999999997</v>
      </c>
      <c r="H118" s="91">
        <v>0.84040000000000004</v>
      </c>
      <c r="J118" s="91"/>
    </row>
    <row r="119" spans="2:10" hidden="1" x14ac:dyDescent="0.25">
      <c r="B119" s="7">
        <v>0.40229999999999999</v>
      </c>
      <c r="C119" s="91">
        <v>0.9446</v>
      </c>
      <c r="D119" s="7">
        <v>0.32829999999999998</v>
      </c>
      <c r="E119" s="91">
        <v>0.83950000000000002</v>
      </c>
      <c r="F119" s="131"/>
      <c r="G119" s="7">
        <v>0.2455</v>
      </c>
      <c r="H119" s="91">
        <v>0.81669999999999998</v>
      </c>
      <c r="J119" s="91"/>
    </row>
    <row r="120" spans="2:10" hidden="1" x14ac:dyDescent="0.25">
      <c r="B120" s="7">
        <v>0.38250000000000001</v>
      </c>
      <c r="C120" s="91">
        <v>0.94599999999999995</v>
      </c>
      <c r="D120" s="7">
        <v>0.30620000000000003</v>
      </c>
      <c r="E120" s="91">
        <v>0.83730000000000004</v>
      </c>
      <c r="F120" s="131"/>
      <c r="G120" s="7">
        <v>0.22819999999999999</v>
      </c>
      <c r="H120" s="91">
        <v>0.80569999999999997</v>
      </c>
      <c r="J120" s="91"/>
    </row>
    <row r="121" spans="2:10" hidden="1" x14ac:dyDescent="0.25">
      <c r="B121" s="132" t="s">
        <v>62</v>
      </c>
      <c r="C121" s="132" t="s">
        <v>62</v>
      </c>
      <c r="D121" s="7">
        <v>0.28549999999999998</v>
      </c>
      <c r="E121" s="91">
        <v>0.83499999999999996</v>
      </c>
      <c r="F121" s="131"/>
      <c r="G121" s="7">
        <v>0.2132</v>
      </c>
      <c r="H121" s="91">
        <v>0.79210000000000003</v>
      </c>
      <c r="J121" s="91"/>
    </row>
    <row r="122" spans="2:10" hidden="1" x14ac:dyDescent="0.25">
      <c r="B122" s="132" t="s">
        <v>62</v>
      </c>
      <c r="C122" s="132" t="s">
        <v>62</v>
      </c>
      <c r="D122" s="7">
        <v>0.24779999999999999</v>
      </c>
      <c r="E122" s="91">
        <v>0.83189999999999997</v>
      </c>
      <c r="F122" s="131"/>
      <c r="G122" s="7">
        <v>0.18659999999999999</v>
      </c>
      <c r="H122" s="91">
        <v>0.77249999999999996</v>
      </c>
      <c r="J122" s="91"/>
    </row>
    <row r="123" spans="2:10" hidden="1" x14ac:dyDescent="0.25">
      <c r="B123" s="132" t="s">
        <v>62</v>
      </c>
      <c r="C123" s="132" t="s">
        <v>62</v>
      </c>
      <c r="D123" s="7">
        <v>0.2155</v>
      </c>
      <c r="E123" s="91">
        <v>0.83760000000000001</v>
      </c>
      <c r="F123" s="131"/>
      <c r="G123" s="7">
        <v>0.16619999999999999</v>
      </c>
      <c r="H123" s="91">
        <v>0.76500000000000001</v>
      </c>
      <c r="J123" s="91"/>
    </row>
    <row r="124" spans="2:10" hidden="1" x14ac:dyDescent="0.25">
      <c r="B124" s="132" t="s">
        <v>62</v>
      </c>
      <c r="C124" s="132" t="s">
        <v>62</v>
      </c>
      <c r="D124" s="7">
        <v>0.1913</v>
      </c>
      <c r="E124" s="91">
        <v>0.84970000000000001</v>
      </c>
      <c r="F124" s="131"/>
      <c r="G124" s="7">
        <v>0.15390000000000001</v>
      </c>
      <c r="H124" s="91">
        <v>0.77300000000000002</v>
      </c>
      <c r="J124" s="91"/>
    </row>
    <row r="125" spans="2:10" hidden="1" x14ac:dyDescent="0.25">
      <c r="B125" s="132" t="s">
        <v>62</v>
      </c>
      <c r="C125" s="132" t="s">
        <v>62</v>
      </c>
      <c r="D125" s="7">
        <v>0.1769</v>
      </c>
      <c r="E125" s="91">
        <v>0.87019999999999997</v>
      </c>
      <c r="F125" s="131"/>
      <c r="G125" s="7">
        <v>0.14699999999999999</v>
      </c>
      <c r="H125" s="91">
        <v>0.79559999999999997</v>
      </c>
      <c r="J125" s="91"/>
    </row>
    <row r="126" spans="2:10" hidden="1" x14ac:dyDescent="0.25">
      <c r="B126" s="133" t="s">
        <v>62</v>
      </c>
      <c r="C126" s="133" t="s">
        <v>62</v>
      </c>
      <c r="D126" s="7">
        <v>0.1734</v>
      </c>
      <c r="E126" s="91">
        <v>0.89670000000000005</v>
      </c>
      <c r="F126" s="130"/>
      <c r="G126" s="7">
        <v>0.14399999999999999</v>
      </c>
      <c r="H126" s="91">
        <v>0.80059999999999998</v>
      </c>
      <c r="J126" s="91"/>
    </row>
    <row r="127" spans="2:10" hidden="1" x14ac:dyDescent="0.25">
      <c r="B127" s="91"/>
      <c r="J127" s="91"/>
    </row>
    <row r="128" spans="2:10" hidden="1" x14ac:dyDescent="0.25">
      <c r="B128" s="91">
        <f>AVERAGE(B116:B126)</f>
        <v>0.45265999999999995</v>
      </c>
      <c r="C128" s="91">
        <f t="shared" ref="C128:H128" si="12">AVERAGE(C116:C126)</f>
        <v>0.94965999999999995</v>
      </c>
      <c r="D128" s="91">
        <f t="shared" si="12"/>
        <v>0.28949999999999992</v>
      </c>
      <c r="E128" s="91">
        <f t="shared" si="12"/>
        <v>0.8522909090909091</v>
      </c>
      <c r="F128" s="91"/>
      <c r="G128" s="91">
        <f t="shared" si="12"/>
        <v>0.22457272727272726</v>
      </c>
      <c r="H128" s="91">
        <f t="shared" si="12"/>
        <v>0.80921818181818173</v>
      </c>
      <c r="J128" s="91"/>
    </row>
    <row r="129" spans="2:10" hidden="1" x14ac:dyDescent="0.25">
      <c r="B129" s="91"/>
      <c r="J129" s="91"/>
    </row>
    <row r="130" spans="2:10" hidden="1" x14ac:dyDescent="0.25">
      <c r="B130" s="91"/>
      <c r="J130" s="91"/>
    </row>
    <row r="131" spans="2:10" hidden="1" x14ac:dyDescent="0.25">
      <c r="B131" s="91"/>
      <c r="D131" s="7">
        <f>AVERAGE(D124:D126)</f>
        <v>0.18053333333333332</v>
      </c>
      <c r="G131" s="7">
        <f>AVERAGE(G124:G126)</f>
        <v>0.14829999999999999</v>
      </c>
      <c r="J131" s="91"/>
    </row>
    <row r="132" spans="2:10" hidden="1" x14ac:dyDescent="0.25">
      <c r="J132" s="91"/>
    </row>
    <row r="133" spans="2:10" hidden="1" x14ac:dyDescent="0.25">
      <c r="J133" s="91"/>
    </row>
    <row r="134" spans="2:10" hidden="1" x14ac:dyDescent="0.25">
      <c r="J134" s="91"/>
    </row>
    <row r="135" spans="2:10" hidden="1" x14ac:dyDescent="0.25">
      <c r="J135" s="91"/>
    </row>
    <row r="136" spans="2:10" hidden="1" x14ac:dyDescent="0.25">
      <c r="J136" s="91"/>
    </row>
    <row r="137" spans="2:10" hidden="1" x14ac:dyDescent="0.25">
      <c r="J137" s="91"/>
    </row>
    <row r="138" spans="2:10" hidden="1" x14ac:dyDescent="0.25">
      <c r="J138" s="91"/>
    </row>
    <row r="139" spans="2:10" hidden="1" x14ac:dyDescent="0.25">
      <c r="J139" s="91"/>
    </row>
    <row r="140" spans="2:10" hidden="1" x14ac:dyDescent="0.25">
      <c r="J140" s="91"/>
    </row>
    <row r="141" spans="2:10" hidden="1" x14ac:dyDescent="0.25"/>
    <row r="142" spans="2:10" hidden="1" x14ac:dyDescent="0.25">
      <c r="B142" s="119" t="s">
        <v>33</v>
      </c>
      <c r="C142" s="119">
        <f>IF(C5&lt;=20,C110,IF(AND(C5&gt;20,C5&lt;=45),D110,G110))</f>
        <v>0.14119999999999999</v>
      </c>
      <c r="D142" s="120" t="s">
        <v>51</v>
      </c>
      <c r="E142" s="121">
        <v>101.325</v>
      </c>
      <c r="F142" s="120" t="s">
        <v>52</v>
      </c>
    </row>
    <row r="143" spans="2:10" hidden="1" x14ac:dyDescent="0.25">
      <c r="B143" s="122" t="s">
        <v>34</v>
      </c>
      <c r="C143" s="122">
        <f>IF(C5&lt;=20,C111,IF(AND(C5&gt;20,C5&lt;=45),D111,G111))</f>
        <v>0.81920000000000004</v>
      </c>
      <c r="E143" s="7">
        <v>2116.8000000000002</v>
      </c>
      <c r="F143" s="7" t="s">
        <v>53</v>
      </c>
    </row>
    <row r="144" spans="2:10" hidden="1" x14ac:dyDescent="0.25"/>
    <row r="145" spans="2:8" ht="18.75" hidden="1" x14ac:dyDescent="0.3">
      <c r="B145" s="259" t="s">
        <v>63</v>
      </c>
      <c r="C145" s="260"/>
      <c r="D145" s="260"/>
      <c r="E145" s="260"/>
      <c r="F145" s="260"/>
      <c r="G145" s="260"/>
      <c r="H145" s="261"/>
    </row>
    <row r="146" spans="2:8" hidden="1" x14ac:dyDescent="0.25">
      <c r="B146" s="123" t="s">
        <v>55</v>
      </c>
      <c r="C146" s="124" t="s">
        <v>56</v>
      </c>
      <c r="D146" s="124" t="s">
        <v>57</v>
      </c>
    </row>
    <row r="147" spans="2:8" hidden="1" x14ac:dyDescent="0.25">
      <c r="B147" s="125">
        <v>0</v>
      </c>
      <c r="C147" s="126">
        <f t="shared" ref="C147:C156" si="13">$C$142*$E$142*(B147/$E$89)^$C$143</f>
        <v>0</v>
      </c>
      <c r="D147" s="7">
        <f t="shared" ref="D147:D157" si="14">C147*20.885434273</f>
        <v>0</v>
      </c>
    </row>
    <row r="148" spans="2:8" hidden="1" x14ac:dyDescent="0.25">
      <c r="B148" s="125">
        <v>15</v>
      </c>
      <c r="C148" s="126">
        <f t="shared" si="13"/>
        <v>2.9917287824018755</v>
      </c>
      <c r="D148" s="7">
        <f t="shared" si="14"/>
        <v>62.483554847496691</v>
      </c>
    </row>
    <row r="149" spans="2:8" hidden="1" x14ac:dyDescent="0.25">
      <c r="B149" s="125">
        <v>25</v>
      </c>
      <c r="C149" s="126">
        <f t="shared" si="13"/>
        <v>4.5463274782189904</v>
      </c>
      <c r="D149" s="7">
        <f t="shared" si="14"/>
        <v>94.952023729876572</v>
      </c>
    </row>
    <row r="150" spans="2:8" hidden="1" x14ac:dyDescent="0.25">
      <c r="B150" s="125">
        <v>75</v>
      </c>
      <c r="C150" s="126">
        <f t="shared" si="13"/>
        <v>11.181973204293472</v>
      </c>
      <c r="D150" s="7">
        <f t="shared" si="14"/>
        <v>233.54036640071854</v>
      </c>
    </row>
    <row r="151" spans="2:8" hidden="1" x14ac:dyDescent="0.25">
      <c r="B151" s="125">
        <v>150</v>
      </c>
      <c r="C151" s="126">
        <f t="shared" si="13"/>
        <v>19.729778957302539</v>
      </c>
      <c r="D151" s="7">
        <f t="shared" si="14"/>
        <v>412.06500163356066</v>
      </c>
    </row>
    <row r="152" spans="2:8" hidden="1" x14ac:dyDescent="0.25">
      <c r="B152" s="125">
        <v>200</v>
      </c>
      <c r="C152" s="126">
        <f t="shared" si="13"/>
        <v>24.973075645723942</v>
      </c>
      <c r="D152" s="7">
        <f t="shared" si="14"/>
        <v>521.57352999342447</v>
      </c>
    </row>
    <row r="153" spans="2:8" hidden="1" x14ac:dyDescent="0.25">
      <c r="B153" s="125">
        <v>300</v>
      </c>
      <c r="C153" s="126">
        <f t="shared" si="13"/>
        <v>34.811760911263391</v>
      </c>
      <c r="D153" s="7">
        <f t="shared" si="14"/>
        <v>727.05874443958214</v>
      </c>
    </row>
    <row r="154" spans="2:8" hidden="1" x14ac:dyDescent="0.25">
      <c r="B154" s="125">
        <v>400</v>
      </c>
      <c r="C154" s="126">
        <f t="shared" si="13"/>
        <v>44.063176808986164</v>
      </c>
      <c r="D154" s="7">
        <f t="shared" si="14"/>
        <v>920.27858310365843</v>
      </c>
    </row>
    <row r="155" spans="2:8" hidden="1" x14ac:dyDescent="0.25">
      <c r="B155" s="125">
        <v>500</v>
      </c>
      <c r="C155" s="126">
        <f t="shared" si="13"/>
        <v>52.901073829628608</v>
      </c>
      <c r="D155" s="7">
        <f t="shared" si="14"/>
        <v>1104.8619004398288</v>
      </c>
    </row>
    <row r="156" spans="2:8" hidden="1" x14ac:dyDescent="0.25">
      <c r="B156" s="125">
        <v>600</v>
      </c>
      <c r="C156" s="126">
        <f t="shared" si="13"/>
        <v>61.422821835235162</v>
      </c>
      <c r="D156" s="7">
        <f t="shared" si="14"/>
        <v>1282.8423083019934</v>
      </c>
    </row>
    <row r="157" spans="2:8" hidden="1" x14ac:dyDescent="0.25">
      <c r="B157" s="125">
        <v>700</v>
      </c>
      <c r="C157" s="126">
        <f>$C$142*$E$142*(B157/$E$142)^$C$143</f>
        <v>69.690338602561624</v>
      </c>
      <c r="D157" s="7">
        <f t="shared" si="14"/>
        <v>1455.5129863469156</v>
      </c>
    </row>
    <row r="158" spans="2:8" hidden="1" x14ac:dyDescent="0.25"/>
  </sheetData>
  <sheetProtection algorithmName="SHA-512" hashValue="cEwKrmCcJzvmCEafXad53QZD6xLpQsfPBK1ZPwaGHQoyRLuExfrot4xFMQ0pcsmz9W9sXYaWBPQRwCFT7fGM+Q==" saltValue="5qlxnh0bDXLQMq7AgFvwZQ==" spinCount="100000" sheet="1" objects="1" scenarios="1" selectLockedCells="1"/>
  <mergeCells count="49">
    <mergeCell ref="B145:H145"/>
    <mergeCell ref="B71:H71"/>
    <mergeCell ref="B92:H92"/>
    <mergeCell ref="B109:H109"/>
    <mergeCell ref="B114:C114"/>
    <mergeCell ref="D114:E114"/>
    <mergeCell ref="G114:H114"/>
    <mergeCell ref="D69:E69"/>
    <mergeCell ref="K47:O47"/>
    <mergeCell ref="K48:N49"/>
    <mergeCell ref="O48:R49"/>
    <mergeCell ref="K50:L50"/>
    <mergeCell ref="O50:P50"/>
    <mergeCell ref="F65:G65"/>
    <mergeCell ref="D66:E66"/>
    <mergeCell ref="D67:E67"/>
    <mergeCell ref="D68:E68"/>
    <mergeCell ref="I68:K68"/>
    <mergeCell ref="S51:U61"/>
    <mergeCell ref="B43:V43"/>
    <mergeCell ref="B44:B45"/>
    <mergeCell ref="C44:F44"/>
    <mergeCell ref="G44:J44"/>
    <mergeCell ref="K44:N44"/>
    <mergeCell ref="O44:R44"/>
    <mergeCell ref="B22:B23"/>
    <mergeCell ref="C26:E26"/>
    <mergeCell ref="G26:I26"/>
    <mergeCell ref="B37:W37"/>
    <mergeCell ref="B39:V39"/>
    <mergeCell ref="B40:B41"/>
    <mergeCell ref="C40:F40"/>
    <mergeCell ref="G40:J40"/>
    <mergeCell ref="K40:N40"/>
    <mergeCell ref="O40:R40"/>
    <mergeCell ref="B20:B21"/>
    <mergeCell ref="B2:U2"/>
    <mergeCell ref="B3:C3"/>
    <mergeCell ref="E3:I3"/>
    <mergeCell ref="J3:O3"/>
    <mergeCell ref="P3:U3"/>
    <mergeCell ref="B8:H8"/>
    <mergeCell ref="K8:O8"/>
    <mergeCell ref="Q8:T8"/>
    <mergeCell ref="B9:B10"/>
    <mergeCell ref="B11:B12"/>
    <mergeCell ref="B13:B15"/>
    <mergeCell ref="B17:H17"/>
    <mergeCell ref="B18:B19"/>
  </mergeCells>
  <phoneticPr fontId="30" type="noConversion"/>
  <hyperlinks>
    <hyperlink ref="I68" r:id="rId1" xr:uid="{FB13C3FC-5E02-464E-8009-585444B8819B}"/>
  </hyperlinks>
  <pageMargins left="0.7" right="0.7" top="0.75" bottom="0.75" header="0.3" footer="0.3"/>
  <pageSetup orientation="portrait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8C20-0CAF-498D-B878-72B9181CE8EC}">
  <sheetPr codeName="Sheet4"/>
  <dimension ref="A1:T132"/>
  <sheetViews>
    <sheetView zoomScaleNormal="100" workbookViewId="0">
      <selection activeCell="B5" sqref="B5"/>
    </sheetView>
  </sheetViews>
  <sheetFormatPr defaultColWidth="8.85546875" defaultRowHeight="15" x14ac:dyDescent="0.25"/>
  <cols>
    <col min="1" max="1" width="1.85546875" style="7" customWidth="1"/>
    <col min="2" max="2" width="10.140625" style="7" customWidth="1"/>
    <col min="3" max="3" width="17.42578125" style="7" customWidth="1"/>
    <col min="4" max="4" width="12.85546875" style="7" customWidth="1"/>
    <col min="5" max="5" width="10.140625" style="7" customWidth="1"/>
    <col min="6" max="6" width="10.42578125" style="7" customWidth="1"/>
    <col min="7" max="7" width="11.42578125" style="7" customWidth="1"/>
    <col min="8" max="8" width="12.85546875" style="7" customWidth="1"/>
    <col min="9" max="9" width="9.140625" style="7" bestFit="1" customWidth="1"/>
    <col min="10" max="11" width="10" style="7" customWidth="1"/>
    <col min="12" max="12" width="12.42578125" style="7" customWidth="1"/>
    <col min="13" max="13" width="11.5703125" style="7" customWidth="1"/>
    <col min="14" max="14" width="11.28515625" style="7" customWidth="1"/>
    <col min="15" max="15" width="11.140625" style="7" customWidth="1"/>
    <col min="16" max="16" width="13.28515625" style="7" customWidth="1"/>
    <col min="17" max="17" width="10.7109375" style="7" bestFit="1" customWidth="1"/>
    <col min="18" max="18" width="14.7109375" style="7" customWidth="1"/>
    <col min="19" max="19" width="14.28515625" style="7" customWidth="1"/>
    <col min="20" max="20" width="21.140625" style="7" customWidth="1"/>
    <col min="21" max="21" width="10" style="7" bestFit="1" customWidth="1"/>
    <col min="22" max="16384" width="8.85546875" style="7"/>
  </cols>
  <sheetData>
    <row r="1" spans="1:20" ht="30" customHeight="1" x14ac:dyDescent="0.25">
      <c r="A1" s="2"/>
      <c r="B1" s="139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83"/>
      <c r="M1" s="139"/>
      <c r="N1" s="182" t="s">
        <v>96</v>
      </c>
      <c r="O1" s="140"/>
      <c r="P1" s="140"/>
      <c r="Q1" s="140"/>
      <c r="R1" s="2"/>
      <c r="S1" s="2"/>
      <c r="T1" s="2"/>
    </row>
    <row r="2" spans="1:20" ht="19.5" customHeight="1" x14ac:dyDescent="0.35">
      <c r="A2" s="2"/>
      <c r="B2" s="291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3"/>
      <c r="S2" s="293"/>
      <c r="T2" s="293"/>
    </row>
    <row r="3" spans="1:20" ht="18.75" customHeight="1" x14ac:dyDescent="0.35">
      <c r="A3" s="2"/>
      <c r="B3" s="196" t="s">
        <v>1</v>
      </c>
      <c r="C3" s="141"/>
      <c r="D3" s="238" t="s">
        <v>2</v>
      </c>
      <c r="E3" s="239"/>
      <c r="F3" s="239"/>
      <c r="G3" s="239"/>
      <c r="H3" s="240"/>
      <c r="I3" s="241" t="s">
        <v>3</v>
      </c>
      <c r="J3" s="242"/>
      <c r="K3" s="242"/>
      <c r="L3" s="242"/>
      <c r="M3" s="242"/>
      <c r="N3" s="243"/>
      <c r="O3" s="241" t="s">
        <v>4</v>
      </c>
      <c r="P3" s="242"/>
      <c r="Q3" s="242"/>
      <c r="R3" s="242"/>
      <c r="S3" s="242"/>
      <c r="T3" s="243"/>
    </row>
    <row r="4" spans="1:20" ht="17.25" customHeight="1" x14ac:dyDescent="0.25">
      <c r="A4" s="2"/>
      <c r="B4" s="142" t="s">
        <v>7</v>
      </c>
      <c r="C4" s="193" t="s">
        <v>8</v>
      </c>
      <c r="D4" s="144" t="s">
        <v>9</v>
      </c>
      <c r="E4" s="194" t="s">
        <v>10</v>
      </c>
      <c r="F4" s="144" t="s">
        <v>11</v>
      </c>
      <c r="G4" s="194" t="s">
        <v>12</v>
      </c>
      <c r="H4" s="194" t="s">
        <v>13</v>
      </c>
      <c r="I4" s="146">
        <v>0</v>
      </c>
      <c r="J4" s="146">
        <v>12</v>
      </c>
      <c r="K4" s="146">
        <v>50</v>
      </c>
      <c r="L4" s="146">
        <v>100</v>
      </c>
      <c r="M4" s="146">
        <v>400</v>
      </c>
      <c r="N4" s="146">
        <v>700</v>
      </c>
      <c r="O4" s="146">
        <v>0</v>
      </c>
      <c r="P4" s="146">
        <f>J4*20.89</f>
        <v>250.68</v>
      </c>
      <c r="Q4" s="146">
        <f t="shared" ref="Q4:T6" si="0">K4*20.89</f>
        <v>1044.5</v>
      </c>
      <c r="R4" s="146">
        <f t="shared" si="0"/>
        <v>2089</v>
      </c>
      <c r="S4" s="146">
        <f t="shared" si="0"/>
        <v>8356</v>
      </c>
      <c r="T4" s="146">
        <f t="shared" si="0"/>
        <v>14623</v>
      </c>
    </row>
    <row r="5" spans="1:20" ht="21" customHeight="1" x14ac:dyDescent="0.3">
      <c r="A5" s="2"/>
      <c r="B5" s="1">
        <v>57</v>
      </c>
      <c r="C5" s="134" t="s">
        <v>14</v>
      </c>
      <c r="D5" s="135" t="s">
        <v>15</v>
      </c>
      <c r="E5" s="148">
        <f>P32</f>
        <v>13.556452770260014</v>
      </c>
      <c r="F5" s="148">
        <f>P33</f>
        <v>11.986588005632356</v>
      </c>
      <c r="G5" s="148">
        <f>P36</f>
        <v>9.3475569224581463</v>
      </c>
      <c r="H5" s="148">
        <f>P37</f>
        <v>8.4488261641504643</v>
      </c>
      <c r="I5" s="137">
        <v>0</v>
      </c>
      <c r="J5" s="137" t="s">
        <v>15</v>
      </c>
      <c r="K5" s="136">
        <f>IF(E5="NA", "NA", K4*TAN(RADIANS(E5)))</f>
        <v>12.056054122853963</v>
      </c>
      <c r="L5" s="136">
        <f>IF(F5="NA", "NA", L4*TAN(RADIANS(F5)))</f>
        <v>21.231191441814413</v>
      </c>
      <c r="M5" s="136">
        <f>IF(G5="NA", "NA", M4*TAN(RADIANS(G5)))</f>
        <v>65.843471627808995</v>
      </c>
      <c r="N5" s="136">
        <f>IF(H5="NA", "NA", N4*TAN(RADIANS(H5)))</f>
        <v>103.97661537259941</v>
      </c>
      <c r="O5" s="138">
        <v>0</v>
      </c>
      <c r="P5" s="138" t="s">
        <v>15</v>
      </c>
      <c r="Q5" s="138">
        <f t="shared" si="0"/>
        <v>251.8509706264193</v>
      </c>
      <c r="R5" s="138">
        <f t="shared" si="0"/>
        <v>443.51958921950313</v>
      </c>
      <c r="S5" s="138">
        <f t="shared" si="0"/>
        <v>1375.4701223049299</v>
      </c>
      <c r="T5" s="138">
        <f t="shared" si="0"/>
        <v>2172.0714951336017</v>
      </c>
    </row>
    <row r="6" spans="1:20" ht="20.25" customHeight="1" x14ac:dyDescent="0.25">
      <c r="A6" s="2"/>
      <c r="B6" s="208"/>
      <c r="C6" s="4" t="s">
        <v>16</v>
      </c>
      <c r="D6" s="5">
        <f>D12-2.5</f>
        <v>26.647038959889887</v>
      </c>
      <c r="E6" s="5">
        <f>L32</f>
        <v>22.726145248956179</v>
      </c>
      <c r="F6" s="5">
        <f>L33</f>
        <v>20.964189450202987</v>
      </c>
      <c r="G6" s="5">
        <f>L36</f>
        <v>17.727715562485393</v>
      </c>
      <c r="H6" s="6" t="s">
        <v>15</v>
      </c>
      <c r="I6" s="5">
        <v>0</v>
      </c>
      <c r="J6" s="5">
        <f>IF(D6="NA", "NA", J4*TAN(RADIANS(D6)))</f>
        <v>6.0214797342935249</v>
      </c>
      <c r="K6" s="5">
        <f>IF(E6="NA", "NA", K4*TAN(RADIANS(E6)))</f>
        <v>20.942266630987806</v>
      </c>
      <c r="L6" s="5">
        <f>IF(F6="NA", "NA", L4*TAN(RADIANS(F6)))</f>
        <v>38.314709843159363</v>
      </c>
      <c r="M6" s="5">
        <f>IF(G6="NA","NA",M4*TAN(RADIANS(G6)))</f>
        <v>127.86951503880803</v>
      </c>
      <c r="N6" s="5" t="s">
        <v>15</v>
      </c>
      <c r="O6" s="5">
        <f>I6*20.89</f>
        <v>0</v>
      </c>
      <c r="P6" s="5">
        <f t="shared" ref="P6" si="1">J6*20.89</f>
        <v>125.78871164939174</v>
      </c>
      <c r="Q6" s="5">
        <f t="shared" si="0"/>
        <v>437.4839499213353</v>
      </c>
      <c r="R6" s="5">
        <f t="shared" si="0"/>
        <v>800.3942886235991</v>
      </c>
      <c r="S6" s="5">
        <f t="shared" si="0"/>
        <v>2671.1941691606999</v>
      </c>
      <c r="T6" s="5" t="s">
        <v>15</v>
      </c>
    </row>
    <row r="7" spans="1:20" ht="17.25" hidden="1" customHeight="1" x14ac:dyDescent="0.3">
      <c r="A7" s="2"/>
      <c r="B7" s="169">
        <f>IF(B5&lt;15,"NA",IF(B5&lt;=250,(-0.1155919163 * LN(B5) + 0.9009033321),"NA"))</f>
        <v>0.43355928835185975</v>
      </c>
      <c r="C7" s="102">
        <f>IF(B5&lt;15,"NA",IF(B5&lt;=250,(1.01942688696052 - 0.0073472240400078 *B5 + 0.000178309220623747 *B5^ 2 - 2.38795286739483E-06 *B5^ 3 + 1.68890854353566E-08 *B5^ 4 - 6.33820210851731E-11 *B5^ 5 + 1.20443010803692E-13 *B5^ 6- 9.17672439667536E-17 *B5^ 7),"NA"))</f>
        <v>0.88182573502768502</v>
      </c>
      <c r="D7" s="168"/>
      <c r="E7" s="105"/>
      <c r="L7" s="198"/>
      <c r="M7" s="199"/>
      <c r="N7" s="202"/>
      <c r="O7" s="203"/>
      <c r="P7" s="204"/>
      <c r="Q7" s="2"/>
      <c r="R7" s="2"/>
      <c r="S7" s="2"/>
      <c r="T7" s="2"/>
    </row>
    <row r="8" spans="1:20" ht="18.75" hidden="1" x14ac:dyDescent="0.25">
      <c r="A8" s="2"/>
      <c r="B8" s="170" t="s">
        <v>35</v>
      </c>
      <c r="C8" s="103" t="s">
        <v>36</v>
      </c>
      <c r="D8" s="104" t="s">
        <v>37</v>
      </c>
      <c r="E8" s="178"/>
      <c r="I8" s="192"/>
      <c r="J8" s="192" t="s">
        <v>34</v>
      </c>
      <c r="K8" s="7" t="s">
        <v>33</v>
      </c>
      <c r="L8" s="198"/>
      <c r="M8" s="199"/>
      <c r="N8" s="202"/>
      <c r="O8" s="203"/>
      <c r="P8" s="204"/>
      <c r="Q8" s="2"/>
      <c r="R8" s="2"/>
      <c r="S8" s="2"/>
      <c r="T8" s="2"/>
    </row>
    <row r="9" spans="1:20" hidden="1" x14ac:dyDescent="0.25">
      <c r="A9" s="2"/>
      <c r="B9" s="172">
        <v>0</v>
      </c>
      <c r="C9" s="107">
        <v>0</v>
      </c>
      <c r="D9" s="106" t="s">
        <v>38</v>
      </c>
      <c r="E9" s="191"/>
      <c r="F9" s="191" t="s">
        <v>92</v>
      </c>
      <c r="G9" s="191" t="s">
        <v>93</v>
      </c>
      <c r="H9" s="7" t="s">
        <v>94</v>
      </c>
      <c r="I9" s="7" t="s">
        <v>95</v>
      </c>
      <c r="J9" s="191">
        <f>(SUM(J10:J18))/(SUM(K10:K18))</f>
        <v>0.87210096486930888</v>
      </c>
      <c r="K9" s="191">
        <f>10^(I10-(J9*H10))</f>
        <v>0.38202286527764995</v>
      </c>
      <c r="L9" s="198"/>
      <c r="M9" s="199"/>
      <c r="N9" s="202"/>
      <c r="O9" s="203"/>
      <c r="P9" s="204"/>
      <c r="Q9" s="2"/>
      <c r="R9" s="2"/>
      <c r="S9" s="2"/>
      <c r="T9" s="2"/>
    </row>
    <row r="10" spans="1:20" hidden="1" x14ac:dyDescent="0.25">
      <c r="A10" s="2"/>
      <c r="B10" s="172">
        <v>5</v>
      </c>
      <c r="C10" s="107">
        <f>$B$7*101*(B10/101)^$C$7</f>
        <v>3.0922702179223935</v>
      </c>
      <c r="D10" s="107">
        <f t="shared" ref="D10:D18" si="2">DEGREES(ATAN(C10/B10))</f>
        <v>31.734886451946124</v>
      </c>
      <c r="E10" s="191">
        <f t="shared" ref="E10:E18" si="3">B10*TAN(RADIANS(D10-2.5))</f>
        <v>2.7984022437250822</v>
      </c>
      <c r="F10" s="191">
        <f>LOG(E10/101)</f>
        <v>-1.5574112334358374</v>
      </c>
      <c r="G10" s="191">
        <f t="shared" ref="G10:G18" si="4">LOG(B10/101)</f>
        <v>-1.3053513694466237</v>
      </c>
      <c r="H10" s="191">
        <f>AVERAGE(G10:G18)</f>
        <v>-0.30929109543783073</v>
      </c>
      <c r="I10" s="191">
        <f>AVERAGE(F10:F18)</f>
        <v>-0.68764370516781637</v>
      </c>
      <c r="J10" s="191">
        <f>(G10-H10)*(F10-I10)</f>
        <v>0.8663408825305956</v>
      </c>
      <c r="K10" s="191">
        <f>(G10-H10)^2</f>
        <v>0.99213606945847166</v>
      </c>
      <c r="L10" s="198"/>
      <c r="M10" s="199"/>
      <c r="N10" s="202"/>
      <c r="O10" s="203"/>
      <c r="P10" s="204"/>
      <c r="Q10" s="2"/>
      <c r="R10" s="2"/>
      <c r="S10" s="2"/>
      <c r="T10" s="2"/>
    </row>
    <row r="11" spans="1:20" hidden="1" x14ac:dyDescent="0.25">
      <c r="A11" s="2"/>
      <c r="B11" s="172">
        <v>10</v>
      </c>
      <c r="C11" s="107">
        <f t="shared" ref="C11:C18" si="5">$B$7*101*(B11/101)^$C$7</f>
        <v>5.6981441920598366</v>
      </c>
      <c r="D11" s="107">
        <f t="shared" si="2"/>
        <v>29.675114029828411</v>
      </c>
      <c r="E11" s="191">
        <f t="shared" si="3"/>
        <v>5.1338125161240011</v>
      </c>
      <c r="F11" s="191">
        <f t="shared" ref="F11:F18" si="6">LOG(E11/101)</f>
        <v>-1.2938813693419471</v>
      </c>
      <c r="G11" s="191">
        <f t="shared" si="4"/>
        <v>-1.0043213737826426</v>
      </c>
      <c r="H11" s="191">
        <f>H10</f>
        <v>-0.30929109543783073</v>
      </c>
      <c r="I11" s="191">
        <f>I10</f>
        <v>-0.68764370516781637</v>
      </c>
      <c r="J11" s="191">
        <f t="shared" ref="J11:J18" si="7">(G11-H11)*(F11-I11)</f>
        <v>0.42135353247405466</v>
      </c>
      <c r="K11" s="191">
        <f t="shared" ref="K11:K18" si="8">(G11-H11)^2</f>
        <v>0.48306708781606672</v>
      </c>
      <c r="L11" s="205"/>
      <c r="M11" s="200"/>
      <c r="N11" s="200"/>
      <c r="O11" s="198"/>
      <c r="P11" s="198"/>
      <c r="Q11" s="2"/>
      <c r="R11" s="2"/>
      <c r="S11" s="2"/>
      <c r="T11" s="2"/>
    </row>
    <row r="12" spans="1:20" hidden="1" x14ac:dyDescent="0.25">
      <c r="A12" s="2"/>
      <c r="B12" s="172">
        <v>12</v>
      </c>
      <c r="C12" s="107">
        <f t="shared" si="5"/>
        <v>6.6920240858494724</v>
      </c>
      <c r="D12" s="107">
        <f t="shared" si="2"/>
        <v>29.147038959889887</v>
      </c>
      <c r="E12" s="191">
        <f t="shared" si="3"/>
        <v>6.0214797342935249</v>
      </c>
      <c r="F12" s="191">
        <f t="shared" ref="F12" si="9">LOG(E12/101)</f>
        <v>-1.2246181447391344</v>
      </c>
      <c r="G12" s="191">
        <f t="shared" ref="G12" si="10">LOG(B12/101)</f>
        <v>-0.92514012773501775</v>
      </c>
      <c r="H12" s="191">
        <f>H11</f>
        <v>-0.30929109543783073</v>
      </c>
      <c r="I12" s="191">
        <f>I11</f>
        <v>-0.68764370516781637</v>
      </c>
      <c r="J12" s="191">
        <f t="shared" ref="J12" si="11">(G12-H12)*(F12-I12)</f>
        <v>0.33069518897832056</v>
      </c>
      <c r="K12" s="191">
        <f t="shared" ref="K12" si="12">(G12-H12)^2</f>
        <v>0.3792700305813817</v>
      </c>
      <c r="L12" s="205"/>
      <c r="M12" s="200"/>
      <c r="N12" s="200"/>
      <c r="O12" s="198"/>
      <c r="P12" s="198"/>
      <c r="Q12" s="2"/>
      <c r="R12" s="2"/>
      <c r="S12" s="2"/>
      <c r="T12" s="2"/>
    </row>
    <row r="13" spans="1:20" ht="18.75" hidden="1" x14ac:dyDescent="0.3">
      <c r="A13" s="2"/>
      <c r="B13" s="172">
        <v>25</v>
      </c>
      <c r="C13" s="107">
        <f t="shared" si="5"/>
        <v>12.783423462238044</v>
      </c>
      <c r="D13" s="107">
        <f t="shared" si="2"/>
        <v>27.082338259666155</v>
      </c>
      <c r="E13" s="191">
        <f t="shared" si="3"/>
        <v>11.436573213164321</v>
      </c>
      <c r="F13" s="191">
        <f t="shared" si="6"/>
        <v>-0.94602545925168757</v>
      </c>
      <c r="G13" s="191">
        <f t="shared" si="4"/>
        <v>-0.60638136511060492</v>
      </c>
      <c r="H13" s="191">
        <f>H11</f>
        <v>-0.30929109543783073</v>
      </c>
      <c r="I13" s="191">
        <f>I11</f>
        <v>-0.68764370516781637</v>
      </c>
      <c r="J13" s="191">
        <f t="shared" si="7"/>
        <v>7.6762704999301726E-2</v>
      </c>
      <c r="K13" s="191">
        <f t="shared" si="8"/>
        <v>8.8262628334241686E-2</v>
      </c>
      <c r="L13" s="201"/>
      <c r="M13" s="200"/>
      <c r="N13" s="200"/>
      <c r="O13" s="198"/>
      <c r="P13" s="198"/>
      <c r="Q13" s="2"/>
      <c r="R13" s="2"/>
      <c r="S13" s="2"/>
      <c r="T13" s="2"/>
    </row>
    <row r="14" spans="1:20" hidden="1" x14ac:dyDescent="0.25">
      <c r="A14" s="2"/>
      <c r="B14" s="172">
        <v>50</v>
      </c>
      <c r="C14" s="107">
        <f t="shared" si="5"/>
        <v>23.556088253158357</v>
      </c>
      <c r="D14" s="107">
        <f t="shared" si="2"/>
        <v>25.226145248956179</v>
      </c>
      <c r="E14" s="191">
        <f t="shared" si="3"/>
        <v>20.942266630987806</v>
      </c>
      <c r="F14" s="191">
        <f t="shared" si="6"/>
        <v>-0.68329768917824218</v>
      </c>
      <c r="G14" s="191">
        <f t="shared" si="4"/>
        <v>-0.30535136944662378</v>
      </c>
      <c r="H14" s="191">
        <f t="shared" ref="H14:I18" si="13">H13</f>
        <v>-0.30929109543783073</v>
      </c>
      <c r="I14" s="191">
        <f t="shared" si="13"/>
        <v>-0.68764370516781637</v>
      </c>
      <c r="J14" s="191">
        <f t="shared" si="7"/>
        <v>1.7122112152326417E-5</v>
      </c>
      <c r="K14" s="191">
        <f t="shared" si="8"/>
        <v>1.5521440885791623E-5</v>
      </c>
      <c r="L14" s="198"/>
      <c r="M14" s="200"/>
      <c r="N14" s="200"/>
      <c r="O14" s="198"/>
      <c r="P14" s="198"/>
      <c r="Q14" s="2"/>
      <c r="R14" s="2"/>
      <c r="S14" s="2"/>
      <c r="T14" s="2"/>
    </row>
    <row r="15" spans="1:20" hidden="1" x14ac:dyDescent="0.25">
      <c r="A15" s="2"/>
      <c r="B15" s="172">
        <v>100</v>
      </c>
      <c r="C15" s="107">
        <f t="shared" si="5"/>
        <v>43.40693988818537</v>
      </c>
      <c r="D15" s="107">
        <f t="shared" si="2"/>
        <v>23.464189450202987</v>
      </c>
      <c r="E15" s="191">
        <f t="shared" si="3"/>
        <v>38.314709843159363</v>
      </c>
      <c r="F15" s="191">
        <f t="shared" si="6"/>
        <v>-0.42095583278441551</v>
      </c>
      <c r="G15" s="191">
        <f t="shared" si="4"/>
        <v>-4.3213737826425782E-3</v>
      </c>
      <c r="H15" s="191">
        <f t="shared" si="13"/>
        <v>-0.30929109543783073</v>
      </c>
      <c r="I15" s="191">
        <f t="shared" si="13"/>
        <v>-0.68764370516781637</v>
      </c>
      <c r="J15" s="191">
        <f t="shared" si="7"/>
        <v>8.1331726209580096E-2</v>
      </c>
      <c r="K15" s="191">
        <f t="shared" si="8"/>
        <v>9.3006531126442943E-2</v>
      </c>
      <c r="L15" s="198"/>
      <c r="M15" s="206"/>
      <c r="N15" s="204"/>
      <c r="O15" s="198"/>
      <c r="P15" s="198"/>
      <c r="Q15" s="2"/>
      <c r="R15" s="2"/>
      <c r="S15" s="2"/>
      <c r="T15" s="2"/>
    </row>
    <row r="16" spans="1:20" hidden="1" x14ac:dyDescent="0.25">
      <c r="A16" s="2"/>
      <c r="B16" s="172">
        <v>200</v>
      </c>
      <c r="C16" s="107">
        <f t="shared" si="5"/>
        <v>79.986218858044609</v>
      </c>
      <c r="D16" s="107">
        <f t="shared" si="2"/>
        <v>21.798005951731884</v>
      </c>
      <c r="E16" s="191">
        <f t="shared" si="3"/>
        <v>70.031189851584656</v>
      </c>
      <c r="F16" s="191">
        <f t="shared" si="6"/>
        <v>-0.15902986857433921</v>
      </c>
      <c r="G16" s="191">
        <f t="shared" si="4"/>
        <v>0.29670862188133862</v>
      </c>
      <c r="H16" s="191">
        <f t="shared" si="13"/>
        <v>-0.30929109543783073</v>
      </c>
      <c r="I16" s="191">
        <f t="shared" si="13"/>
        <v>-0.68764370516781637</v>
      </c>
      <c r="J16" s="191">
        <f t="shared" si="7"/>
        <v>0.32033983554664874</v>
      </c>
      <c r="K16" s="191">
        <f t="shared" si="8"/>
        <v>0.36723565739091318</v>
      </c>
      <c r="L16" s="198"/>
      <c r="M16" s="206"/>
      <c r="N16" s="204"/>
      <c r="O16" s="198"/>
      <c r="P16" s="198"/>
      <c r="Q16" s="2"/>
      <c r="R16" s="2"/>
      <c r="S16" s="2"/>
      <c r="T16" s="2"/>
    </row>
    <row r="17" spans="1:20" hidden="1" x14ac:dyDescent="0.25">
      <c r="A17" s="2"/>
      <c r="B17" s="172">
        <v>300</v>
      </c>
      <c r="C17" s="107">
        <f t="shared" si="5"/>
        <v>114.3660103582224</v>
      </c>
      <c r="D17" s="107">
        <f t="shared" si="2"/>
        <v>20.867848768428495</v>
      </c>
      <c r="E17" s="191">
        <f t="shared" si="3"/>
        <v>99.609779859673566</v>
      </c>
      <c r="F17" s="191">
        <f t="shared" si="6"/>
        <v>-6.0193934856741446E-3</v>
      </c>
      <c r="G17" s="191">
        <f t="shared" si="4"/>
        <v>0.47279988093701986</v>
      </c>
      <c r="H17" s="191">
        <f t="shared" si="13"/>
        <v>-0.30929109543783073</v>
      </c>
      <c r="I17" s="191">
        <f t="shared" si="13"/>
        <v>-0.68764370516781637</v>
      </c>
      <c r="J17" s="191">
        <f t="shared" si="7"/>
        <v>0.53309222344432206</v>
      </c>
      <c r="K17" s="191">
        <f t="shared" si="8"/>
        <v>0.61166629532696715</v>
      </c>
      <c r="L17" s="198"/>
      <c r="M17" s="206"/>
      <c r="N17" s="204"/>
      <c r="O17" s="198"/>
      <c r="P17" s="198"/>
      <c r="Q17" s="2"/>
      <c r="R17" s="2"/>
      <c r="S17" s="2"/>
      <c r="T17" s="2"/>
    </row>
    <row r="18" spans="1:20" ht="15.75" hidden="1" thickBot="1" x14ac:dyDescent="0.3">
      <c r="A18" s="2"/>
      <c r="B18" s="174">
        <v>400</v>
      </c>
      <c r="C18" s="107">
        <f t="shared" si="5"/>
        <v>147.39106750412466</v>
      </c>
      <c r="D18" s="175">
        <f t="shared" si="2"/>
        <v>20.227715562485393</v>
      </c>
      <c r="E18" s="191">
        <f t="shared" si="3"/>
        <v>127.86951503880803</v>
      </c>
      <c r="F18" s="191">
        <f t="shared" si="6"/>
        <v>0.102445644280931</v>
      </c>
      <c r="G18" s="191">
        <f t="shared" si="4"/>
        <v>0.59773861754531976</v>
      </c>
      <c r="H18" s="191">
        <f t="shared" si="13"/>
        <v>-0.30929109543783073</v>
      </c>
      <c r="I18" s="191">
        <f t="shared" si="13"/>
        <v>-0.68764370516781637</v>
      </c>
      <c r="J18" s="191">
        <f t="shared" si="7"/>
        <v>0.71663451586154137</v>
      </c>
      <c r="K18" s="191">
        <f t="shared" si="8"/>
        <v>0.82270290023429637</v>
      </c>
      <c r="L18" s="198"/>
      <c r="M18" s="206"/>
      <c r="N18" s="204"/>
      <c r="O18" s="198"/>
      <c r="P18" s="198"/>
      <c r="Q18" s="2"/>
      <c r="R18" s="2"/>
      <c r="S18" s="2"/>
      <c r="T18" s="2"/>
    </row>
    <row r="19" spans="1:20" hidden="1" x14ac:dyDescent="0.25">
      <c r="A19" s="2"/>
      <c r="L19" s="150"/>
      <c r="M19" s="99"/>
      <c r="N19" s="93"/>
      <c r="Q19" s="2"/>
      <c r="R19" s="2"/>
      <c r="S19" s="2"/>
      <c r="T19" s="2"/>
    </row>
    <row r="20" spans="1:20" ht="21" hidden="1" customHeight="1" x14ac:dyDescent="0.3">
      <c r="A20" s="2"/>
      <c r="B20" s="147"/>
      <c r="C20" s="19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2"/>
      <c r="S20" s="2"/>
      <c r="T20" s="2"/>
    </row>
    <row r="21" spans="1:20" ht="18" customHeight="1" thickBot="1" x14ac:dyDescent="0.3">
      <c r="A21" s="2"/>
      <c r="B21" s="2"/>
      <c r="C21" s="2"/>
      <c r="D21" s="2"/>
      <c r="E21" s="2"/>
      <c r="F21" s="2"/>
      <c r="G21" s="2"/>
      <c r="H21" s="2"/>
      <c r="I21" s="2"/>
      <c r="J21" s="263"/>
      <c r="K21" s="264"/>
      <c r="L21" s="264"/>
      <c r="M21" s="264"/>
      <c r="N21" s="264"/>
      <c r="O21" s="100"/>
      <c r="P21" s="100"/>
      <c r="Q21" s="100"/>
      <c r="R21" s="2"/>
      <c r="S21" s="2"/>
      <c r="T21" s="2"/>
    </row>
    <row r="22" spans="1:20" ht="18.9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09" t="s">
        <v>85</v>
      </c>
      <c r="K22" s="210"/>
      <c r="L22" s="210"/>
      <c r="M22" s="211"/>
      <c r="N22" s="282" t="s">
        <v>86</v>
      </c>
      <c r="O22" s="283"/>
      <c r="P22" s="283"/>
      <c r="Q22" s="284"/>
      <c r="R22" s="2"/>
      <c r="S22" s="2"/>
      <c r="T22" s="2"/>
    </row>
    <row r="23" spans="1:20" ht="18.95" customHeight="1" thickBot="1" x14ac:dyDescent="0.3">
      <c r="A23" s="2"/>
      <c r="B23" s="2"/>
      <c r="C23" s="2"/>
      <c r="D23" s="2"/>
      <c r="E23" s="2"/>
      <c r="F23" s="2"/>
      <c r="G23" s="2"/>
      <c r="H23" s="2"/>
      <c r="I23" s="2"/>
      <c r="J23" s="212"/>
      <c r="K23" s="213"/>
      <c r="L23" s="213"/>
      <c r="M23" s="214"/>
      <c r="N23" s="285"/>
      <c r="O23" s="286"/>
      <c r="P23" s="286"/>
      <c r="Q23" s="287"/>
      <c r="R23" s="2"/>
      <c r="S23" s="2"/>
      <c r="T23" s="2"/>
    </row>
    <row r="24" spans="1:20" ht="18.9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46" t="s">
        <v>32</v>
      </c>
      <c r="K24" s="247"/>
      <c r="L24" s="165"/>
      <c r="M24" s="177"/>
      <c r="N24" s="246" t="s">
        <v>32</v>
      </c>
      <c r="O24" s="247"/>
      <c r="P24" s="165"/>
      <c r="Q24" s="166"/>
      <c r="R24" s="2"/>
      <c r="S24" s="2"/>
      <c r="T24" s="2"/>
    </row>
    <row r="25" spans="1:20" ht="18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167" t="s">
        <v>33</v>
      </c>
      <c r="K25" s="101" t="s">
        <v>34</v>
      </c>
      <c r="L25" s="168"/>
      <c r="M25" s="177"/>
      <c r="N25" s="167" t="s">
        <v>33</v>
      </c>
      <c r="O25" s="101" t="s">
        <v>34</v>
      </c>
      <c r="P25" s="168"/>
      <c r="Q25" s="166"/>
      <c r="R25" s="269" t="s">
        <v>90</v>
      </c>
      <c r="S25" s="270"/>
      <c r="T25" s="270"/>
    </row>
    <row r="26" spans="1:20" ht="20.100000000000001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169">
        <f>K9</f>
        <v>0.38202286527764995</v>
      </c>
      <c r="K26" s="102">
        <f>J9</f>
        <v>0.87210096486930888</v>
      </c>
      <c r="L26" s="168"/>
      <c r="M26" s="105"/>
      <c r="N26" s="169">
        <f>IF(B5&lt;15,"NA",IF(B5&lt;=250,(2.818*((B5)^(-0.64))),"NA"))</f>
        <v>0.21192445801311108</v>
      </c>
      <c r="O26" s="102">
        <f>IF(B5&lt;15,"NA",IF(B5&lt;=250,(1.07-0.0083*B5+0.0000836*(B5)^2-0.0000003027*(B5)^3+0.000000000376*B5^4),"NA"))</f>
        <v>0.81642753527599998</v>
      </c>
      <c r="P26" s="168"/>
      <c r="Q26" s="181"/>
      <c r="R26" s="270"/>
      <c r="S26" s="270"/>
      <c r="T26" s="270"/>
    </row>
    <row r="27" spans="1:20" ht="18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170" t="s">
        <v>35</v>
      </c>
      <c r="K27" s="103" t="s">
        <v>36</v>
      </c>
      <c r="L27" s="104" t="s">
        <v>37</v>
      </c>
      <c r="M27" s="178" t="s">
        <v>84</v>
      </c>
      <c r="N27" s="170" t="s">
        <v>35</v>
      </c>
      <c r="O27" s="103" t="s">
        <v>36</v>
      </c>
      <c r="P27" s="104" t="s">
        <v>37</v>
      </c>
      <c r="Q27" s="171" t="s">
        <v>84</v>
      </c>
      <c r="R27" s="270"/>
      <c r="S27" s="270"/>
      <c r="T27" s="270"/>
    </row>
    <row r="28" spans="1:20" ht="22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172">
        <v>0</v>
      </c>
      <c r="K28" s="107">
        <v>0</v>
      </c>
      <c r="L28" s="106" t="s">
        <v>38</v>
      </c>
      <c r="M28" s="179">
        <f>K28*20.89</f>
        <v>0</v>
      </c>
      <c r="N28" s="172">
        <v>0</v>
      </c>
      <c r="O28" s="107">
        <v>0</v>
      </c>
      <c r="P28" s="106" t="s">
        <v>38</v>
      </c>
      <c r="Q28" s="173">
        <f>O28*20.89</f>
        <v>0</v>
      </c>
      <c r="R28" s="270"/>
      <c r="S28" s="270"/>
      <c r="T28" s="270"/>
    </row>
    <row r="29" spans="1:20" ht="20.100000000000001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172">
        <v>5</v>
      </c>
      <c r="K29" s="107">
        <f t="shared" ref="K29:K36" si="14">J$26*101*(J29/101)^K$26</f>
        <v>2.805514661073115</v>
      </c>
      <c r="L29" s="107">
        <f>D10-2.5</f>
        <v>29.234886451946124</v>
      </c>
      <c r="M29" s="179">
        <f t="shared" ref="M29:M36" si="15">K29*20.89</f>
        <v>58.607201269817374</v>
      </c>
      <c r="N29" s="172">
        <v>5</v>
      </c>
      <c r="O29" s="107">
        <f t="shared" ref="O29:O37" si="16">N$26*101*(N29/101)^O$26</f>
        <v>1.8398298202805263</v>
      </c>
      <c r="P29" s="107">
        <f t="shared" ref="P29:P37" si="17">DEGREES(ATAN(O29/N29))</f>
        <v>20.201897627169657</v>
      </c>
      <c r="Q29" s="173">
        <f t="shared" ref="Q29:Q37" si="18">O29*20.89</f>
        <v>38.434044945660197</v>
      </c>
      <c r="R29" s="270"/>
      <c r="S29" s="270"/>
      <c r="T29" s="270"/>
    </row>
    <row r="30" spans="1:20" ht="20.100000000000001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172">
        <v>10</v>
      </c>
      <c r="K30" s="107">
        <f t="shared" si="14"/>
        <v>5.1350076183429803</v>
      </c>
      <c r="L30" s="107">
        <f>D11-2.5</f>
        <v>27.175114029828411</v>
      </c>
      <c r="M30" s="179">
        <f t="shared" si="15"/>
        <v>107.27030914718486</v>
      </c>
      <c r="N30" s="172">
        <v>10</v>
      </c>
      <c r="O30" s="107">
        <f t="shared" si="16"/>
        <v>3.2400135846012588</v>
      </c>
      <c r="P30" s="107">
        <f t="shared" si="17"/>
        <v>17.952394748900012</v>
      </c>
      <c r="Q30" s="173">
        <f t="shared" si="18"/>
        <v>67.683883782320294</v>
      </c>
      <c r="R30" s="270"/>
      <c r="S30" s="270"/>
      <c r="T30" s="270"/>
    </row>
    <row r="31" spans="1:20" ht="20.100000000000001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172">
        <v>25</v>
      </c>
      <c r="K31" s="107">
        <f t="shared" si="14"/>
        <v>11.41786641950654</v>
      </c>
      <c r="L31" s="107">
        <f>D13-2.5</f>
        <v>24.582338259666155</v>
      </c>
      <c r="M31" s="179">
        <f t="shared" si="15"/>
        <v>238.51922950349163</v>
      </c>
      <c r="N31" s="172">
        <v>25</v>
      </c>
      <c r="O31" s="107">
        <f t="shared" si="16"/>
        <v>6.8459860772072894</v>
      </c>
      <c r="P31" s="107">
        <f t="shared" si="17"/>
        <v>15.314413040374475</v>
      </c>
      <c r="Q31" s="173">
        <f t="shared" si="18"/>
        <v>143.01264915286029</v>
      </c>
      <c r="R31" s="270"/>
      <c r="S31" s="270"/>
      <c r="T31" s="270"/>
    </row>
    <row r="32" spans="1:20" ht="20.100000000000001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172">
        <v>50</v>
      </c>
      <c r="K32" s="107">
        <f t="shared" si="14"/>
        <v>20.898422618458945</v>
      </c>
      <c r="L32" s="107">
        <f>D14-2.5</f>
        <v>22.726145248956179</v>
      </c>
      <c r="M32" s="179">
        <f t="shared" si="15"/>
        <v>436.56804849960736</v>
      </c>
      <c r="N32" s="172">
        <v>50</v>
      </c>
      <c r="O32" s="107">
        <f t="shared" si="16"/>
        <v>12.056054122853963</v>
      </c>
      <c r="P32" s="107">
        <f t="shared" si="17"/>
        <v>13.556452770260014</v>
      </c>
      <c r="Q32" s="173">
        <f t="shared" si="18"/>
        <v>251.8509706264193</v>
      </c>
      <c r="R32" s="270"/>
      <c r="S32" s="270"/>
      <c r="T32" s="270"/>
    </row>
    <row r="33" spans="1:20" ht="20.100000000000001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172">
        <v>100</v>
      </c>
      <c r="K33" s="107">
        <f t="shared" si="14"/>
        <v>38.2509351478813</v>
      </c>
      <c r="L33" s="107">
        <f t="shared" ref="L33:L36" si="19">D15-2.5</f>
        <v>20.964189450202987</v>
      </c>
      <c r="M33" s="179">
        <f t="shared" si="15"/>
        <v>799.06203523924034</v>
      </c>
      <c r="N33" s="172">
        <v>100</v>
      </c>
      <c r="O33" s="107">
        <f t="shared" si="16"/>
        <v>21.231191441814413</v>
      </c>
      <c r="P33" s="107">
        <f t="shared" si="17"/>
        <v>11.986588005632356</v>
      </c>
      <c r="Q33" s="173">
        <f t="shared" si="18"/>
        <v>443.51958921950313</v>
      </c>
      <c r="R33" s="270"/>
      <c r="S33" s="270"/>
      <c r="T33" s="270"/>
    </row>
    <row r="34" spans="1:20" ht="20.100000000000001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172">
        <v>200</v>
      </c>
      <c r="K34" s="107">
        <f t="shared" si="14"/>
        <v>70.011697361076372</v>
      </c>
      <c r="L34" s="107">
        <f t="shared" si="19"/>
        <v>19.298005951731884</v>
      </c>
      <c r="M34" s="179">
        <f t="shared" si="15"/>
        <v>1462.5443578728855</v>
      </c>
      <c r="N34" s="172">
        <v>200</v>
      </c>
      <c r="O34" s="107">
        <f t="shared" si="16"/>
        <v>37.388973659672558</v>
      </c>
      <c r="P34" s="107">
        <f t="shared" si="17"/>
        <v>10.588925713268422</v>
      </c>
      <c r="Q34" s="173">
        <f t="shared" si="18"/>
        <v>781.05565975055981</v>
      </c>
      <c r="R34" s="270"/>
      <c r="S34" s="270"/>
      <c r="T34" s="270"/>
    </row>
    <row r="35" spans="1:20" ht="20.100000000000001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172">
        <v>300</v>
      </c>
      <c r="K35" s="107">
        <f t="shared" si="14"/>
        <v>99.710286408247768</v>
      </c>
      <c r="L35" s="107">
        <f t="shared" si="19"/>
        <v>18.367848768428495</v>
      </c>
      <c r="M35" s="179">
        <f t="shared" si="15"/>
        <v>2082.9478830682961</v>
      </c>
      <c r="N35" s="172">
        <v>300</v>
      </c>
      <c r="O35" s="107">
        <f t="shared" si="16"/>
        <v>52.060615264584271</v>
      </c>
      <c r="P35" s="107">
        <f t="shared" si="17"/>
        <v>9.8448025754108315</v>
      </c>
      <c r="Q35" s="173">
        <f t="shared" si="18"/>
        <v>1087.5462528771654</v>
      </c>
      <c r="R35" s="270"/>
      <c r="S35" s="270"/>
      <c r="T35" s="270"/>
    </row>
    <row r="36" spans="1:20" ht="20.100000000000001" customHeight="1" thickBot="1" x14ac:dyDescent="0.3">
      <c r="A36" s="2"/>
      <c r="B36" s="2"/>
      <c r="C36" s="2"/>
      <c r="D36" s="2"/>
      <c r="E36" s="2"/>
      <c r="F36" s="2"/>
      <c r="G36" s="2"/>
      <c r="H36" s="2"/>
      <c r="I36" s="2"/>
      <c r="J36" s="174">
        <v>400</v>
      </c>
      <c r="K36" s="175">
        <f t="shared" si="14"/>
        <v>128.14425970054876</v>
      </c>
      <c r="L36" s="107">
        <f t="shared" si="19"/>
        <v>17.727715562485393</v>
      </c>
      <c r="M36" s="180">
        <f t="shared" si="15"/>
        <v>2676.9335851444634</v>
      </c>
      <c r="N36" s="172">
        <v>400</v>
      </c>
      <c r="O36" s="107">
        <f t="shared" si="16"/>
        <v>65.843471627808995</v>
      </c>
      <c r="P36" s="107">
        <f t="shared" si="17"/>
        <v>9.3475569224581463</v>
      </c>
      <c r="Q36" s="173">
        <f t="shared" si="18"/>
        <v>1375.4701223049299</v>
      </c>
      <c r="R36" s="2"/>
      <c r="S36" s="2"/>
      <c r="T36" s="2"/>
    </row>
    <row r="37" spans="1:20" ht="21" customHeight="1" thickBo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74">
        <v>700</v>
      </c>
      <c r="O37" s="175">
        <f t="shared" si="16"/>
        <v>103.97661537259941</v>
      </c>
      <c r="P37" s="175">
        <f t="shared" si="17"/>
        <v>8.4488261641504643</v>
      </c>
      <c r="Q37" s="176">
        <f t="shared" si="18"/>
        <v>2172.0714951336017</v>
      </c>
      <c r="R37" s="2"/>
      <c r="S37" s="2"/>
      <c r="T37" s="2"/>
    </row>
    <row r="38" spans="1:20" ht="20.100000000000001" customHeight="1" x14ac:dyDescent="0.25">
      <c r="A38" s="2"/>
      <c r="B38" s="168"/>
      <c r="C38" s="168"/>
      <c r="D38" s="168"/>
      <c r="E38" s="168"/>
      <c r="F38" s="168"/>
      <c r="G38" s="2"/>
      <c r="H38" s="2"/>
      <c r="I38" s="2"/>
      <c r="J38" s="2"/>
      <c r="K38" s="147"/>
      <c r="L38" s="147"/>
      <c r="M38" s="147"/>
      <c r="N38" s="147"/>
      <c r="O38" s="147"/>
      <c r="P38" s="147"/>
      <c r="Q38" s="147"/>
      <c r="R38" s="2"/>
      <c r="S38" s="2"/>
      <c r="T38" s="2"/>
    </row>
    <row r="39" spans="1:20" ht="22.5" customHeight="1" x14ac:dyDescent="0.25">
      <c r="A39" s="2"/>
      <c r="B39" s="168"/>
      <c r="C39" s="108"/>
      <c r="D39" s="108"/>
      <c r="E39" s="288" t="s">
        <v>69</v>
      </c>
      <c r="F39" s="289"/>
      <c r="G39" s="2"/>
      <c r="H39" s="109"/>
      <c r="I39" s="2"/>
      <c r="J39" s="2"/>
      <c r="K39" s="147"/>
      <c r="L39" s="147"/>
      <c r="M39" s="147"/>
      <c r="N39" s="147"/>
      <c r="O39" s="147"/>
      <c r="P39" s="147"/>
      <c r="Q39" s="147"/>
      <c r="R39" s="2"/>
      <c r="S39" s="2"/>
      <c r="T39" s="2"/>
    </row>
    <row r="40" spans="1:20" ht="21.95" customHeight="1" x14ac:dyDescent="0.25">
      <c r="A40" s="2"/>
      <c r="B40" s="168"/>
      <c r="C40" s="275" t="s">
        <v>40</v>
      </c>
      <c r="D40" s="276"/>
      <c r="E40" s="110" t="s">
        <v>41</v>
      </c>
      <c r="F40" s="111" t="s">
        <v>42</v>
      </c>
      <c r="G40" s="2"/>
      <c r="H40" s="112"/>
      <c r="I40" s="2"/>
      <c r="J40" s="2"/>
      <c r="K40" s="147"/>
      <c r="L40" s="168"/>
      <c r="M40" s="168"/>
      <c r="N40" s="168"/>
      <c r="O40" s="168"/>
      <c r="P40" s="147"/>
      <c r="Q40" s="147"/>
      <c r="R40" s="2"/>
      <c r="S40" s="2"/>
      <c r="T40" s="2"/>
    </row>
    <row r="41" spans="1:20" ht="23.1" customHeight="1" x14ac:dyDescent="0.25">
      <c r="A41" s="2"/>
      <c r="B41" s="168"/>
      <c r="C41" s="275" t="s">
        <v>70</v>
      </c>
      <c r="D41" s="276"/>
      <c r="E41" s="113">
        <v>15</v>
      </c>
      <c r="F41" s="114">
        <v>250</v>
      </c>
      <c r="G41" s="2"/>
      <c r="H41" s="115"/>
      <c r="I41" s="2"/>
      <c r="J41" s="2"/>
      <c r="K41" s="147"/>
      <c r="L41" s="168"/>
      <c r="M41" s="168"/>
      <c r="N41" s="168"/>
      <c r="O41" s="168"/>
      <c r="P41" s="147"/>
      <c r="Q41" s="147"/>
      <c r="R41" s="2"/>
      <c r="S41" s="2"/>
      <c r="T41" s="2"/>
    </row>
    <row r="42" spans="1:20" ht="21.95" customHeight="1" x14ac:dyDescent="0.45">
      <c r="A42" s="2"/>
      <c r="B42" s="168"/>
      <c r="C42" s="290"/>
      <c r="D42" s="290"/>
      <c r="E42" s="195"/>
      <c r="F42" s="195"/>
      <c r="G42" s="2"/>
      <c r="H42" s="277" t="s">
        <v>46</v>
      </c>
      <c r="I42" s="278"/>
      <c r="J42" s="278"/>
      <c r="K42" s="149"/>
      <c r="L42" s="168"/>
      <c r="M42" s="168"/>
      <c r="N42" s="168"/>
      <c r="O42" s="168"/>
      <c r="P42" s="147"/>
      <c r="Q42" s="147"/>
      <c r="R42" s="2"/>
      <c r="S42" s="2"/>
      <c r="T42" s="2"/>
    </row>
    <row r="43" spans="1:20" ht="21.95" customHeight="1" x14ac:dyDescent="0.25">
      <c r="A43" s="2"/>
      <c r="B43" s="168"/>
      <c r="C43" s="290"/>
      <c r="D43" s="290"/>
      <c r="E43" s="195"/>
      <c r="F43" s="195"/>
      <c r="G43" s="2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2"/>
      <c r="S43" s="2"/>
      <c r="T43" s="2"/>
    </row>
    <row r="44" spans="1:20" hidden="1" x14ac:dyDescent="0.25"/>
    <row r="45" spans="1:20" ht="18.75" hidden="1" x14ac:dyDescent="0.3">
      <c r="B45" s="259"/>
      <c r="C45" s="260"/>
      <c r="D45" s="260"/>
      <c r="E45" s="260"/>
      <c r="F45" s="260"/>
      <c r="G45" s="261"/>
    </row>
    <row r="46" spans="1:20" hidden="1" x14ac:dyDescent="0.25"/>
    <row r="47" spans="1:20" hidden="1" x14ac:dyDescent="0.25"/>
    <row r="48" spans="1:20" hidden="1" x14ac:dyDescent="0.25"/>
    <row r="49" spans="2:5" hidden="1" x14ac:dyDescent="0.25">
      <c r="B49" s="116"/>
      <c r="C49" s="116"/>
      <c r="D49" s="116"/>
      <c r="E49" s="116"/>
    </row>
    <row r="50" spans="2:5" hidden="1" x14ac:dyDescent="0.25">
      <c r="B50" s="117"/>
      <c r="C50" s="118"/>
      <c r="E50" s="118"/>
    </row>
    <row r="51" spans="2:5" hidden="1" x14ac:dyDescent="0.25">
      <c r="B51" s="117"/>
      <c r="C51" s="118"/>
      <c r="E51" s="118"/>
    </row>
    <row r="52" spans="2:5" hidden="1" x14ac:dyDescent="0.25">
      <c r="B52" s="117"/>
      <c r="C52" s="118"/>
      <c r="E52" s="118"/>
    </row>
    <row r="53" spans="2:5" hidden="1" x14ac:dyDescent="0.25">
      <c r="B53" s="117"/>
      <c r="C53" s="118"/>
      <c r="E53" s="118"/>
    </row>
    <row r="54" spans="2:5" hidden="1" x14ac:dyDescent="0.25">
      <c r="B54" s="117"/>
      <c r="C54" s="118"/>
      <c r="E54" s="118"/>
    </row>
    <row r="55" spans="2:5" hidden="1" x14ac:dyDescent="0.25">
      <c r="B55" s="117"/>
      <c r="C55" s="118"/>
      <c r="E55" s="118"/>
    </row>
    <row r="56" spans="2:5" hidden="1" x14ac:dyDescent="0.25">
      <c r="B56" s="117"/>
      <c r="C56" s="118"/>
      <c r="E56" s="118"/>
    </row>
    <row r="57" spans="2:5" hidden="1" x14ac:dyDescent="0.25">
      <c r="B57" s="117"/>
      <c r="C57" s="118"/>
      <c r="E57" s="118"/>
    </row>
    <row r="58" spans="2:5" hidden="1" x14ac:dyDescent="0.25">
      <c r="B58" s="117"/>
      <c r="C58" s="118"/>
      <c r="E58" s="118"/>
    </row>
    <row r="59" spans="2:5" hidden="1" x14ac:dyDescent="0.25">
      <c r="B59" s="117"/>
      <c r="C59" s="118"/>
      <c r="E59" s="118"/>
    </row>
    <row r="60" spans="2:5" hidden="1" x14ac:dyDescent="0.25">
      <c r="B60" s="117"/>
      <c r="C60" s="118"/>
      <c r="E60" s="118"/>
    </row>
    <row r="61" spans="2:5" hidden="1" x14ac:dyDescent="0.25"/>
    <row r="62" spans="2:5" hidden="1" x14ac:dyDescent="0.25"/>
    <row r="63" spans="2:5" hidden="1" x14ac:dyDescent="0.25">
      <c r="B63" s="119"/>
      <c r="C63" s="120"/>
      <c r="D63" s="121"/>
      <c r="E63" s="120"/>
    </row>
    <row r="64" spans="2:5" hidden="1" x14ac:dyDescent="0.25">
      <c r="B64" s="122"/>
    </row>
    <row r="65" spans="2:12" hidden="1" x14ac:dyDescent="0.25"/>
    <row r="66" spans="2:12" ht="18.75" hidden="1" x14ac:dyDescent="0.3">
      <c r="B66" s="259"/>
      <c r="C66" s="260"/>
      <c r="D66" s="260"/>
      <c r="E66" s="260"/>
      <c r="F66" s="260"/>
      <c r="G66" s="261"/>
    </row>
    <row r="67" spans="2:12" hidden="1" x14ac:dyDescent="0.25">
      <c r="B67" s="123"/>
      <c r="C67" s="124"/>
    </row>
    <row r="68" spans="2:12" hidden="1" x14ac:dyDescent="0.25">
      <c r="B68" s="125"/>
    </row>
    <row r="69" spans="2:12" hidden="1" x14ac:dyDescent="0.25">
      <c r="B69" s="125"/>
    </row>
    <row r="70" spans="2:12" hidden="1" x14ac:dyDescent="0.25">
      <c r="B70" s="125"/>
      <c r="L70" s="91">
        <f>0.5*(0.0023+0.004)</f>
        <v>3.15E-3</v>
      </c>
    </row>
    <row r="71" spans="2:12" hidden="1" x14ac:dyDescent="0.25">
      <c r="B71" s="125"/>
    </row>
    <row r="72" spans="2:12" hidden="1" x14ac:dyDescent="0.25">
      <c r="B72" s="125"/>
    </row>
    <row r="73" spans="2:12" hidden="1" x14ac:dyDescent="0.25">
      <c r="B73" s="125"/>
    </row>
    <row r="74" spans="2:12" hidden="1" x14ac:dyDescent="0.25">
      <c r="B74" s="125"/>
    </row>
    <row r="75" spans="2:12" hidden="1" x14ac:dyDescent="0.25">
      <c r="B75" s="125"/>
    </row>
    <row r="76" spans="2:12" hidden="1" x14ac:dyDescent="0.25">
      <c r="B76" s="125"/>
    </row>
    <row r="77" spans="2:12" hidden="1" x14ac:dyDescent="0.25">
      <c r="B77" s="125"/>
    </row>
    <row r="78" spans="2:12" hidden="1" x14ac:dyDescent="0.25">
      <c r="B78" s="125"/>
    </row>
    <row r="79" spans="2:12" hidden="1" x14ac:dyDescent="0.25"/>
    <row r="80" spans="2:12" ht="15.6" hidden="1" customHeight="1" x14ac:dyDescent="0.25">
      <c r="B80" s="91"/>
      <c r="I80" s="91"/>
    </row>
    <row r="81" spans="2:9" hidden="1" x14ac:dyDescent="0.25">
      <c r="B81" s="91"/>
      <c r="I81" s="91"/>
    </row>
    <row r="82" spans="2:9" hidden="1" x14ac:dyDescent="0.25">
      <c r="B82" s="91"/>
      <c r="I82" s="91"/>
    </row>
    <row r="83" spans="2:9" ht="18.75" hidden="1" x14ac:dyDescent="0.3">
      <c r="B83" s="259"/>
      <c r="C83" s="260"/>
      <c r="D83" s="260"/>
      <c r="E83" s="260"/>
      <c r="F83" s="260"/>
      <c r="G83" s="261"/>
      <c r="I83" s="91"/>
    </row>
    <row r="84" spans="2:9" hidden="1" x14ac:dyDescent="0.25">
      <c r="B84" s="119"/>
      <c r="I84" s="91"/>
    </row>
    <row r="85" spans="2:9" hidden="1" x14ac:dyDescent="0.25">
      <c r="B85" s="127"/>
      <c r="I85" s="91"/>
    </row>
    <row r="86" spans="2:9" hidden="1" x14ac:dyDescent="0.25">
      <c r="B86" s="91"/>
      <c r="I86" s="91"/>
    </row>
    <row r="87" spans="2:9" hidden="1" x14ac:dyDescent="0.25">
      <c r="B87" s="91"/>
      <c r="I87" s="91"/>
    </row>
    <row r="88" spans="2:9" hidden="1" x14ac:dyDescent="0.25">
      <c r="B88" s="190"/>
      <c r="C88" s="272"/>
      <c r="D88" s="272"/>
      <c r="E88" s="128"/>
      <c r="F88" s="272"/>
      <c r="G88" s="272"/>
      <c r="I88" s="91"/>
    </row>
    <row r="89" spans="2:9" hidden="1" x14ac:dyDescent="0.25">
      <c r="B89" s="129"/>
      <c r="C89" s="130"/>
      <c r="D89" s="130"/>
      <c r="E89" s="130"/>
      <c r="F89" s="130"/>
      <c r="G89" s="130"/>
      <c r="I89" s="91"/>
    </row>
    <row r="90" spans="2:9" hidden="1" x14ac:dyDescent="0.25">
      <c r="D90" s="91"/>
      <c r="E90" s="131"/>
      <c r="G90" s="91"/>
      <c r="I90" s="91"/>
    </row>
    <row r="91" spans="2:9" hidden="1" x14ac:dyDescent="0.25">
      <c r="D91" s="91"/>
      <c r="E91" s="131"/>
      <c r="G91" s="91"/>
      <c r="I91" s="91"/>
    </row>
    <row r="92" spans="2:9" hidden="1" x14ac:dyDescent="0.25">
      <c r="D92" s="91"/>
      <c r="E92" s="131"/>
      <c r="G92" s="91"/>
      <c r="I92" s="91"/>
    </row>
    <row r="93" spans="2:9" hidden="1" x14ac:dyDescent="0.25">
      <c r="D93" s="91"/>
      <c r="E93" s="131"/>
      <c r="G93" s="91"/>
      <c r="I93" s="91"/>
    </row>
    <row r="94" spans="2:9" hidden="1" x14ac:dyDescent="0.25">
      <c r="D94" s="91"/>
      <c r="E94" s="131"/>
      <c r="G94" s="91"/>
      <c r="I94" s="91"/>
    </row>
    <row r="95" spans="2:9" hidden="1" x14ac:dyDescent="0.25">
      <c r="B95" s="132"/>
      <c r="D95" s="91"/>
      <c r="E95" s="131"/>
      <c r="G95" s="91"/>
      <c r="I95" s="91"/>
    </row>
    <row r="96" spans="2:9" hidden="1" x14ac:dyDescent="0.25">
      <c r="B96" s="132"/>
      <c r="D96" s="91"/>
      <c r="E96" s="131"/>
      <c r="G96" s="91"/>
      <c r="I96" s="91"/>
    </row>
    <row r="97" spans="2:9" hidden="1" x14ac:dyDescent="0.25">
      <c r="B97" s="132"/>
      <c r="D97" s="91"/>
      <c r="E97" s="131"/>
      <c r="G97" s="91"/>
      <c r="I97" s="91"/>
    </row>
    <row r="98" spans="2:9" hidden="1" x14ac:dyDescent="0.25">
      <c r="B98" s="132"/>
      <c r="D98" s="91"/>
      <c r="E98" s="131"/>
      <c r="G98" s="91"/>
      <c r="I98" s="91"/>
    </row>
    <row r="99" spans="2:9" hidden="1" x14ac:dyDescent="0.25">
      <c r="B99" s="132"/>
      <c r="D99" s="91"/>
      <c r="E99" s="131"/>
      <c r="G99" s="91"/>
      <c r="I99" s="91"/>
    </row>
    <row r="100" spans="2:9" hidden="1" x14ac:dyDescent="0.25">
      <c r="B100" s="133"/>
      <c r="D100" s="91"/>
      <c r="E100" s="130"/>
      <c r="G100" s="91"/>
      <c r="I100" s="91"/>
    </row>
    <row r="101" spans="2:9" hidden="1" x14ac:dyDescent="0.25">
      <c r="B101" s="91"/>
      <c r="I101" s="91"/>
    </row>
    <row r="102" spans="2:9" hidden="1" x14ac:dyDescent="0.25">
      <c r="B102" s="91"/>
      <c r="C102" s="91"/>
      <c r="D102" s="91"/>
      <c r="E102" s="91"/>
      <c r="F102" s="91"/>
      <c r="G102" s="91"/>
      <c r="I102" s="91"/>
    </row>
    <row r="103" spans="2:9" hidden="1" x14ac:dyDescent="0.25">
      <c r="B103" s="91"/>
      <c r="I103" s="91"/>
    </row>
    <row r="104" spans="2:9" hidden="1" x14ac:dyDescent="0.25">
      <c r="B104" s="91"/>
      <c r="I104" s="91"/>
    </row>
    <row r="105" spans="2:9" hidden="1" x14ac:dyDescent="0.25">
      <c r="B105" s="91"/>
      <c r="I105" s="91"/>
    </row>
    <row r="106" spans="2:9" hidden="1" x14ac:dyDescent="0.25">
      <c r="I106" s="91"/>
    </row>
    <row r="107" spans="2:9" hidden="1" x14ac:dyDescent="0.25">
      <c r="I107" s="91"/>
    </row>
    <row r="108" spans="2:9" hidden="1" x14ac:dyDescent="0.25">
      <c r="I108" s="91"/>
    </row>
    <row r="109" spans="2:9" hidden="1" x14ac:dyDescent="0.25">
      <c r="I109" s="91"/>
    </row>
    <row r="110" spans="2:9" hidden="1" x14ac:dyDescent="0.25">
      <c r="I110" s="91"/>
    </row>
    <row r="111" spans="2:9" hidden="1" x14ac:dyDescent="0.25">
      <c r="I111" s="91"/>
    </row>
    <row r="112" spans="2:9" hidden="1" x14ac:dyDescent="0.25">
      <c r="I112" s="91"/>
    </row>
    <row r="113" spans="2:9" hidden="1" x14ac:dyDescent="0.25">
      <c r="I113" s="91"/>
    </row>
    <row r="114" spans="2:9" hidden="1" x14ac:dyDescent="0.25">
      <c r="I114" s="91"/>
    </row>
    <row r="115" spans="2:9" hidden="1" x14ac:dyDescent="0.25"/>
    <row r="116" spans="2:9" hidden="1" x14ac:dyDescent="0.25">
      <c r="B116" s="119"/>
      <c r="C116" s="120"/>
      <c r="D116" s="121"/>
      <c r="E116" s="120"/>
    </row>
    <row r="117" spans="2:9" hidden="1" x14ac:dyDescent="0.25">
      <c r="B117" s="122"/>
    </row>
    <row r="118" spans="2:9" hidden="1" x14ac:dyDescent="0.25"/>
    <row r="119" spans="2:9" ht="18.75" hidden="1" x14ac:dyDescent="0.3">
      <c r="B119" s="259"/>
      <c r="C119" s="260"/>
      <c r="D119" s="260"/>
      <c r="E119" s="260"/>
      <c r="F119" s="260"/>
      <c r="G119" s="261"/>
    </row>
    <row r="120" spans="2:9" hidden="1" x14ac:dyDescent="0.25">
      <c r="B120" s="123"/>
      <c r="C120" s="124"/>
    </row>
    <row r="121" spans="2:9" hidden="1" x14ac:dyDescent="0.25">
      <c r="B121" s="125"/>
    </row>
    <row r="122" spans="2:9" hidden="1" x14ac:dyDescent="0.25">
      <c r="B122" s="125"/>
    </row>
    <row r="123" spans="2:9" hidden="1" x14ac:dyDescent="0.25">
      <c r="B123" s="125"/>
    </row>
    <row r="124" spans="2:9" hidden="1" x14ac:dyDescent="0.25">
      <c r="B124" s="125"/>
    </row>
    <row r="125" spans="2:9" hidden="1" x14ac:dyDescent="0.25">
      <c r="B125" s="125"/>
    </row>
    <row r="126" spans="2:9" hidden="1" x14ac:dyDescent="0.25">
      <c r="B126" s="125"/>
    </row>
    <row r="127" spans="2:9" hidden="1" x14ac:dyDescent="0.25">
      <c r="B127" s="125"/>
    </row>
    <row r="128" spans="2:9" hidden="1" x14ac:dyDescent="0.25">
      <c r="B128" s="125"/>
    </row>
    <row r="129" spans="2:2" hidden="1" x14ac:dyDescent="0.25">
      <c r="B129" s="125"/>
    </row>
    <row r="130" spans="2:2" hidden="1" x14ac:dyDescent="0.25">
      <c r="B130" s="125"/>
    </row>
    <row r="131" spans="2:2" hidden="1" x14ac:dyDescent="0.25">
      <c r="B131" s="125"/>
    </row>
    <row r="132" spans="2:2" hidden="1" x14ac:dyDescent="0.25"/>
  </sheetData>
  <sheetProtection algorithmName="SHA-512" hashValue="vm6pSIbaWXcQvy4c0SvQGUznoMqOO9egc5rGlc4d55JOWuJr35jm9gkuIENQHP5M7n/oXdvDJMAMGFek9/C4DA==" saltValue="m+5SGC8ZMNceh4eVE2TTcw==" spinCount="100000" sheet="1" objects="1" scenarios="1" selectLockedCells="1"/>
  <mergeCells count="22">
    <mergeCell ref="H42:J42"/>
    <mergeCell ref="C43:D43"/>
    <mergeCell ref="J21:N21"/>
    <mergeCell ref="J22:M23"/>
    <mergeCell ref="N22:Q23"/>
    <mergeCell ref="J24:K24"/>
    <mergeCell ref="N24:O24"/>
    <mergeCell ref="D3:H3"/>
    <mergeCell ref="I3:N3"/>
    <mergeCell ref="O3:T3"/>
    <mergeCell ref="B2:T2"/>
    <mergeCell ref="R25:T35"/>
    <mergeCell ref="B119:G119"/>
    <mergeCell ref="E39:F39"/>
    <mergeCell ref="C40:D40"/>
    <mergeCell ref="C41:D41"/>
    <mergeCell ref="C42:D42"/>
    <mergeCell ref="B45:G45"/>
    <mergeCell ref="B66:G66"/>
    <mergeCell ref="B83:G83"/>
    <mergeCell ref="C88:D88"/>
    <mergeCell ref="F88:G88"/>
  </mergeCells>
  <hyperlinks>
    <hyperlink ref="H42" r:id="rId1" xr:uid="{B3CBF10C-D3C7-49D2-84FE-561903B492C1}"/>
  </hyperlinks>
  <pageMargins left="0.7" right="0.7" top="0.75" bottom="0.75" header="0.3" footer="0.3"/>
  <pageSetup orientation="portrait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Stark Correlations (2021)LL&amp;CF</vt:lpstr>
      <vt:lpstr>Stark Correlations (2021)(+PI)</vt:lpstr>
      <vt:lpstr>Laboratory (LL&amp;CF)</vt:lpstr>
      <vt:lpstr>Laboratory (+PI)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Abedalqader Idries</cp:lastModifiedBy>
  <dcterms:created xsi:type="dcterms:W3CDTF">2019-06-06T22:24:25Z</dcterms:created>
  <dcterms:modified xsi:type="dcterms:W3CDTF">2022-01-12T20:58:48Z</dcterms:modified>
</cp:coreProperties>
</file>