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ml.chartshapes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ate1904="1"/>
  <mc:AlternateContent xmlns:mc="http://schemas.openxmlformats.org/markup-compatibility/2006">
    <mc:Choice Requires="x15">
      <x15ac:absPath xmlns:x15ac="http://schemas.microsoft.com/office/spreadsheetml/2010/11/ac" url="/Users/dlyngholm/Documents/KCL/analysis/"/>
    </mc:Choice>
  </mc:AlternateContent>
  <xr:revisionPtr revIDLastSave="0" documentId="13_ncr:1_{2FC9FDD5-A371-0E4F-BADE-78D3589070DD}" xr6:coauthVersionLast="36" xr6:coauthVersionMax="36" xr10:uidLastSave="{00000000-0000-0000-0000-000000000000}"/>
  <bookViews>
    <workbookView xWindow="0" yWindow="460" windowWidth="25600" windowHeight="15140" tabRatio="500" xr2:uid="{00000000-000D-0000-FFFF-FFFF00000000}"/>
  </bookViews>
  <sheets>
    <sheet name="double AP" sheetId="4" r:id="rId1"/>
    <sheet name="double ML" sheetId="5" r:id="rId2"/>
    <sheet name="single" sheetId="6" r:id="rId3"/>
    <sheet name="cell death" sheetId="7" r:id="rId4"/>
    <sheet name="contour" sheetId="8" r:id="rId5"/>
    <sheet name="vector" sheetId="9" r:id="rId6"/>
  </sheets>
  <calcPr calcId="162913"/>
</workbook>
</file>

<file path=xl/calcChain.xml><?xml version="1.0" encoding="utf-8"?>
<calcChain xmlns="http://schemas.openxmlformats.org/spreadsheetml/2006/main">
  <c r="Y14" i="5" l="1"/>
  <c r="T14" i="5"/>
  <c r="T13" i="5"/>
  <c r="Z96" i="4"/>
  <c r="W96" i="4"/>
  <c r="U96" i="4"/>
  <c r="E96" i="4"/>
  <c r="Z98" i="4"/>
  <c r="Z97" i="4"/>
  <c r="W98" i="4"/>
  <c r="W97" i="4"/>
  <c r="U98" i="4"/>
  <c r="U97" i="4"/>
  <c r="E98" i="4"/>
  <c r="E97" i="4"/>
  <c r="E70" i="4"/>
  <c r="U69" i="4"/>
  <c r="U70" i="4"/>
  <c r="U71" i="4"/>
  <c r="Z70" i="4"/>
  <c r="Z69" i="4"/>
  <c r="E166" i="4"/>
  <c r="Z139" i="4"/>
  <c r="W139" i="4"/>
  <c r="U139" i="4"/>
  <c r="U140" i="4"/>
  <c r="Z125" i="4"/>
  <c r="Z126" i="4"/>
  <c r="Z127" i="4"/>
  <c r="Z128" i="4"/>
  <c r="Z124" i="4"/>
  <c r="Z130" i="4"/>
  <c r="Z31" i="4"/>
  <c r="Z29" i="4"/>
  <c r="Z19" i="4"/>
  <c r="Z20" i="4"/>
  <c r="Z21" i="4"/>
  <c r="Z22" i="4"/>
  <c r="Z23" i="4"/>
  <c r="Z24" i="4"/>
  <c r="S25" i="4"/>
  <c r="Z25" i="4" s="1"/>
  <c r="T25" i="4"/>
  <c r="S26" i="4"/>
  <c r="T26" i="4"/>
  <c r="S27" i="4"/>
  <c r="T27" i="4"/>
  <c r="Z28" i="4"/>
  <c r="S30" i="4"/>
  <c r="T30" i="4"/>
  <c r="S32" i="4"/>
  <c r="Z32" i="4" s="1"/>
  <c r="T32" i="4"/>
  <c r="A33" i="4"/>
  <c r="Z33" i="4" s="1"/>
  <c r="S33" i="4"/>
  <c r="T33" i="4"/>
  <c r="Z34" i="4"/>
  <c r="Z35" i="4"/>
  <c r="Z18" i="4"/>
  <c r="S4" i="4"/>
  <c r="Z4" i="4" s="1"/>
  <c r="T4" i="4"/>
  <c r="Z5" i="4"/>
  <c r="Z6" i="4"/>
  <c r="S7" i="4"/>
  <c r="Z7" i="4" s="1"/>
  <c r="T7" i="4"/>
  <c r="Z8" i="4"/>
  <c r="S9" i="4"/>
  <c r="Z9" i="4" s="1"/>
  <c r="T9" i="4"/>
  <c r="Z10" i="4"/>
  <c r="S11" i="4"/>
  <c r="Z11" i="4" s="1"/>
  <c r="T11" i="4"/>
  <c r="Z12" i="4"/>
  <c r="S13" i="4"/>
  <c r="T13" i="4"/>
  <c r="S14" i="4"/>
  <c r="Z14" i="4" s="1"/>
  <c r="T14" i="4"/>
  <c r="S15" i="4"/>
  <c r="T15" i="4"/>
  <c r="Z15" i="4" s="1"/>
  <c r="A16" i="4"/>
  <c r="S16" i="4"/>
  <c r="T16" i="4"/>
  <c r="Z16" i="4" s="1"/>
  <c r="E15" i="4"/>
  <c r="Y12" i="5"/>
  <c r="T12" i="5"/>
  <c r="S84" i="4"/>
  <c r="X82" i="4"/>
  <c r="Z82" i="4" s="1"/>
  <c r="Z81" i="4"/>
  <c r="Z49" i="4"/>
  <c r="Z47" i="4"/>
  <c r="Z46" i="4"/>
  <c r="Z44" i="4"/>
  <c r="Z67" i="4"/>
  <c r="Z111" i="4"/>
  <c r="U35" i="4"/>
  <c r="U34" i="4"/>
  <c r="W35" i="4"/>
  <c r="W34" i="4"/>
  <c r="Z71" i="4"/>
  <c r="Y70" i="5"/>
  <c r="Z77" i="4"/>
  <c r="Z58" i="4"/>
  <c r="Z153" i="4"/>
  <c r="E127" i="5"/>
  <c r="E128" i="5"/>
  <c r="E129" i="5"/>
  <c r="E130" i="5"/>
  <c r="E131" i="5"/>
  <c r="E132" i="5"/>
  <c r="E133" i="5"/>
  <c r="E135" i="5"/>
  <c r="E136" i="5"/>
  <c r="E137" i="5"/>
  <c r="E138" i="5"/>
  <c r="E139" i="5"/>
  <c r="E140" i="5"/>
  <c r="E126" i="5"/>
  <c r="E125" i="5"/>
  <c r="E95" i="5"/>
  <c r="Y79" i="5"/>
  <c r="V69" i="5"/>
  <c r="Y69" i="5"/>
  <c r="R52" i="5"/>
  <c r="Y52" i="5"/>
  <c r="W187" i="4"/>
  <c r="W188" i="4"/>
  <c r="U187" i="4"/>
  <c r="U188" i="4"/>
  <c r="Z188" i="4"/>
  <c r="E187" i="4"/>
  <c r="E188" i="4"/>
  <c r="Y95" i="5"/>
  <c r="V95" i="5"/>
  <c r="T95" i="5"/>
  <c r="D90" i="5"/>
  <c r="R94" i="5"/>
  <c r="S94" i="5"/>
  <c r="S106" i="5" s="1"/>
  <c r="R93" i="5"/>
  <c r="S93" i="5"/>
  <c r="Y93" i="5"/>
  <c r="V93" i="5"/>
  <c r="E93" i="5"/>
  <c r="AT92" i="5"/>
  <c r="AS92" i="5"/>
  <c r="AR92" i="5"/>
  <c r="AQ92" i="5"/>
  <c r="AP92" i="5"/>
  <c r="AO92" i="5"/>
  <c r="AG92" i="5"/>
  <c r="Y92" i="5"/>
  <c r="V92" i="5"/>
  <c r="T92" i="5"/>
  <c r="E92" i="5"/>
  <c r="E106" i="5" s="1"/>
  <c r="AM106" i="5"/>
  <c r="AL106" i="5"/>
  <c r="AK106" i="5"/>
  <c r="AJ106" i="5"/>
  <c r="AI106" i="5"/>
  <c r="AH106" i="5"/>
  <c r="AG106" i="5"/>
  <c r="AF106" i="5" s="1"/>
  <c r="Y91" i="5"/>
  <c r="U106" i="5"/>
  <c r="D106" i="5"/>
  <c r="B106" i="5"/>
  <c r="V91" i="5"/>
  <c r="T91" i="5"/>
  <c r="Q14" i="6"/>
  <c r="P14" i="6"/>
  <c r="O14" i="6"/>
  <c r="AP4" i="4"/>
  <c r="AU4" i="4"/>
  <c r="AP5" i="4"/>
  <c r="D3" i="8" s="1"/>
  <c r="AQ5" i="4"/>
  <c r="AR5" i="4"/>
  <c r="AS5" i="4"/>
  <c r="AT5" i="4"/>
  <c r="AU5" i="4"/>
  <c r="AQ4" i="4"/>
  <c r="AR4" i="4"/>
  <c r="AS4" i="4"/>
  <c r="AT4" i="4"/>
  <c r="AH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4" i="4"/>
  <c r="Z37" i="4"/>
  <c r="Z38" i="4"/>
  <c r="Z39" i="4"/>
  <c r="Z40" i="4"/>
  <c r="Z41" i="4"/>
  <c r="Z42" i="4"/>
  <c r="Z43" i="4"/>
  <c r="Z45" i="4"/>
  <c r="Z183" i="4"/>
  <c r="Z185" i="4"/>
  <c r="E186" i="4"/>
  <c r="E185" i="4"/>
  <c r="E184" i="4"/>
  <c r="E183" i="4"/>
  <c r="E182" i="4"/>
  <c r="E181" i="4"/>
  <c r="Z182" i="4"/>
  <c r="Z181" i="4"/>
  <c r="J6" i="4"/>
  <c r="J7" i="4"/>
  <c r="J8" i="4"/>
  <c r="J9" i="4"/>
  <c r="J10" i="4"/>
  <c r="J11" i="4"/>
  <c r="J4" i="4"/>
  <c r="AZ6" i="4"/>
  <c r="AZ7" i="4"/>
  <c r="AZ8" i="4"/>
  <c r="AZ9" i="4"/>
  <c r="AZ10" i="4"/>
  <c r="AZ11" i="4"/>
  <c r="AZ4" i="4"/>
  <c r="E174" i="4"/>
  <c r="E164" i="4"/>
  <c r="E169" i="4"/>
  <c r="E168" i="4"/>
  <c r="E16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U164" i="4"/>
  <c r="U165" i="4"/>
  <c r="U166" i="4"/>
  <c r="U167" i="4"/>
  <c r="U168" i="4"/>
  <c r="U169" i="4"/>
  <c r="Z163" i="4"/>
  <c r="Z164" i="4"/>
  <c r="Z165" i="4"/>
  <c r="Z166" i="4"/>
  <c r="Z167" i="4"/>
  <c r="Z168" i="4"/>
  <c r="Z169" i="4"/>
  <c r="S156" i="4"/>
  <c r="S157" i="4"/>
  <c r="U163" i="4"/>
  <c r="E42" i="5"/>
  <c r="E41" i="5"/>
  <c r="E40" i="5"/>
  <c r="AM40" i="5"/>
  <c r="AL40" i="5"/>
  <c r="AK40" i="5"/>
  <c r="AJ40" i="5"/>
  <c r="AI40" i="5"/>
  <c r="AH40" i="5"/>
  <c r="BL2" i="7"/>
  <c r="BM2" i="7"/>
  <c r="BO2" i="7" s="1"/>
  <c r="BN2" i="7"/>
  <c r="BP2" i="7"/>
  <c r="BQ2" i="7"/>
  <c r="BR2" i="7"/>
  <c r="BS2" i="7"/>
  <c r="BT2" i="7"/>
  <c r="BU2" i="7"/>
  <c r="B4" i="7"/>
  <c r="D4" i="7"/>
  <c r="E4" i="7"/>
  <c r="F4" i="7"/>
  <c r="R4" i="7"/>
  <c r="T4" i="7" s="1"/>
  <c r="S4" i="7"/>
  <c r="Y4" i="7"/>
  <c r="Z4" i="7"/>
  <c r="AG4" i="7"/>
  <c r="AH4" i="7"/>
  <c r="AI4" i="7"/>
  <c r="AJ4" i="7"/>
  <c r="AK4" i="7"/>
  <c r="AL4" i="7"/>
  <c r="AM4" i="7"/>
  <c r="AN4" i="7"/>
  <c r="E5" i="7"/>
  <c r="F18" i="7" s="1"/>
  <c r="T5" i="7"/>
  <c r="V5" i="7"/>
  <c r="Y5" i="7"/>
  <c r="AG5" i="7"/>
  <c r="AG18" i="7" s="1"/>
  <c r="T6" i="7"/>
  <c r="V6" i="7"/>
  <c r="Y6" i="7"/>
  <c r="AG6" i="7"/>
  <c r="T7" i="7"/>
  <c r="V7" i="7"/>
  <c r="Y7" i="7"/>
  <c r="AG7" i="7"/>
  <c r="T8" i="7"/>
  <c r="V8" i="7"/>
  <c r="Y8" i="7"/>
  <c r="AG8" i="7"/>
  <c r="T9" i="7"/>
  <c r="V9" i="7"/>
  <c r="Y9" i="7"/>
  <c r="T10" i="7"/>
  <c r="V10" i="7"/>
  <c r="Y10" i="7"/>
  <c r="T11" i="7"/>
  <c r="V11" i="7"/>
  <c r="Y11" i="7"/>
  <c r="T12" i="7"/>
  <c r="V12" i="7"/>
  <c r="Y12" i="7"/>
  <c r="T13" i="7"/>
  <c r="V13" i="7"/>
  <c r="Y13" i="7"/>
  <c r="T14" i="7"/>
  <c r="V14" i="7"/>
  <c r="Y14" i="7"/>
  <c r="AG14" i="7"/>
  <c r="T15" i="7"/>
  <c r="V15" i="7"/>
  <c r="Y15" i="7"/>
  <c r="T16" i="7"/>
  <c r="V16" i="7"/>
  <c r="Y16" i="7"/>
  <c r="A17" i="7"/>
  <c r="Y17" i="7" s="1"/>
  <c r="Y18" i="7" s="1"/>
  <c r="T17" i="7"/>
  <c r="V17" i="7"/>
  <c r="B18" i="7"/>
  <c r="D18" i="7"/>
  <c r="E18" i="7"/>
  <c r="R18" i="7"/>
  <c r="S18" i="7"/>
  <c r="AH18" i="7"/>
  <c r="AI18" i="7"/>
  <c r="AJ18" i="7"/>
  <c r="AK18" i="7"/>
  <c r="AL18" i="7"/>
  <c r="AM18" i="7"/>
  <c r="AN18" i="7"/>
  <c r="AI17" i="4"/>
  <c r="M2" i="8"/>
  <c r="AP6" i="4"/>
  <c r="AP13" i="4"/>
  <c r="AS13" i="4"/>
  <c r="AQ6" i="4"/>
  <c r="AQ17" i="4" s="1"/>
  <c r="AQ13" i="4"/>
  <c r="AT6" i="4"/>
  <c r="AT13" i="4"/>
  <c r="AR13" i="4"/>
  <c r="AU13" i="4"/>
  <c r="AG36" i="4"/>
  <c r="M3" i="8" s="1"/>
  <c r="AP18" i="4"/>
  <c r="AP19" i="4"/>
  <c r="AP20" i="4"/>
  <c r="AP21" i="4"/>
  <c r="AP22" i="4"/>
  <c r="AP23" i="4"/>
  <c r="AP24" i="4"/>
  <c r="AP26" i="4"/>
  <c r="AP27" i="4"/>
  <c r="AP28" i="4"/>
  <c r="AP29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O8" i="6"/>
  <c r="O10" i="6"/>
  <c r="AQ18" i="4"/>
  <c r="AQ19" i="4"/>
  <c r="AQ20" i="4"/>
  <c r="AQ21" i="4"/>
  <c r="AQ22" i="4"/>
  <c r="AQ23" i="4"/>
  <c r="AQ24" i="4"/>
  <c r="AQ25" i="4"/>
  <c r="AQ26" i="4"/>
  <c r="AQ27" i="4"/>
  <c r="AQ28" i="4"/>
  <c r="AQ29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P8" i="6"/>
  <c r="P10" i="6"/>
  <c r="AR18" i="4"/>
  <c r="AR19" i="4"/>
  <c r="AR20" i="4"/>
  <c r="AR21" i="4"/>
  <c r="AR22" i="4"/>
  <c r="AR23" i="4"/>
  <c r="AR24" i="4"/>
  <c r="AR25" i="4"/>
  <c r="AR26" i="4"/>
  <c r="AR27" i="4"/>
  <c r="AR28" i="4"/>
  <c r="AR29" i="4"/>
  <c r="AU18" i="4"/>
  <c r="AU20" i="4"/>
  <c r="AU22" i="4"/>
  <c r="AU23" i="4"/>
  <c r="AU24" i="4"/>
  <c r="AU25" i="4"/>
  <c r="AU26" i="4"/>
  <c r="AU27" i="4"/>
  <c r="AU28" i="4"/>
  <c r="AU29" i="4"/>
  <c r="Q8" i="6"/>
  <c r="Q12" i="6" s="1"/>
  <c r="Q10" i="6"/>
  <c r="AG51" i="4"/>
  <c r="M4" i="8" s="1"/>
  <c r="AP38" i="4"/>
  <c r="AP51" i="4" s="1"/>
  <c r="AP39" i="4"/>
  <c r="AP40" i="4"/>
  <c r="AP41" i="4"/>
  <c r="AP42" i="4"/>
  <c r="AP43" i="4"/>
  <c r="AP44" i="4"/>
  <c r="AP45" i="4"/>
  <c r="AP46" i="4"/>
  <c r="AP48" i="4"/>
  <c r="AS38" i="4"/>
  <c r="AS39" i="4"/>
  <c r="AS40" i="4"/>
  <c r="AS41" i="4"/>
  <c r="AS42" i="4"/>
  <c r="AS43" i="4"/>
  <c r="AS44" i="4"/>
  <c r="AS45" i="4"/>
  <c r="AS46" i="4"/>
  <c r="AS48" i="4"/>
  <c r="O13" i="6"/>
  <c r="O15" i="6" s="1"/>
  <c r="AQ38" i="4"/>
  <c r="AQ39" i="4"/>
  <c r="AQ40" i="4"/>
  <c r="AQ41" i="4"/>
  <c r="AQ42" i="4"/>
  <c r="AQ43" i="4"/>
  <c r="AQ44" i="4"/>
  <c r="AQ45" i="4"/>
  <c r="AQ46" i="4"/>
  <c r="AQ48" i="4"/>
  <c r="AT38" i="4"/>
  <c r="AT39" i="4"/>
  <c r="AT40" i="4"/>
  <c r="AT41" i="4"/>
  <c r="AT42" i="4"/>
  <c r="AT43" i="4"/>
  <c r="AT44" i="4"/>
  <c r="AT45" i="4"/>
  <c r="AT46" i="4"/>
  <c r="AT48" i="4"/>
  <c r="P13" i="6"/>
  <c r="P15" i="6" s="1"/>
  <c r="AR38" i="4"/>
  <c r="AR39" i="4"/>
  <c r="AR40" i="4"/>
  <c r="AR41" i="4"/>
  <c r="AR42" i="4"/>
  <c r="AR43" i="4"/>
  <c r="AR44" i="4"/>
  <c r="AR45" i="4"/>
  <c r="AR46" i="4"/>
  <c r="AR48" i="4"/>
  <c r="AU38" i="4"/>
  <c r="AU39" i="4"/>
  <c r="AU40" i="4"/>
  <c r="AU41" i="4"/>
  <c r="AU42" i="4"/>
  <c r="AU43" i="4"/>
  <c r="AU44" i="4"/>
  <c r="AU45" i="4"/>
  <c r="AU46" i="4"/>
  <c r="AU48" i="4"/>
  <c r="Q13" i="6"/>
  <c r="Q15" i="6"/>
  <c r="AI72" i="4"/>
  <c r="AG72" i="4"/>
  <c r="M5" i="8"/>
  <c r="AP52" i="4"/>
  <c r="AP53" i="4"/>
  <c r="AP54" i="4"/>
  <c r="AP57" i="4"/>
  <c r="AP58" i="4"/>
  <c r="AP59" i="4"/>
  <c r="AP60" i="4"/>
  <c r="AP72" i="4"/>
  <c r="AS52" i="4"/>
  <c r="AS53" i="4"/>
  <c r="AS54" i="4"/>
  <c r="AS56" i="4"/>
  <c r="AS72" i="4" s="1"/>
  <c r="AS60" i="4"/>
  <c r="AS61" i="4"/>
  <c r="O17" i="6"/>
  <c r="O19" i="6" s="1"/>
  <c r="AQ52" i="4"/>
  <c r="AQ53" i="4"/>
  <c r="AQ54" i="4"/>
  <c r="AQ56" i="4"/>
  <c r="AQ57" i="4"/>
  <c r="AQ58" i="4"/>
  <c r="AQ59" i="4"/>
  <c r="AQ60" i="4"/>
  <c r="AQ61" i="4"/>
  <c r="AT52" i="4"/>
  <c r="AT53" i="4"/>
  <c r="AT54" i="4"/>
  <c r="AT56" i="4"/>
  <c r="AT57" i="4"/>
  <c r="AT60" i="4"/>
  <c r="AT61" i="4"/>
  <c r="P17" i="6"/>
  <c r="P19" i="6" s="1"/>
  <c r="AR52" i="4"/>
  <c r="AR53" i="4"/>
  <c r="AR54" i="4"/>
  <c r="AR56" i="4"/>
  <c r="AR57" i="4"/>
  <c r="AR58" i="4"/>
  <c r="AR59" i="4"/>
  <c r="AR60" i="4"/>
  <c r="AR61" i="4"/>
  <c r="AU52" i="4"/>
  <c r="AU53" i="4"/>
  <c r="AU54" i="4"/>
  <c r="AU56" i="4"/>
  <c r="AU57" i="4"/>
  <c r="AU60" i="4"/>
  <c r="AU61" i="4"/>
  <c r="Q17" i="6"/>
  <c r="Q19" i="6" s="1"/>
  <c r="M6" i="8"/>
  <c r="AP73" i="4"/>
  <c r="AP74" i="4"/>
  <c r="AP75" i="4"/>
  <c r="AP76" i="4"/>
  <c r="AP78" i="4"/>
  <c r="AP79" i="4"/>
  <c r="AP80" i="4"/>
  <c r="AP81" i="4"/>
  <c r="AP82" i="4"/>
  <c r="AS73" i="4"/>
  <c r="AS74" i="4"/>
  <c r="AS76" i="4"/>
  <c r="AS77" i="4"/>
  <c r="AS78" i="4"/>
  <c r="AS79" i="4"/>
  <c r="AS80" i="4"/>
  <c r="AS81" i="4"/>
  <c r="AQ73" i="4"/>
  <c r="AQ74" i="4"/>
  <c r="AQ75" i="4"/>
  <c r="AQ76" i="4"/>
  <c r="AQ78" i="4"/>
  <c r="AQ79" i="4"/>
  <c r="AQ80" i="4"/>
  <c r="AQ81" i="4"/>
  <c r="AQ82" i="4"/>
  <c r="AT73" i="4"/>
  <c r="AT74" i="4"/>
  <c r="AT76" i="4"/>
  <c r="AT77" i="4"/>
  <c r="AT78" i="4"/>
  <c r="AT79" i="4"/>
  <c r="AT80" i="4"/>
  <c r="AT81" i="4"/>
  <c r="AR73" i="4"/>
  <c r="AR74" i="4"/>
  <c r="AR75" i="4"/>
  <c r="AR76" i="4"/>
  <c r="AR78" i="4"/>
  <c r="AR79" i="4"/>
  <c r="AR80" i="4"/>
  <c r="AR81" i="4"/>
  <c r="AR82" i="4"/>
  <c r="AU73" i="4"/>
  <c r="AU74" i="4"/>
  <c r="AU76" i="4"/>
  <c r="AU77" i="4"/>
  <c r="AU78" i="4"/>
  <c r="AU79" i="4"/>
  <c r="AU80" i="4"/>
  <c r="AU81" i="4"/>
  <c r="AI118" i="4"/>
  <c r="AI99" i="4"/>
  <c r="AP101" i="4"/>
  <c r="D8" i="8" s="1"/>
  <c r="AP103" i="4"/>
  <c r="AP104" i="4"/>
  <c r="AP105" i="4"/>
  <c r="AP118" i="4" s="1"/>
  <c r="AP106" i="4"/>
  <c r="AP107" i="4"/>
  <c r="AS101" i="4"/>
  <c r="AS103" i="4"/>
  <c r="AS104" i="4"/>
  <c r="AS105" i="4"/>
  <c r="AS106" i="4"/>
  <c r="AS107" i="4"/>
  <c r="O23" i="6"/>
  <c r="O26" i="6" s="1"/>
  <c r="AQ101" i="4"/>
  <c r="AQ103" i="4"/>
  <c r="AQ104" i="4"/>
  <c r="AQ105" i="4"/>
  <c r="AQ106" i="4"/>
  <c r="AQ107" i="4"/>
  <c r="AT101" i="4"/>
  <c r="AT103" i="4"/>
  <c r="AT104" i="4"/>
  <c r="AT105" i="4"/>
  <c r="AT106" i="4"/>
  <c r="AT107" i="4"/>
  <c r="P23" i="6"/>
  <c r="P26" i="6" s="1"/>
  <c r="AQ87" i="4"/>
  <c r="AQ88" i="4"/>
  <c r="AQ89" i="4"/>
  <c r="AQ90" i="4"/>
  <c r="AQ91" i="4"/>
  <c r="AQ92" i="4"/>
  <c r="AQ93" i="4"/>
  <c r="AQ95" i="4"/>
  <c r="AT87" i="4"/>
  <c r="AT88" i="4"/>
  <c r="AT89" i="4"/>
  <c r="AT90" i="4"/>
  <c r="AT91" i="4"/>
  <c r="AT92" i="4"/>
  <c r="AT93" i="4"/>
  <c r="AT95" i="4"/>
  <c r="AR101" i="4"/>
  <c r="AR103" i="4"/>
  <c r="AR104" i="4"/>
  <c r="AR105" i="4"/>
  <c r="AR106" i="4"/>
  <c r="AR107" i="4"/>
  <c r="AR118" i="4"/>
  <c r="AU101" i="4"/>
  <c r="AU103" i="4"/>
  <c r="AU104" i="4"/>
  <c r="AU105" i="4"/>
  <c r="AU106" i="4"/>
  <c r="AU107" i="4"/>
  <c r="Q23" i="6"/>
  <c r="Q26" i="6"/>
  <c r="AR87" i="4"/>
  <c r="AR88" i="4"/>
  <c r="AR89" i="4"/>
  <c r="AR90" i="4"/>
  <c r="AR91" i="4"/>
  <c r="AR92" i="4"/>
  <c r="AR93" i="4"/>
  <c r="AR95" i="4"/>
  <c r="AU88" i="4"/>
  <c r="AU89" i="4"/>
  <c r="AU90" i="4"/>
  <c r="AU91" i="4"/>
  <c r="AU92" i="4"/>
  <c r="AU93" i="4"/>
  <c r="AU95" i="4"/>
  <c r="AI132" i="4"/>
  <c r="AG132" i="4"/>
  <c r="M8" i="8" s="1"/>
  <c r="AP119" i="4"/>
  <c r="AP120" i="4"/>
  <c r="D9" i="8" s="1"/>
  <c r="AS120" i="4"/>
  <c r="AS132" i="4" s="1"/>
  <c r="AQ119" i="4"/>
  <c r="AQ120" i="4"/>
  <c r="AT120" i="4"/>
  <c r="AR119" i="4"/>
  <c r="AR120" i="4"/>
  <c r="AU120" i="4"/>
  <c r="AU132" i="4" s="1"/>
  <c r="AI147" i="4"/>
  <c r="AG147" i="4" s="1"/>
  <c r="M9" i="8" s="1"/>
  <c r="AP133" i="4"/>
  <c r="D10" i="8" s="1"/>
  <c r="AP134" i="4"/>
  <c r="AP147" i="4" s="1"/>
  <c r="AP135" i="4"/>
  <c r="AP136" i="4"/>
  <c r="AS133" i="4"/>
  <c r="AS134" i="4"/>
  <c r="AS135" i="4"/>
  <c r="AS136" i="4"/>
  <c r="AS137" i="4"/>
  <c r="C10" i="8"/>
  <c r="AQ133" i="4"/>
  <c r="AQ134" i="4"/>
  <c r="AQ135" i="4"/>
  <c r="AQ136" i="4"/>
  <c r="AT133" i="4"/>
  <c r="AT134" i="4"/>
  <c r="AT135" i="4"/>
  <c r="AT147" i="4" s="1"/>
  <c r="AT136" i="4"/>
  <c r="AT137" i="4"/>
  <c r="AR133" i="4"/>
  <c r="AR134" i="4"/>
  <c r="AR147" i="4" s="1"/>
  <c r="AR135" i="4"/>
  <c r="AR136" i="4"/>
  <c r="AU133" i="4"/>
  <c r="AU134" i="4"/>
  <c r="AU135" i="4"/>
  <c r="AU136" i="4"/>
  <c r="AU137" i="4"/>
  <c r="AI170" i="4"/>
  <c r="AG170" i="4" s="1"/>
  <c r="M10" i="8" s="1"/>
  <c r="AP149" i="4"/>
  <c r="D11" i="8" s="1"/>
  <c r="AP151" i="4"/>
  <c r="AP170" i="4" s="1"/>
  <c r="AP152" i="4"/>
  <c r="AP154" i="4"/>
  <c r="AS149" i="4"/>
  <c r="AS151" i="4"/>
  <c r="AS152" i="4"/>
  <c r="AS153" i="4"/>
  <c r="AS154" i="4"/>
  <c r="O40" i="6"/>
  <c r="O47" i="6" s="1"/>
  <c r="AQ149" i="4"/>
  <c r="AQ151" i="4"/>
  <c r="AQ152" i="4"/>
  <c r="AQ154" i="4"/>
  <c r="AT149" i="4"/>
  <c r="AT151" i="4"/>
  <c r="AT152" i="4"/>
  <c r="AT153" i="4"/>
  <c r="AT154" i="4"/>
  <c r="P40" i="6"/>
  <c r="P47" i="6" s="1"/>
  <c r="AR149" i="4"/>
  <c r="J11" i="8" s="1"/>
  <c r="AR151" i="4"/>
  <c r="AR170" i="4" s="1"/>
  <c r="AR152" i="4"/>
  <c r="AR154" i="4"/>
  <c r="AU149" i="4"/>
  <c r="AU151" i="4"/>
  <c r="AU152" i="4"/>
  <c r="AU153" i="4"/>
  <c r="AU154" i="4"/>
  <c r="Q40" i="6"/>
  <c r="Q47" i="6" s="1"/>
  <c r="B12" i="8"/>
  <c r="E12" i="8"/>
  <c r="H12" i="8"/>
  <c r="N35" i="8"/>
  <c r="O35" i="8"/>
  <c r="BL4" i="4"/>
  <c r="BR4" i="4" s="1"/>
  <c r="BL13" i="4"/>
  <c r="BL49" i="4"/>
  <c r="BL32" i="4"/>
  <c r="BL33" i="4"/>
  <c r="S48" i="4"/>
  <c r="S50" i="4"/>
  <c r="BL50" i="4"/>
  <c r="S59" i="4"/>
  <c r="S60" i="4"/>
  <c r="BL60" i="4" s="1"/>
  <c r="S61" i="4"/>
  <c r="S74" i="4"/>
  <c r="BM74" i="4" s="1"/>
  <c r="BR74" i="4" s="1"/>
  <c r="BL74" i="4"/>
  <c r="S76" i="4"/>
  <c r="S83" i="4"/>
  <c r="BL83" i="4"/>
  <c r="BL84" i="4"/>
  <c r="S85" i="4"/>
  <c r="BL85" i="4" s="1"/>
  <c r="BL86" i="4"/>
  <c r="S87" i="4"/>
  <c r="BL87" i="4" s="1"/>
  <c r="BL110" i="4"/>
  <c r="S111" i="4"/>
  <c r="BL112" i="4"/>
  <c r="BL113" i="4"/>
  <c r="BL115" i="4"/>
  <c r="BL122" i="4"/>
  <c r="BL123" i="4"/>
  <c r="BL138" i="4"/>
  <c r="BR138" i="4" s="1"/>
  <c r="BV2" i="4"/>
  <c r="BX2" i="4" s="1"/>
  <c r="BW2" i="4"/>
  <c r="BP13" i="4"/>
  <c r="BP49" i="4"/>
  <c r="BP32" i="4"/>
  <c r="BY2" i="4" s="1"/>
  <c r="BP33" i="4"/>
  <c r="BP48" i="4"/>
  <c r="BZ2" i="4"/>
  <c r="BQ13" i="4"/>
  <c r="BQ49" i="4"/>
  <c r="BQ32" i="4"/>
  <c r="BQ33" i="4"/>
  <c r="BQ48" i="4"/>
  <c r="CB2" i="4"/>
  <c r="BM13" i="4"/>
  <c r="BM49" i="4"/>
  <c r="BR49" i="4" s="1"/>
  <c r="BM32" i="4"/>
  <c r="BR32" i="4" s="1"/>
  <c r="BM33" i="4"/>
  <c r="BR33" i="4" s="1"/>
  <c r="BM50" i="4"/>
  <c r="BR50" i="4" s="1"/>
  <c r="BM83" i="4"/>
  <c r="BR83" i="4" s="1"/>
  <c r="BM85" i="4"/>
  <c r="BM86" i="4"/>
  <c r="BM87" i="4"/>
  <c r="BR87" i="4"/>
  <c r="BM110" i="4"/>
  <c r="BM112" i="4"/>
  <c r="BR112" i="4" s="1"/>
  <c r="BM113" i="4"/>
  <c r="BR113" i="4" s="1"/>
  <c r="BM115" i="4"/>
  <c r="BM122" i="4"/>
  <c r="BR122" i="4" s="1"/>
  <c r="BM123" i="4"/>
  <c r="BR123" i="4" s="1"/>
  <c r="BM138" i="4"/>
  <c r="CD2" i="4"/>
  <c r="U4" i="4"/>
  <c r="W4" i="4"/>
  <c r="BM4" i="4"/>
  <c r="BN4" i="4"/>
  <c r="BO4" i="4"/>
  <c r="BS4" i="4" s="1"/>
  <c r="BP4" i="4"/>
  <c r="BT4" i="4" s="1"/>
  <c r="BQ4" i="4"/>
  <c r="U5" i="4"/>
  <c r="W5" i="4"/>
  <c r="AH5" i="4"/>
  <c r="U6" i="4"/>
  <c r="W6" i="4"/>
  <c r="AH6" i="4"/>
  <c r="U7" i="4"/>
  <c r="W7" i="4"/>
  <c r="AH7" i="4"/>
  <c r="U8" i="4"/>
  <c r="W8" i="4"/>
  <c r="U9" i="4"/>
  <c r="W9" i="4"/>
  <c r="U10" i="4"/>
  <c r="W10" i="4"/>
  <c r="U11" i="4"/>
  <c r="W11" i="4"/>
  <c r="U12" i="4"/>
  <c r="W12" i="4"/>
  <c r="U13" i="4"/>
  <c r="W13" i="4"/>
  <c r="AH13" i="4"/>
  <c r="BE13" i="4"/>
  <c r="BN13" i="4"/>
  <c r="BO13" i="4"/>
  <c r="BT13" i="4"/>
  <c r="U14" i="4"/>
  <c r="W14" i="4"/>
  <c r="U15" i="4"/>
  <c r="W15" i="4"/>
  <c r="U16" i="4"/>
  <c r="W16" i="4"/>
  <c r="B17" i="4"/>
  <c r="D17" i="4"/>
  <c r="E17" i="4"/>
  <c r="F17" i="4"/>
  <c r="S17" i="4"/>
  <c r="T17" i="4"/>
  <c r="U17" i="4"/>
  <c r="U18" i="4"/>
  <c r="W18" i="4"/>
  <c r="U19" i="4"/>
  <c r="W19" i="4"/>
  <c r="U20" i="4"/>
  <c r="W20" i="4"/>
  <c r="U21" i="4"/>
  <c r="W21" i="4"/>
  <c r="U22" i="4"/>
  <c r="W22" i="4"/>
  <c r="U23" i="4"/>
  <c r="W23" i="4"/>
  <c r="U24" i="4"/>
  <c r="W24" i="4"/>
  <c r="U25" i="4"/>
  <c r="W25" i="4"/>
  <c r="AH25" i="4"/>
  <c r="U26" i="4"/>
  <c r="W26" i="4"/>
  <c r="AH26" i="4"/>
  <c r="U27" i="4"/>
  <c r="W27" i="4"/>
  <c r="AH27" i="4"/>
  <c r="U28" i="4"/>
  <c r="W28" i="4"/>
  <c r="AH28" i="4"/>
  <c r="U29" i="4"/>
  <c r="W29" i="4"/>
  <c r="AH29" i="4"/>
  <c r="U30" i="4"/>
  <c r="W30" i="4"/>
  <c r="U49" i="4"/>
  <c r="W49" i="4"/>
  <c r="BN49" i="4"/>
  <c r="BS49" i="4" s="1"/>
  <c r="BO49" i="4"/>
  <c r="BT49" i="4"/>
  <c r="U31" i="4"/>
  <c r="W31" i="4"/>
  <c r="U32" i="4"/>
  <c r="W32" i="4"/>
  <c r="BN32" i="4"/>
  <c r="BO32" i="4"/>
  <c r="BU32" i="4"/>
  <c r="U33" i="4"/>
  <c r="W33" i="4"/>
  <c r="BN33" i="4"/>
  <c r="BO33" i="4"/>
  <c r="BT33" i="4"/>
  <c r="B36" i="4"/>
  <c r="D36" i="4"/>
  <c r="E36" i="4"/>
  <c r="F36" i="4"/>
  <c r="S36" i="4"/>
  <c r="T36" i="4"/>
  <c r="AI36" i="4"/>
  <c r="U37" i="4"/>
  <c r="W37" i="4"/>
  <c r="U38" i="4"/>
  <c r="W38" i="4"/>
  <c r="U39" i="4"/>
  <c r="W39" i="4"/>
  <c r="U40" i="4"/>
  <c r="W40" i="4"/>
  <c r="U41" i="4"/>
  <c r="W41" i="4"/>
  <c r="U42" i="4"/>
  <c r="W42" i="4"/>
  <c r="U43" i="4"/>
  <c r="W43" i="4"/>
  <c r="U44" i="4"/>
  <c r="W44" i="4"/>
  <c r="U45" i="4"/>
  <c r="W45" i="4"/>
  <c r="U46" i="4"/>
  <c r="W46" i="4"/>
  <c r="U47" i="4"/>
  <c r="W47" i="4"/>
  <c r="T48" i="4"/>
  <c r="BN48" i="4" s="1"/>
  <c r="W48" i="4"/>
  <c r="Z48" i="4"/>
  <c r="AH48" i="4"/>
  <c r="AH51" i="4" s="1"/>
  <c r="BO48" i="4"/>
  <c r="BS48" i="4"/>
  <c r="BT48" i="4"/>
  <c r="U63" i="4"/>
  <c r="W63" i="4"/>
  <c r="Z63" i="4"/>
  <c r="A50" i="4"/>
  <c r="T50" i="4"/>
  <c r="Z50" i="4" s="1"/>
  <c r="W50" i="4"/>
  <c r="BN50" i="4"/>
  <c r="BP50" i="4"/>
  <c r="BT50" i="4" s="1"/>
  <c r="BQ50" i="4"/>
  <c r="B51" i="4"/>
  <c r="D51" i="4"/>
  <c r="E51" i="4"/>
  <c r="F51" i="4"/>
  <c r="AI51" i="4"/>
  <c r="S52" i="4"/>
  <c r="T52" i="4"/>
  <c r="AH52" i="4"/>
  <c r="S53" i="4"/>
  <c r="T53" i="4"/>
  <c r="U53" i="4" s="1"/>
  <c r="AH53" i="4"/>
  <c r="S54" i="4"/>
  <c r="T54" i="4"/>
  <c r="AH54" i="4"/>
  <c r="S55" i="4"/>
  <c r="U55" i="4" s="1"/>
  <c r="T55" i="4"/>
  <c r="S56" i="4"/>
  <c r="T56" i="4"/>
  <c r="Z56" i="4" s="1"/>
  <c r="AH56" i="4"/>
  <c r="S57" i="4"/>
  <c r="W57" i="4" s="1"/>
  <c r="T57" i="4"/>
  <c r="AH57" i="4"/>
  <c r="U58" i="4"/>
  <c r="W58" i="4"/>
  <c r="AH58" i="4"/>
  <c r="T59" i="4"/>
  <c r="BN59" i="4" s="1"/>
  <c r="AH59" i="4"/>
  <c r="BO59" i="4"/>
  <c r="BP59" i="4"/>
  <c r="BQ59" i="4"/>
  <c r="BT59" i="4" s="1"/>
  <c r="T60" i="4"/>
  <c r="U60" i="4"/>
  <c r="Z60" i="4"/>
  <c r="AH60" i="4"/>
  <c r="BN60" i="4"/>
  <c r="BP60" i="4"/>
  <c r="BQ60" i="4"/>
  <c r="T61" i="4"/>
  <c r="U61" i="4" s="1"/>
  <c r="W61" i="4"/>
  <c r="AH61" i="4"/>
  <c r="BN61" i="4"/>
  <c r="BP61" i="4"/>
  <c r="BT61" i="4" s="1"/>
  <c r="BQ61" i="4"/>
  <c r="S62" i="4"/>
  <c r="T62" i="4"/>
  <c r="S64" i="4"/>
  <c r="T64" i="4"/>
  <c r="U65" i="4"/>
  <c r="W65" i="4"/>
  <c r="Z65" i="4"/>
  <c r="S66" i="4"/>
  <c r="T66" i="4"/>
  <c r="U66" i="4"/>
  <c r="S67" i="4"/>
  <c r="T67" i="4"/>
  <c r="A68" i="4"/>
  <c r="S68" i="4"/>
  <c r="W68" i="4" s="1"/>
  <c r="T68" i="4"/>
  <c r="B72" i="4"/>
  <c r="D72" i="4"/>
  <c r="E72" i="4"/>
  <c r="F72" i="4"/>
  <c r="S73" i="4"/>
  <c r="T73" i="4"/>
  <c r="AH73" i="4"/>
  <c r="T74" i="4"/>
  <c r="U74" i="4"/>
  <c r="W74" i="4"/>
  <c r="Z74" i="4"/>
  <c r="AH74" i="4"/>
  <c r="BN74" i="4"/>
  <c r="BO74" i="4"/>
  <c r="BP74" i="4"/>
  <c r="BT74" i="4" s="1"/>
  <c r="BQ74" i="4"/>
  <c r="BS74" i="4"/>
  <c r="S75" i="4"/>
  <c r="Z75" i="4" s="1"/>
  <c r="T75" i="4"/>
  <c r="AH75" i="4"/>
  <c r="T76" i="4"/>
  <c r="BO76" i="4" s="1"/>
  <c r="W76" i="4"/>
  <c r="AH76" i="4"/>
  <c r="BN76" i="4"/>
  <c r="BP76" i="4"/>
  <c r="BT76" i="4" s="1"/>
  <c r="BQ76" i="4"/>
  <c r="U77" i="4"/>
  <c r="W77" i="4"/>
  <c r="AH77" i="4"/>
  <c r="S78" i="4"/>
  <c r="T78" i="4"/>
  <c r="W78" i="4" s="1"/>
  <c r="AH78" i="4"/>
  <c r="S79" i="4"/>
  <c r="Z79" i="4" s="1"/>
  <c r="T79" i="4"/>
  <c r="AH79" i="4"/>
  <c r="S80" i="4"/>
  <c r="W80" i="4" s="1"/>
  <c r="T80" i="4"/>
  <c r="AH80" i="4"/>
  <c r="S81" i="4"/>
  <c r="T81" i="4"/>
  <c r="AH81" i="4"/>
  <c r="U82" i="4"/>
  <c r="W82" i="4"/>
  <c r="AH82" i="4"/>
  <c r="T83" i="4"/>
  <c r="Z83" i="4" s="1"/>
  <c r="U83" i="4"/>
  <c r="BN83" i="4"/>
  <c r="BO83" i="4"/>
  <c r="BS83" i="4" s="1"/>
  <c r="BP83" i="4"/>
  <c r="BQ83" i="4"/>
  <c r="U84" i="4"/>
  <c r="BN84" i="4"/>
  <c r="BO84" i="4"/>
  <c r="BS84" i="4" s="1"/>
  <c r="BP84" i="4"/>
  <c r="BT84" i="4" s="1"/>
  <c r="BQ84" i="4"/>
  <c r="T85" i="4"/>
  <c r="Z85" i="4" s="1"/>
  <c r="BP85" i="4"/>
  <c r="BQ85" i="4"/>
  <c r="U86" i="4"/>
  <c r="W86" i="4"/>
  <c r="Z86" i="4"/>
  <c r="BN86" i="4"/>
  <c r="BO86" i="4"/>
  <c r="BP86" i="4"/>
  <c r="BQ86" i="4"/>
  <c r="T87" i="4"/>
  <c r="Z87" i="4" s="1"/>
  <c r="AP87" i="4"/>
  <c r="AS87" i="4"/>
  <c r="BP87" i="4"/>
  <c r="BT87" i="4" s="1"/>
  <c r="BQ87" i="4"/>
  <c r="S88" i="4"/>
  <c r="T88" i="4"/>
  <c r="AP88" i="4"/>
  <c r="AS88" i="4"/>
  <c r="S89" i="4"/>
  <c r="T89" i="4"/>
  <c r="Z89" i="4"/>
  <c r="AP89" i="4"/>
  <c r="AS89" i="4"/>
  <c r="S90" i="4"/>
  <c r="T90" i="4"/>
  <c r="AP90" i="4"/>
  <c r="AS90" i="4"/>
  <c r="U91" i="4"/>
  <c r="Z91" i="4"/>
  <c r="AP91" i="4"/>
  <c r="AS91" i="4"/>
  <c r="S92" i="4"/>
  <c r="T92" i="4"/>
  <c r="U92" i="4" s="1"/>
  <c r="AP92" i="4"/>
  <c r="AS92" i="4"/>
  <c r="S93" i="4"/>
  <c r="T93" i="4"/>
  <c r="AP93" i="4"/>
  <c r="AS93" i="4"/>
  <c r="U94" i="4"/>
  <c r="W94" i="4"/>
  <c r="S95" i="4"/>
  <c r="Z95" i="4" s="1"/>
  <c r="T95" i="4"/>
  <c r="AP95" i="4"/>
  <c r="AS95" i="4"/>
  <c r="B99" i="4"/>
  <c r="D99" i="4"/>
  <c r="E99" i="4"/>
  <c r="F99" i="4"/>
  <c r="AS99" i="4"/>
  <c r="U100" i="4"/>
  <c r="W100" i="4"/>
  <c r="Z100" i="4"/>
  <c r="U101" i="4"/>
  <c r="W101" i="4"/>
  <c r="Z101" i="4"/>
  <c r="AH101" i="4"/>
  <c r="U102" i="4"/>
  <c r="W102" i="4"/>
  <c r="Z102" i="4"/>
  <c r="U103" i="4"/>
  <c r="W103" i="4"/>
  <c r="Z103" i="4"/>
  <c r="AH103" i="4"/>
  <c r="U104" i="4"/>
  <c r="W104" i="4"/>
  <c r="Z104" i="4"/>
  <c r="AH104" i="4"/>
  <c r="S105" i="4"/>
  <c r="T105" i="4"/>
  <c r="AH105" i="4"/>
  <c r="S106" i="4"/>
  <c r="T106" i="4"/>
  <c r="T118" i="4" s="1"/>
  <c r="AH106" i="4"/>
  <c r="S107" i="4"/>
  <c r="T107" i="4"/>
  <c r="W107" i="4"/>
  <c r="AH107" i="4"/>
  <c r="S108" i="4"/>
  <c r="U108" i="4" s="1"/>
  <c r="T108" i="4"/>
  <c r="W108" i="4"/>
  <c r="U109" i="4"/>
  <c r="W109" i="4"/>
  <c r="Z109" i="4"/>
  <c r="U110" i="4"/>
  <c r="W110" i="4"/>
  <c r="Z110" i="4"/>
  <c r="BN110" i="4"/>
  <c r="BO110" i="4"/>
  <c r="BS110" i="4" s="1"/>
  <c r="BP110" i="4"/>
  <c r="BQ110" i="4"/>
  <c r="BN111" i="4"/>
  <c r="BO111" i="4"/>
  <c r="BP111" i="4"/>
  <c r="BQ111" i="4"/>
  <c r="BT111" i="4"/>
  <c r="U112" i="4"/>
  <c r="W112" i="4"/>
  <c r="Z112" i="4"/>
  <c r="BN112" i="4"/>
  <c r="BO112" i="4"/>
  <c r="BP112" i="4"/>
  <c r="BQ112" i="4"/>
  <c r="BS112" i="4"/>
  <c r="U113" i="4"/>
  <c r="W113" i="4"/>
  <c r="Z113" i="4"/>
  <c r="BN113" i="4"/>
  <c r="BO113" i="4"/>
  <c r="BP113" i="4"/>
  <c r="BQ113" i="4"/>
  <c r="BS113" i="4"/>
  <c r="U114" i="4"/>
  <c r="W114" i="4"/>
  <c r="Z114" i="4"/>
  <c r="E115" i="4"/>
  <c r="F118" i="4" s="1"/>
  <c r="U115" i="4"/>
  <c r="W115" i="4"/>
  <c r="Z115" i="4"/>
  <c r="BN115" i="4"/>
  <c r="BO115" i="4"/>
  <c r="BP115" i="4"/>
  <c r="BT115" i="4" s="1"/>
  <c r="BQ115" i="4"/>
  <c r="A116" i="4"/>
  <c r="U116" i="4"/>
  <c r="B118" i="4"/>
  <c r="D118" i="4"/>
  <c r="E118" i="4"/>
  <c r="U119" i="4"/>
  <c r="W119" i="4"/>
  <c r="Z119" i="4"/>
  <c r="AH119" i="4"/>
  <c r="S120" i="4"/>
  <c r="T120" i="4"/>
  <c r="T132" i="4" s="1"/>
  <c r="AH120" i="4"/>
  <c r="U121" i="4"/>
  <c r="W121" i="4"/>
  <c r="Z121" i="4"/>
  <c r="U122" i="4"/>
  <c r="W122" i="4"/>
  <c r="Z122" i="4"/>
  <c r="BN122" i="4"/>
  <c r="BO122" i="4"/>
  <c r="BP122" i="4"/>
  <c r="BQ122" i="4"/>
  <c r="BT122" i="4"/>
  <c r="U123" i="4"/>
  <c r="W123" i="4"/>
  <c r="Z123" i="4"/>
  <c r="BN123" i="4"/>
  <c r="BO123" i="4"/>
  <c r="BP123" i="4"/>
  <c r="BT123" i="4" s="1"/>
  <c r="BQ123" i="4"/>
  <c r="BS123" i="4"/>
  <c r="U124" i="4"/>
  <c r="W124" i="4"/>
  <c r="U125" i="4"/>
  <c r="W125" i="4"/>
  <c r="U126" i="4"/>
  <c r="W126" i="4"/>
  <c r="U127" i="4"/>
  <c r="W127" i="4"/>
  <c r="U128" i="4"/>
  <c r="W128" i="4"/>
  <c r="U129" i="4"/>
  <c r="W129" i="4"/>
  <c r="U130" i="4"/>
  <c r="W130" i="4"/>
  <c r="A131" i="4"/>
  <c r="U131" i="4"/>
  <c r="W131" i="4"/>
  <c r="Z131" i="4"/>
  <c r="B132" i="4"/>
  <c r="D132" i="4"/>
  <c r="E132" i="4"/>
  <c r="F132" i="4"/>
  <c r="S133" i="4"/>
  <c r="T133" i="4"/>
  <c r="AH133" i="4"/>
  <c r="U134" i="4"/>
  <c r="W134" i="4"/>
  <c r="Z134" i="4"/>
  <c r="AH134" i="4"/>
  <c r="S135" i="4"/>
  <c r="T135" i="4"/>
  <c r="AH135" i="4"/>
  <c r="S136" i="4"/>
  <c r="W136" i="4" s="1"/>
  <c r="T136" i="4"/>
  <c r="Z136" i="4" s="1"/>
  <c r="AH136" i="4"/>
  <c r="S137" i="4"/>
  <c r="W137" i="4" s="1"/>
  <c r="T137" i="4"/>
  <c r="AH137" i="4"/>
  <c r="U138" i="4"/>
  <c r="W138" i="4"/>
  <c r="Z138" i="4"/>
  <c r="BN138" i="4"/>
  <c r="BO138" i="4"/>
  <c r="BP138" i="4"/>
  <c r="BT138" i="4" s="1"/>
  <c r="BQ138" i="4"/>
  <c r="BS138" i="4"/>
  <c r="W140" i="4"/>
  <c r="Z140" i="4"/>
  <c r="U141" i="4"/>
  <c r="W141" i="4"/>
  <c r="Z141" i="4"/>
  <c r="U142" i="4"/>
  <c r="W142" i="4"/>
  <c r="Z142" i="4"/>
  <c r="U143" i="4"/>
  <c r="W143" i="4"/>
  <c r="Z143" i="4"/>
  <c r="U144" i="4"/>
  <c r="W144" i="4"/>
  <c r="Z144" i="4"/>
  <c r="U145" i="4"/>
  <c r="W145" i="4"/>
  <c r="Z145" i="4"/>
  <c r="A146" i="4"/>
  <c r="U146" i="4"/>
  <c r="W146" i="4"/>
  <c r="B147" i="4"/>
  <c r="D147" i="4"/>
  <c r="E147" i="4"/>
  <c r="F147" i="4"/>
  <c r="S147" i="4"/>
  <c r="U148" i="4"/>
  <c r="W148" i="4"/>
  <c r="Z148" i="4"/>
  <c r="N149" i="4"/>
  <c r="U149" i="4"/>
  <c r="W149" i="4"/>
  <c r="Z149" i="4"/>
  <c r="AD149" i="4"/>
  <c r="AH149" i="4"/>
  <c r="E150" i="4"/>
  <c r="U150" i="4"/>
  <c r="W150" i="4"/>
  <c r="Z150" i="4"/>
  <c r="AH150" i="4"/>
  <c r="U151" i="4"/>
  <c r="W151" i="4"/>
  <c r="Z151" i="4"/>
  <c r="AH151" i="4"/>
  <c r="E152" i="4"/>
  <c r="U152" i="4"/>
  <c r="W152" i="4"/>
  <c r="Z152" i="4"/>
  <c r="AH152" i="4"/>
  <c r="U153" i="4"/>
  <c r="W153" i="4"/>
  <c r="AH153" i="4"/>
  <c r="U154" i="4"/>
  <c r="W154" i="4"/>
  <c r="Z154" i="4"/>
  <c r="AH154" i="4"/>
  <c r="U155" i="4"/>
  <c r="W155" i="4"/>
  <c r="Z155" i="4"/>
  <c r="E156" i="4"/>
  <c r="T156" i="4"/>
  <c r="Z156" i="4" s="1"/>
  <c r="T157" i="4"/>
  <c r="W157" i="4" s="1"/>
  <c r="E158" i="4"/>
  <c r="U158" i="4"/>
  <c r="Z158" i="4"/>
  <c r="U159" i="4"/>
  <c r="Z159" i="4"/>
  <c r="U160" i="4"/>
  <c r="Z160" i="4"/>
  <c r="U161" i="4"/>
  <c r="Z161" i="4"/>
  <c r="A162" i="4"/>
  <c r="Z162" i="4" s="1"/>
  <c r="U162" i="4"/>
  <c r="B170" i="4"/>
  <c r="D170" i="4"/>
  <c r="S171" i="4"/>
  <c r="W171" i="4" s="1"/>
  <c r="T171" i="4"/>
  <c r="T189" i="4" s="1"/>
  <c r="U171" i="4"/>
  <c r="S172" i="4"/>
  <c r="U172" i="4" s="1"/>
  <c r="T172" i="4"/>
  <c r="U173" i="4"/>
  <c r="W173" i="4"/>
  <c r="Z173" i="4"/>
  <c r="E203" i="4" s="1"/>
  <c r="S174" i="4"/>
  <c r="W174" i="4" s="1"/>
  <c r="T174" i="4"/>
  <c r="Z174" i="4" s="1"/>
  <c r="E204" i="4" s="1"/>
  <c r="E175" i="4"/>
  <c r="U175" i="4"/>
  <c r="W175" i="4"/>
  <c r="Z175" i="4"/>
  <c r="E176" i="4"/>
  <c r="U176" i="4"/>
  <c r="W176" i="4"/>
  <c r="Z176" i="4"/>
  <c r="E206" i="4" s="1"/>
  <c r="E177" i="4"/>
  <c r="S177" i="4"/>
  <c r="W177" i="4" s="1"/>
  <c r="T177" i="4"/>
  <c r="S178" i="4"/>
  <c r="W178" i="4" s="1"/>
  <c r="T178" i="4"/>
  <c r="U179" i="4"/>
  <c r="W179" i="4"/>
  <c r="Z179" i="4"/>
  <c r="U180" i="4"/>
  <c r="W180" i="4"/>
  <c r="Z180" i="4"/>
  <c r="U184" i="4"/>
  <c r="W184" i="4"/>
  <c r="Z184" i="4"/>
  <c r="U185" i="4"/>
  <c r="W185" i="4"/>
  <c r="A186" i="4"/>
  <c r="U186" i="4"/>
  <c r="W186" i="4"/>
  <c r="B189" i="4"/>
  <c r="D189" i="4"/>
  <c r="F189" i="4"/>
  <c r="AI189" i="4"/>
  <c r="AG189" i="4" s="1"/>
  <c r="AP189" i="4"/>
  <c r="AQ189" i="4"/>
  <c r="AR189" i="4"/>
  <c r="AS189" i="4"/>
  <c r="AT189" i="4"/>
  <c r="AU189" i="4"/>
  <c r="D201" i="4"/>
  <c r="D202" i="4"/>
  <c r="D203" i="4"/>
  <c r="D204" i="4"/>
  <c r="D205" i="4"/>
  <c r="E205" i="4"/>
  <c r="D206" i="4"/>
  <c r="D207" i="4"/>
  <c r="D17" i="5"/>
  <c r="F231" i="4" s="1"/>
  <c r="D7" i="6"/>
  <c r="B17" i="5"/>
  <c r="G231" i="4" s="1"/>
  <c r="A7" i="6"/>
  <c r="A16" i="5"/>
  <c r="B7" i="6"/>
  <c r="D36" i="5"/>
  <c r="D12" i="6"/>
  <c r="B36" i="5"/>
  <c r="A12" i="6"/>
  <c r="A35" i="5"/>
  <c r="B12" i="6"/>
  <c r="D49" i="5"/>
  <c r="D15" i="6"/>
  <c r="F233" i="4"/>
  <c r="G233" i="4"/>
  <c r="A48" i="5"/>
  <c r="B15" i="6"/>
  <c r="H233" i="4"/>
  <c r="D19" i="6"/>
  <c r="F234" i="4" s="1"/>
  <c r="A19" i="6"/>
  <c r="G234" i="4"/>
  <c r="B19" i="6"/>
  <c r="H234" i="4" s="1"/>
  <c r="D63" i="5"/>
  <c r="F235" i="4"/>
  <c r="B63" i="5"/>
  <c r="G235" i="4" s="1"/>
  <c r="A62" i="5"/>
  <c r="B22" i="6"/>
  <c r="D77" i="5"/>
  <c r="F236" i="4" s="1"/>
  <c r="D26" i="6"/>
  <c r="B77" i="5"/>
  <c r="A26" i="6"/>
  <c r="G236" i="4" s="1"/>
  <c r="A76" i="5"/>
  <c r="H236" i="4" s="1"/>
  <c r="B26" i="6"/>
  <c r="F237" i="4"/>
  <c r="G237" i="4"/>
  <c r="B30" i="6"/>
  <c r="H237" i="4"/>
  <c r="D39" i="6"/>
  <c r="F238" i="4" s="1"/>
  <c r="B90" i="5"/>
  <c r="A89" i="5"/>
  <c r="B39" i="6"/>
  <c r="I238" i="4"/>
  <c r="AF3" i="5"/>
  <c r="R4" i="5"/>
  <c r="S4" i="5"/>
  <c r="S17" i="5" s="1"/>
  <c r="T5" i="5"/>
  <c r="V5" i="5"/>
  <c r="Y5" i="5"/>
  <c r="T6" i="5"/>
  <c r="V6" i="5"/>
  <c r="Y6" i="5"/>
  <c r="R7" i="5"/>
  <c r="S7" i="5"/>
  <c r="T7" i="5"/>
  <c r="T8" i="5"/>
  <c r="V8" i="5"/>
  <c r="T9" i="5"/>
  <c r="V9" i="5"/>
  <c r="T10" i="5"/>
  <c r="V10" i="5"/>
  <c r="Y10" i="5"/>
  <c r="T11" i="5"/>
  <c r="V11" i="5"/>
  <c r="Y11" i="5"/>
  <c r="Y13" i="5"/>
  <c r="Y15" i="5"/>
  <c r="Y16" i="5"/>
  <c r="E17" i="5"/>
  <c r="F17" i="5"/>
  <c r="U17" i="5"/>
  <c r="AG17" i="5"/>
  <c r="AH17" i="5"/>
  <c r="AI17" i="5"/>
  <c r="AJ17" i="5"/>
  <c r="AK17" i="5"/>
  <c r="AL17" i="5"/>
  <c r="AM17" i="5"/>
  <c r="T18" i="5"/>
  <c r="V18" i="5"/>
  <c r="Y18" i="5"/>
  <c r="AH18" i="5"/>
  <c r="AH36" i="5" s="1"/>
  <c r="AI18" i="5"/>
  <c r="AJ18" i="5"/>
  <c r="AK18" i="5"/>
  <c r="AL18" i="5"/>
  <c r="AM18" i="5"/>
  <c r="T19" i="5"/>
  <c r="V19" i="5"/>
  <c r="Y19" i="5"/>
  <c r="AH19" i="5"/>
  <c r="AI19" i="5"/>
  <c r="AJ19" i="5"/>
  <c r="AK19" i="5"/>
  <c r="AL19" i="5"/>
  <c r="AM19" i="5"/>
  <c r="T20" i="5"/>
  <c r="V20" i="5"/>
  <c r="Y20" i="5"/>
  <c r="AH20" i="5"/>
  <c r="AI20" i="5"/>
  <c r="AJ20" i="5"/>
  <c r="AK20" i="5"/>
  <c r="AL20" i="5"/>
  <c r="AM20" i="5"/>
  <c r="T21" i="5"/>
  <c r="V21" i="5"/>
  <c r="Y21" i="5"/>
  <c r="AH21" i="5"/>
  <c r="AI21" i="5"/>
  <c r="AJ21" i="5"/>
  <c r="AK21" i="5"/>
  <c r="AL21" i="5"/>
  <c r="AM21" i="5"/>
  <c r="T22" i="5"/>
  <c r="V22" i="5"/>
  <c r="Y22" i="5"/>
  <c r="AH22" i="5"/>
  <c r="AI22" i="5"/>
  <c r="AJ22" i="5"/>
  <c r="AK22" i="5"/>
  <c r="AL22" i="5"/>
  <c r="AM22" i="5"/>
  <c r="T23" i="5"/>
  <c r="V23" i="5"/>
  <c r="Y23" i="5"/>
  <c r="AH23" i="5"/>
  <c r="AI23" i="5"/>
  <c r="AJ23" i="5"/>
  <c r="AK23" i="5"/>
  <c r="AL23" i="5"/>
  <c r="AM23" i="5"/>
  <c r="T24" i="5"/>
  <c r="V24" i="5"/>
  <c r="Y24" i="5"/>
  <c r="AH24" i="5"/>
  <c r="AI24" i="5"/>
  <c r="AJ24" i="5"/>
  <c r="AK24" i="5"/>
  <c r="AL24" i="5"/>
  <c r="AM24" i="5"/>
  <c r="T25" i="5"/>
  <c r="V25" i="5"/>
  <c r="Y25" i="5"/>
  <c r="AH25" i="5"/>
  <c r="AI25" i="5"/>
  <c r="AK25" i="5"/>
  <c r="AL25" i="5"/>
  <c r="AM25" i="5"/>
  <c r="T26" i="5"/>
  <c r="V26" i="5"/>
  <c r="Y26" i="5"/>
  <c r="AH26" i="5"/>
  <c r="AI26" i="5"/>
  <c r="AJ26" i="5"/>
  <c r="AK26" i="5"/>
  <c r="AL26" i="5"/>
  <c r="AM26" i="5"/>
  <c r="T27" i="5"/>
  <c r="V27" i="5"/>
  <c r="Y27" i="5"/>
  <c r="AH27" i="5"/>
  <c r="AI27" i="5"/>
  <c r="AJ27" i="5"/>
  <c r="AK27" i="5"/>
  <c r="AL27" i="5"/>
  <c r="AM27" i="5"/>
  <c r="T28" i="5"/>
  <c r="V28" i="5"/>
  <c r="Y28" i="5"/>
  <c r="AH28" i="5"/>
  <c r="AI28" i="5"/>
  <c r="AJ28" i="5"/>
  <c r="AK28" i="5"/>
  <c r="AL28" i="5"/>
  <c r="AM28" i="5"/>
  <c r="T29" i="5"/>
  <c r="V29" i="5"/>
  <c r="Y29" i="5"/>
  <c r="AH29" i="5"/>
  <c r="AI29" i="5"/>
  <c r="AJ29" i="5"/>
  <c r="AK29" i="5"/>
  <c r="AL29" i="5"/>
  <c r="AM29" i="5"/>
  <c r="T30" i="5"/>
  <c r="V30" i="5"/>
  <c r="Y30" i="5"/>
  <c r="AH30" i="5"/>
  <c r="AI30" i="5"/>
  <c r="AJ30" i="5"/>
  <c r="AK30" i="5"/>
  <c r="AL30" i="5"/>
  <c r="AM30" i="5"/>
  <c r="T31" i="5"/>
  <c r="V31" i="5"/>
  <c r="Y31" i="5"/>
  <c r="AH31" i="5"/>
  <c r="AI31" i="5"/>
  <c r="AJ31" i="5"/>
  <c r="AK31" i="5"/>
  <c r="AL31" i="5"/>
  <c r="AM31" i="5"/>
  <c r="T32" i="5"/>
  <c r="V32" i="5"/>
  <c r="Y32" i="5"/>
  <c r="AH32" i="5"/>
  <c r="AI32" i="5"/>
  <c r="AJ32" i="5"/>
  <c r="AK32" i="5"/>
  <c r="AL32" i="5"/>
  <c r="AM32" i="5"/>
  <c r="T33" i="5"/>
  <c r="V33" i="5"/>
  <c r="Y33" i="5"/>
  <c r="AH33" i="5"/>
  <c r="AI33" i="5"/>
  <c r="AJ33" i="5"/>
  <c r="AK33" i="5"/>
  <c r="AL33" i="5"/>
  <c r="AM33" i="5"/>
  <c r="T34" i="5"/>
  <c r="V34" i="5"/>
  <c r="Y34" i="5"/>
  <c r="AH34" i="5"/>
  <c r="AI34" i="5"/>
  <c r="AJ34" i="5"/>
  <c r="AK34" i="5"/>
  <c r="AL34" i="5"/>
  <c r="AM34" i="5"/>
  <c r="Y35" i="5"/>
  <c r="E36" i="5"/>
  <c r="F36" i="5"/>
  <c r="V36" i="5"/>
  <c r="AF36" i="5"/>
  <c r="AG36" i="5"/>
  <c r="T37" i="5"/>
  <c r="V37" i="5"/>
  <c r="Y37" i="5"/>
  <c r="T38" i="5"/>
  <c r="V38" i="5"/>
  <c r="Y38" i="5"/>
  <c r="R39" i="5"/>
  <c r="S39" i="5"/>
  <c r="T39" i="5"/>
  <c r="Y39" i="5"/>
  <c r="T40" i="5"/>
  <c r="V40" i="5"/>
  <c r="T41" i="5"/>
  <c r="V41" i="5"/>
  <c r="T42" i="5"/>
  <c r="V42" i="5"/>
  <c r="T43" i="5"/>
  <c r="V43" i="5"/>
  <c r="Y43" i="5"/>
  <c r="T44" i="5"/>
  <c r="V44" i="5"/>
  <c r="Y44" i="5"/>
  <c r="T45" i="5"/>
  <c r="V45" i="5"/>
  <c r="Y45" i="5"/>
  <c r="T46" i="5"/>
  <c r="V46" i="5"/>
  <c r="Y46" i="5"/>
  <c r="T47" i="5"/>
  <c r="V47" i="5"/>
  <c r="Y47" i="5"/>
  <c r="T48" i="5"/>
  <c r="V48" i="5"/>
  <c r="Y48" i="5"/>
  <c r="B49" i="5"/>
  <c r="E49" i="5"/>
  <c r="F49" i="5"/>
  <c r="V49" i="5"/>
  <c r="AF49" i="5"/>
  <c r="AG49" i="5"/>
  <c r="AH49" i="5"/>
  <c r="AI49" i="5"/>
  <c r="AJ49" i="5"/>
  <c r="AK49" i="5"/>
  <c r="AL49" i="5"/>
  <c r="AM49" i="5"/>
  <c r="R50" i="5"/>
  <c r="S50" i="5"/>
  <c r="Y50" i="5" s="1"/>
  <c r="V50" i="5"/>
  <c r="R51" i="5"/>
  <c r="V51" i="5" s="1"/>
  <c r="S51" i="5"/>
  <c r="T52" i="5"/>
  <c r="V52" i="5"/>
  <c r="R53" i="5"/>
  <c r="S53" i="5"/>
  <c r="Y53" i="5" s="1"/>
  <c r="R54" i="5"/>
  <c r="V54" i="5" s="1"/>
  <c r="S54" i="5"/>
  <c r="T55" i="5"/>
  <c r="V55" i="5"/>
  <c r="Y55" i="5"/>
  <c r="T56" i="5"/>
  <c r="V56" i="5"/>
  <c r="Y56" i="5"/>
  <c r="T57" i="5"/>
  <c r="V57" i="5"/>
  <c r="Y57" i="5"/>
  <c r="T58" i="5"/>
  <c r="V58" i="5"/>
  <c r="Y58" i="5"/>
  <c r="T59" i="5"/>
  <c r="V59" i="5"/>
  <c r="Y59" i="5"/>
  <c r="T60" i="5"/>
  <c r="V60" i="5"/>
  <c r="Y60" i="5"/>
  <c r="T61" i="5"/>
  <c r="V61" i="5"/>
  <c r="Y61" i="5"/>
  <c r="T62" i="5"/>
  <c r="V62" i="5"/>
  <c r="Y62" i="5"/>
  <c r="E63" i="5"/>
  <c r="F63" i="5"/>
  <c r="R63" i="5"/>
  <c r="U63" i="5"/>
  <c r="AF63" i="5"/>
  <c r="AF77" i="5" s="1"/>
  <c r="AG63" i="5"/>
  <c r="AG77" i="5" s="1"/>
  <c r="AH63" i="5"/>
  <c r="AI63" i="5"/>
  <c r="AI77" i="5" s="1"/>
  <c r="AJ63" i="5"/>
  <c r="AJ77" i="5" s="1"/>
  <c r="AK63" i="5"/>
  <c r="AL63" i="5"/>
  <c r="AM63" i="5"/>
  <c r="R64" i="5"/>
  <c r="V64" i="5" s="1"/>
  <c r="S64" i="5"/>
  <c r="R65" i="5"/>
  <c r="S65" i="5"/>
  <c r="Y65" i="5" s="1"/>
  <c r="R66" i="5"/>
  <c r="V66" i="5" s="1"/>
  <c r="S66" i="5"/>
  <c r="R67" i="5"/>
  <c r="S67" i="5"/>
  <c r="V67" i="5" s="1"/>
  <c r="R68" i="5"/>
  <c r="T68" i="5" s="1"/>
  <c r="S68" i="5"/>
  <c r="T69" i="5"/>
  <c r="T70" i="5"/>
  <c r="V70" i="5"/>
  <c r="T71" i="5"/>
  <c r="V71" i="5"/>
  <c r="Y71" i="5"/>
  <c r="T72" i="5"/>
  <c r="V72" i="5"/>
  <c r="Y72" i="5"/>
  <c r="T73" i="5"/>
  <c r="V73" i="5"/>
  <c r="Y73" i="5"/>
  <c r="T74" i="5"/>
  <c r="V74" i="5"/>
  <c r="Y74" i="5"/>
  <c r="T75" i="5"/>
  <c r="V75" i="5"/>
  <c r="Y75" i="5"/>
  <c r="T76" i="5"/>
  <c r="V76" i="5"/>
  <c r="Y76" i="5"/>
  <c r="E77" i="5"/>
  <c r="F77" i="5"/>
  <c r="V77" i="5"/>
  <c r="AH77" i="5"/>
  <c r="AK77" i="5"/>
  <c r="AL77" i="5"/>
  <c r="AM77" i="5"/>
  <c r="R78" i="5"/>
  <c r="S78" i="5"/>
  <c r="T78" i="5"/>
  <c r="T79" i="5"/>
  <c r="V79" i="5"/>
  <c r="R80" i="5"/>
  <c r="S80" i="5"/>
  <c r="Y80" i="5"/>
  <c r="R81" i="5"/>
  <c r="S81" i="5"/>
  <c r="Y81" i="5" s="1"/>
  <c r="T81" i="5"/>
  <c r="V81" i="5"/>
  <c r="T82" i="5"/>
  <c r="V82" i="5"/>
  <c r="Y82" i="5"/>
  <c r="T83" i="5"/>
  <c r="V83" i="5"/>
  <c r="Y83" i="5"/>
  <c r="T84" i="5"/>
  <c r="V84" i="5"/>
  <c r="Y84" i="5"/>
  <c r="T85" i="5"/>
  <c r="V85" i="5"/>
  <c r="Y85" i="5"/>
  <c r="T86" i="5"/>
  <c r="V86" i="5"/>
  <c r="Y86" i="5"/>
  <c r="T87" i="5"/>
  <c r="V87" i="5"/>
  <c r="Y87" i="5"/>
  <c r="T88" i="5"/>
  <c r="V88" i="5"/>
  <c r="Y88" i="5"/>
  <c r="T89" i="5"/>
  <c r="V89" i="5"/>
  <c r="Y89" i="5"/>
  <c r="E90" i="5"/>
  <c r="F90" i="5"/>
  <c r="U90" i="5"/>
  <c r="AG90" i="5"/>
  <c r="AF90" i="5" s="1"/>
  <c r="AH90" i="5"/>
  <c r="AI90" i="5"/>
  <c r="AJ90" i="5"/>
  <c r="AK90" i="5"/>
  <c r="AL90" i="5"/>
  <c r="AM90" i="5"/>
  <c r="N12" i="6"/>
  <c r="M15" i="6"/>
  <c r="N15" i="6"/>
  <c r="P18" i="6"/>
  <c r="R18" i="6"/>
  <c r="U18" i="6"/>
  <c r="BI18" i="6"/>
  <c r="N19" i="6"/>
  <c r="I20" i="6"/>
  <c r="K20" i="6"/>
  <c r="O20" i="6"/>
  <c r="P20" i="6"/>
  <c r="Q20" i="6"/>
  <c r="N22" i="6"/>
  <c r="O22" i="6"/>
  <c r="P22" i="6"/>
  <c r="Q22" i="6"/>
  <c r="O24" i="6"/>
  <c r="P24" i="6"/>
  <c r="Q24" i="6"/>
  <c r="N26" i="6"/>
  <c r="N30" i="6"/>
  <c r="O30" i="6"/>
  <c r="P30" i="6"/>
  <c r="Q30" i="6"/>
  <c r="A39" i="6"/>
  <c r="O41" i="6"/>
  <c r="P41" i="6"/>
  <c r="Q41" i="6"/>
  <c r="A47" i="6"/>
  <c r="B47" i="6"/>
  <c r="D47" i="6"/>
  <c r="B49" i="6" s="1"/>
  <c r="N47" i="6"/>
  <c r="N49" i="6"/>
  <c r="O49" i="6"/>
  <c r="P49" i="6"/>
  <c r="Q49" i="6"/>
  <c r="Z49" i="5" l="1"/>
  <c r="AL36" i="5"/>
  <c r="F232" i="4"/>
  <c r="Z171" i="4"/>
  <c r="E201" i="4" s="1"/>
  <c r="T170" i="4"/>
  <c r="U157" i="4"/>
  <c r="BT112" i="4"/>
  <c r="Z107" i="4"/>
  <c r="Z92" i="4"/>
  <c r="U89" i="4"/>
  <c r="Z88" i="4"/>
  <c r="BT83" i="4"/>
  <c r="Z80" i="4"/>
  <c r="U78" i="4"/>
  <c r="Z68" i="4"/>
  <c r="BO61" i="4"/>
  <c r="BS61" i="4" s="1"/>
  <c r="Z57" i="4"/>
  <c r="Z53" i="4"/>
  <c r="BO50" i="4"/>
  <c r="BS50" i="4" s="1"/>
  <c r="U50" i="4"/>
  <c r="BR110" i="4"/>
  <c r="BM60" i="4"/>
  <c r="G9" i="8"/>
  <c r="V106" i="5"/>
  <c r="Z26" i="4"/>
  <c r="Z36" i="4" s="1"/>
  <c r="W92" i="4"/>
  <c r="BN85" i="4"/>
  <c r="U80" i="4"/>
  <c r="Z78" i="4"/>
  <c r="AH99" i="4"/>
  <c r="U68" i="4"/>
  <c r="W67" i="4"/>
  <c r="Z59" i="4"/>
  <c r="W56" i="4"/>
  <c r="Z55" i="4"/>
  <c r="W53" i="4"/>
  <c r="AH72" i="4"/>
  <c r="T51" i="4"/>
  <c r="BR115" i="4"/>
  <c r="BR13" i="4"/>
  <c r="AQ36" i="4"/>
  <c r="C4" i="8"/>
  <c r="U174" i="4"/>
  <c r="E170" i="4"/>
  <c r="W156" i="4"/>
  <c r="G238" i="4"/>
  <c r="U137" i="4"/>
  <c r="BS122" i="4"/>
  <c r="BS115" i="4"/>
  <c r="BS111" i="4"/>
  <c r="BT110" i="4"/>
  <c r="BS86" i="4"/>
  <c r="W85" i="4"/>
  <c r="U79" i="4"/>
  <c r="BS76" i="4"/>
  <c r="W59" i="4"/>
  <c r="U56" i="4"/>
  <c r="Z52" i="4"/>
  <c r="BS32" i="4"/>
  <c r="BS13" i="4"/>
  <c r="D6" i="8"/>
  <c r="Z30" i="4"/>
  <c r="Z27" i="4"/>
  <c r="AA36" i="4" s="1"/>
  <c r="Y54" i="5"/>
  <c r="Y51" i="5"/>
  <c r="Y63" i="5" s="1"/>
  <c r="T80" i="5"/>
  <c r="T65" i="5"/>
  <c r="T54" i="5"/>
  <c r="T51" i="5"/>
  <c r="AJ36" i="5"/>
  <c r="V7" i="5"/>
  <c r="V4" i="5"/>
  <c r="Y68" i="5"/>
  <c r="V39" i="5"/>
  <c r="R17" i="5"/>
  <c r="T17" i="5" s="1"/>
  <c r="Y7" i="5"/>
  <c r="Z17" i="5" s="1"/>
  <c r="G232" i="4"/>
  <c r="H231" i="4"/>
  <c r="E189" i="4"/>
  <c r="AH17" i="4"/>
  <c r="BR86" i="4"/>
  <c r="AG99" i="4"/>
  <c r="AG118" i="4" s="1"/>
  <c r="M7" i="8" s="1"/>
  <c r="AR36" i="4"/>
  <c r="AP36" i="4"/>
  <c r="T18" i="7"/>
  <c r="T93" i="5"/>
  <c r="Z13" i="4"/>
  <c r="AQ170" i="4"/>
  <c r="G11" i="8"/>
  <c r="F12" i="8"/>
  <c r="AT36" i="4"/>
  <c r="G4" i="8"/>
  <c r="AU17" i="4"/>
  <c r="J3" i="8"/>
  <c r="Y78" i="5"/>
  <c r="S90" i="5"/>
  <c r="V90" i="5" s="1"/>
  <c r="Y64" i="5"/>
  <c r="Z63" i="5"/>
  <c r="Z36" i="5"/>
  <c r="Z178" i="4"/>
  <c r="Z133" i="4"/>
  <c r="U133" i="4"/>
  <c r="T147" i="4"/>
  <c r="U147" i="4" s="1"/>
  <c r="W133" i="4"/>
  <c r="W88" i="4"/>
  <c r="V78" i="5"/>
  <c r="T66" i="5"/>
  <c r="S63" i="5"/>
  <c r="V53" i="5"/>
  <c r="Y49" i="5"/>
  <c r="Y36" i="5"/>
  <c r="AM36" i="5"/>
  <c r="AI36" i="5"/>
  <c r="Y17" i="5"/>
  <c r="Z172" i="4"/>
  <c r="W172" i="4"/>
  <c r="Z146" i="4"/>
  <c r="H238" i="4"/>
  <c r="U135" i="4"/>
  <c r="Z135" i="4"/>
  <c r="W135" i="4"/>
  <c r="U120" i="4"/>
  <c r="Z120" i="4"/>
  <c r="S132" i="4"/>
  <c r="U132" i="4" s="1"/>
  <c r="W120" i="4"/>
  <c r="U106" i="4"/>
  <c r="S118" i="4"/>
  <c r="U118" i="4" s="1"/>
  <c r="Z106" i="4"/>
  <c r="W106" i="4"/>
  <c r="AH118" i="4"/>
  <c r="W95" i="4"/>
  <c r="U95" i="4"/>
  <c r="Z90" i="4"/>
  <c r="U90" i="4"/>
  <c r="W90" i="4"/>
  <c r="U73" i="4"/>
  <c r="Z73" i="4"/>
  <c r="S99" i="4"/>
  <c r="W73" i="4"/>
  <c r="AU147" i="4"/>
  <c r="J10" i="8"/>
  <c r="T67" i="5"/>
  <c r="Y67" i="5"/>
  <c r="T63" i="5"/>
  <c r="AR132" i="4"/>
  <c r="H9" i="8" s="1"/>
  <c r="I9" i="8"/>
  <c r="J9" i="8"/>
  <c r="R90" i="5"/>
  <c r="T90" i="5" s="1"/>
  <c r="V80" i="5"/>
  <c r="T53" i="5"/>
  <c r="AK36" i="5"/>
  <c r="H232" i="4"/>
  <c r="F170" i="4"/>
  <c r="Z105" i="4"/>
  <c r="U105" i="4"/>
  <c r="W105" i="4"/>
  <c r="U93" i="4"/>
  <c r="Z93" i="4"/>
  <c r="W93" i="4"/>
  <c r="BT86" i="4"/>
  <c r="W111" i="4"/>
  <c r="BL111" i="4"/>
  <c r="BR111" i="4" s="1"/>
  <c r="BM111" i="4"/>
  <c r="U111" i="4"/>
  <c r="BR85" i="4"/>
  <c r="BL76" i="4"/>
  <c r="BR76" i="4" s="1"/>
  <c r="BM76" i="4"/>
  <c r="Z76" i="4"/>
  <c r="U76" i="4"/>
  <c r="BR60" i="4"/>
  <c r="AU51" i="4"/>
  <c r="AT51" i="4"/>
  <c r="V94" i="5"/>
  <c r="Y94" i="5"/>
  <c r="T94" i="5"/>
  <c r="R106" i="5"/>
  <c r="T106" i="5" s="1"/>
  <c r="AA51" i="4"/>
  <c r="Z51" i="4"/>
  <c r="V68" i="5"/>
  <c r="Y66" i="5"/>
  <c r="V65" i="5"/>
  <c r="T64" i="5"/>
  <c r="V63" i="5"/>
  <c r="T50" i="5"/>
  <c r="T4" i="5"/>
  <c r="H235" i="4"/>
  <c r="U178" i="4"/>
  <c r="U177" i="4"/>
  <c r="Z177" i="4"/>
  <c r="E207" i="4" s="1"/>
  <c r="T99" i="4"/>
  <c r="W81" i="4"/>
  <c r="U81" i="4"/>
  <c r="W75" i="4"/>
  <c r="U75" i="4"/>
  <c r="W64" i="4"/>
  <c r="U64" i="4"/>
  <c r="Z64" i="4"/>
  <c r="U54" i="4"/>
  <c r="CA2" i="4"/>
  <c r="BT32" i="4"/>
  <c r="H10" i="8"/>
  <c r="E7" i="8"/>
  <c r="AQ99" i="4"/>
  <c r="G7" i="8"/>
  <c r="F7" i="8" s="1"/>
  <c r="AU36" i="4"/>
  <c r="H4" i="8" s="1"/>
  <c r="F4" i="8"/>
  <c r="AS36" i="4"/>
  <c r="D4" i="8"/>
  <c r="F3" i="8"/>
  <c r="G3" i="8"/>
  <c r="W87" i="4"/>
  <c r="BN87" i="4"/>
  <c r="W66" i="4"/>
  <c r="Z66" i="4"/>
  <c r="Z62" i="4"/>
  <c r="U62" i="4"/>
  <c r="I11" i="8"/>
  <c r="I12" i="8"/>
  <c r="AT170" i="4"/>
  <c r="AS118" i="4"/>
  <c r="B8" i="8" s="1"/>
  <c r="B7" i="8"/>
  <c r="D7" i="8"/>
  <c r="C7" i="8" s="1"/>
  <c r="AP99" i="4"/>
  <c r="AR72" i="4"/>
  <c r="I6" i="8"/>
  <c r="J6" i="8"/>
  <c r="B6" i="8"/>
  <c r="I5" i="8"/>
  <c r="F5" i="8"/>
  <c r="AQ51" i="4"/>
  <c r="E5" i="8" s="1"/>
  <c r="G5" i="8"/>
  <c r="S189" i="4"/>
  <c r="U189" i="4" s="1"/>
  <c r="AC170" i="4"/>
  <c r="Z137" i="4"/>
  <c r="Z108" i="4"/>
  <c r="W89" i="4"/>
  <c r="W83" i="4"/>
  <c r="W79" i="4"/>
  <c r="T72" i="4"/>
  <c r="U67" i="4"/>
  <c r="BT60" i="4"/>
  <c r="W55" i="4"/>
  <c r="W52" i="4"/>
  <c r="S72" i="4"/>
  <c r="U52" i="4"/>
  <c r="AH36" i="4"/>
  <c r="BL61" i="4"/>
  <c r="BM61" i="4"/>
  <c r="Z61" i="4"/>
  <c r="G12" i="8"/>
  <c r="F11" i="8"/>
  <c r="C12" i="8"/>
  <c r="C11" i="8"/>
  <c r="D12" i="8"/>
  <c r="AT118" i="4"/>
  <c r="C8" i="8"/>
  <c r="H7" i="8"/>
  <c r="J7" i="8"/>
  <c r="I7" i="8" s="1"/>
  <c r="AR99" i="4"/>
  <c r="AT72" i="4"/>
  <c r="C6" i="8"/>
  <c r="C5" i="8"/>
  <c r="D5" i="8"/>
  <c r="J4" i="8"/>
  <c r="AP17" i="4"/>
  <c r="C3" i="8"/>
  <c r="S170" i="4"/>
  <c r="U170" i="4" s="1"/>
  <c r="Z157" i="4"/>
  <c r="AB170" i="4" s="1"/>
  <c r="AR17" i="4"/>
  <c r="H3" i="8" s="1"/>
  <c r="I3" i="8"/>
  <c r="AS17" i="4"/>
  <c r="Z84" i="4"/>
  <c r="BM84" i="4"/>
  <c r="W84" i="4"/>
  <c r="U156" i="4"/>
  <c r="U136" i="4"/>
  <c r="BT113" i="4"/>
  <c r="U107" i="4"/>
  <c r="U88" i="4"/>
  <c r="BO87" i="4"/>
  <c r="U87" i="4"/>
  <c r="BT85" i="4"/>
  <c r="U85" i="4"/>
  <c r="BO85" i="4"/>
  <c r="BS85" i="4" s="1"/>
  <c r="W62" i="4"/>
  <c r="W54" i="4"/>
  <c r="Z54" i="4"/>
  <c r="BS33" i="4"/>
  <c r="BR84" i="4"/>
  <c r="BL48" i="4"/>
  <c r="BM48" i="4"/>
  <c r="U48" i="4"/>
  <c r="S51" i="4"/>
  <c r="U51" i="4" s="1"/>
  <c r="J12" i="8"/>
  <c r="I10" i="8"/>
  <c r="G10" i="8"/>
  <c r="AT132" i="4"/>
  <c r="AP132" i="4"/>
  <c r="B9" i="8" s="1"/>
  <c r="C9" i="8"/>
  <c r="AU118" i="4"/>
  <c r="H8" i="8" s="1"/>
  <c r="AQ118" i="4"/>
  <c r="AT99" i="4"/>
  <c r="F8" i="8" s="1"/>
  <c r="AU72" i="4"/>
  <c r="G6" i="8"/>
  <c r="Z18" i="7"/>
  <c r="W60" i="4"/>
  <c r="BO60" i="4"/>
  <c r="BS60" i="4" s="1"/>
  <c r="BS59" i="4"/>
  <c r="U57" i="4"/>
  <c r="U36" i="4"/>
  <c r="BL59" i="4"/>
  <c r="BM59" i="4"/>
  <c r="U59" i="4"/>
  <c r="AU170" i="4"/>
  <c r="H11" i="8" s="1"/>
  <c r="AS170" i="4"/>
  <c r="B11" i="8" s="1"/>
  <c r="AQ147" i="4"/>
  <c r="E10" i="8" s="1"/>
  <c r="AS147" i="4"/>
  <c r="B10" i="8" s="1"/>
  <c r="AQ132" i="4"/>
  <c r="E9" i="8" s="1"/>
  <c r="F9" i="8"/>
  <c r="AU99" i="4"/>
  <c r="AQ72" i="4"/>
  <c r="F6" i="8"/>
  <c r="AR51" i="4"/>
  <c r="H5" i="8" s="1"/>
  <c r="J5" i="8"/>
  <c r="AS51" i="4"/>
  <c r="B5" i="8" s="1"/>
  <c r="P12" i="6"/>
  <c r="E4" i="8" s="1"/>
  <c r="O12" i="6"/>
  <c r="AT17" i="4"/>
  <c r="E3" i="8" s="1"/>
  <c r="Z17" i="4"/>
  <c r="AA17" i="4"/>
  <c r="F106" i="5"/>
  <c r="F10" i="8"/>
  <c r="I4" i="8"/>
  <c r="Z72" i="4" l="1"/>
  <c r="BR61" i="4"/>
  <c r="AA118" i="4"/>
  <c r="AA189" i="4"/>
  <c r="H6" i="8"/>
  <c r="BS87" i="4"/>
  <c r="B4" i="8"/>
  <c r="G8" i="8"/>
  <c r="E6" i="8"/>
  <c r="V17" i="5"/>
  <c r="B3" i="8"/>
  <c r="J8" i="8"/>
  <c r="I8" i="8"/>
  <c r="AA72" i="4"/>
  <c r="Z99" i="4"/>
  <c r="AA99" i="4"/>
  <c r="BR59" i="4"/>
  <c r="U72" i="4"/>
  <c r="Z170" i="4"/>
  <c r="Y90" i="5"/>
  <c r="Z90" i="5"/>
  <c r="E11" i="8"/>
  <c r="Z106" i="5"/>
  <c r="Y106" i="5"/>
  <c r="Z118" i="4"/>
  <c r="Z132" i="4"/>
  <c r="AA132" i="4"/>
  <c r="AA147" i="4"/>
  <c r="Z147" i="4"/>
  <c r="E8" i="8"/>
  <c r="BR48" i="4"/>
  <c r="BU2" i="4"/>
  <c r="U99" i="4"/>
  <c r="E202" i="4"/>
  <c r="Z189" i="4"/>
  <c r="AA170" i="4"/>
  <c r="Y77" i="5"/>
  <c r="Z77" i="5"/>
  <c r="CC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E48" authorId="0" shapeId="0" xr:uid="{00000000-0006-0000-0000-000001000000}">
      <text>
        <r>
          <rPr>
            <sz val="10"/>
            <rFont val="Arial"/>
          </rPr>
          <t>Daniel Nedergaard:
measured from alu.map</t>
        </r>
      </text>
    </comment>
    <comment ref="D189" authorId="0" shapeId="0" xr:uid="{00000000-0006-0000-0000-000002000000}">
      <text>
        <r>
          <rPr>
            <sz val="10"/>
            <rFont val="Arial"/>
          </rPr>
          <t>Daniel Nedergaard:
avg weight</t>
        </r>
      </text>
    </comment>
    <comment ref="E189" authorId="0" shapeId="0" xr:uid="{00000000-0006-0000-0000-000003000000}">
      <text>
        <r>
          <rPr>
            <sz val="10"/>
            <rFont val="Arial"/>
          </rPr>
          <t>Daniel Nedergaard:
avg sep</t>
        </r>
      </text>
    </comment>
    <comment ref="F189" authorId="0" shapeId="0" xr:uid="{00000000-0006-0000-0000-000004000000}">
      <text>
        <r>
          <rPr>
            <sz val="10"/>
            <rFont val="Arial"/>
          </rPr>
          <t>Daniel Nedergaard:
stdev sep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</author>
  </authors>
  <commentList>
    <comment ref="E53" authorId="0" shapeId="0" xr:uid="{00000000-0006-0000-0100-000001000000}">
      <text>
        <r>
          <rPr>
            <b/>
            <sz val="9"/>
            <color indexed="81"/>
            <rFont val="Arial"/>
          </rPr>
          <t>Daniel:</t>
        </r>
        <r>
          <rPr>
            <sz val="9"/>
            <color indexed="81"/>
            <rFont val="Arial"/>
          </rPr>
          <t xml:space="preserve">
50</t>
        </r>
      </text>
    </comment>
  </commentList>
</comments>
</file>

<file path=xl/sharedStrings.xml><?xml version="1.0" encoding="utf-8"?>
<sst xmlns="http://schemas.openxmlformats.org/spreadsheetml/2006/main" count="627" uniqueCount="416">
  <si>
    <t>/</t>
  </si>
  <si>
    <t>Summary data</t>
  </si>
  <si>
    <t>SC</t>
  </si>
  <si>
    <t>Injection distances</t>
  </si>
  <si>
    <t>Injection size</t>
  </si>
  <si>
    <t>Density of cells</t>
  </si>
  <si>
    <t>Nearest Neighbour</t>
  </si>
  <si>
    <t>Contours</t>
  </si>
  <si>
    <t xml:space="preserve">Proportion of retinal area having greater or equal to </t>
  </si>
  <si>
    <t>Retina grid</t>
  </si>
  <si>
    <t>retinal size</t>
  </si>
  <si>
    <t>cell locations</t>
  </si>
  <si>
    <t>box size</t>
  </si>
  <si>
    <t>xmin</t>
  </si>
  <si>
    <t>x max</t>
  </si>
  <si>
    <t>mid</t>
  </si>
  <si>
    <t>nasal red</t>
  </si>
  <si>
    <t>temp red</t>
  </si>
  <si>
    <t>nasal green</t>
  </si>
  <si>
    <t>temp green</t>
  </si>
  <si>
    <t>nasal double</t>
  </si>
  <si>
    <t>temp double</t>
  </si>
  <si>
    <t>Animal No</t>
  </si>
  <si>
    <t>age</t>
  </si>
  <si>
    <t>weight</t>
  </si>
  <si>
    <t>RC sep</t>
  </si>
  <si>
    <t>green mid</t>
  </si>
  <si>
    <t>green back</t>
  </si>
  <si>
    <t>red mid</t>
  </si>
  <si>
    <t>red back</t>
  </si>
  <si>
    <t>red width</t>
  </si>
  <si>
    <t>red depth</t>
  </si>
  <si>
    <t>red vol</t>
  </si>
  <si>
    <t>green width</t>
  </si>
  <si>
    <t>green depth</t>
  </si>
  <si>
    <t>green vol</t>
  </si>
  <si>
    <t>red max</t>
  </si>
  <si>
    <t>green max</t>
  </si>
  <si>
    <t>red tot</t>
  </si>
  <si>
    <t>green tot</t>
  </si>
  <si>
    <t>cells tot</t>
  </si>
  <si>
    <t>dbl tot</t>
  </si>
  <si>
    <t>dbl %</t>
  </si>
  <si>
    <t>red</t>
  </si>
  <si>
    <t>green</t>
  </si>
  <si>
    <t>avg</t>
  </si>
  <si>
    <t>img area (mm2)</t>
  </si>
  <si>
    <t>Retinal area (pxl)</t>
  </si>
  <si>
    <t>&gt;1%green</t>
  </si>
  <si>
    <t>&gt;10%green</t>
  </si>
  <si>
    <t>&gt;20%green</t>
  </si>
  <si>
    <t>&gt;1%red</t>
  </si>
  <si>
    <t>&gt;10%red</t>
  </si>
  <si>
    <t>&gt;20%red</t>
  </si>
  <si>
    <t>Ret gr nt</t>
  </si>
  <si>
    <t>Ret gr dv</t>
  </si>
  <si>
    <t>Ret rd nt</t>
  </si>
  <si>
    <t>Ret rd dv</t>
  </si>
  <si>
    <t>% T red</t>
  </si>
  <si>
    <t>% N red</t>
  </si>
  <si>
    <t>%T gre</t>
  </si>
  <si>
    <t>%N gre</t>
  </si>
  <si>
    <t>% T dou</t>
  </si>
  <si>
    <t>%N dou</t>
  </si>
  <si>
    <t>P0 AP</t>
  </si>
  <si>
    <t>gm116-2</t>
  </si>
  <si>
    <t>gm116-3</t>
  </si>
  <si>
    <t>gm116-5</t>
  </si>
  <si>
    <t>gm119-1</t>
  </si>
  <si>
    <t>gm119-2</t>
  </si>
  <si>
    <t>gm119-3</t>
  </si>
  <si>
    <t>gm119-4</t>
  </si>
  <si>
    <t>gm121-1</t>
  </si>
  <si>
    <t>gm150-1</t>
  </si>
  <si>
    <t>gm150-3</t>
  </si>
  <si>
    <t>gm156-1</t>
  </si>
  <si>
    <t>gm156-2</t>
  </si>
  <si>
    <t>gm156-3</t>
  </si>
  <si>
    <t>P0 average</t>
  </si>
  <si>
    <t>P2 AP</t>
  </si>
  <si>
    <t>m641-4</t>
  </si>
  <si>
    <t>m643-1</t>
  </si>
  <si>
    <t>m643-2</t>
  </si>
  <si>
    <t>m657-1</t>
  </si>
  <si>
    <t>m662-1</t>
  </si>
  <si>
    <t>m662-2</t>
  </si>
  <si>
    <t>m662-3</t>
  </si>
  <si>
    <t>gm111-1</t>
  </si>
  <si>
    <t>gm117-1</t>
  </si>
  <si>
    <t>gm117-2</t>
  </si>
  <si>
    <t>gm117-4</t>
  </si>
  <si>
    <t>gm117-5</t>
  </si>
  <si>
    <t>gm142-1</t>
  </si>
  <si>
    <t>x</t>
  </si>
  <si>
    <t>gm143-1</t>
  </si>
  <si>
    <t>gm143-2</t>
  </si>
  <si>
    <t>gm154-3</t>
  </si>
  <si>
    <t>gm154-4</t>
  </si>
  <si>
    <t>P2 average</t>
  </si>
  <si>
    <t>P4 AP</t>
  </si>
  <si>
    <t>m642-1</t>
  </si>
  <si>
    <t>m642-2</t>
  </si>
  <si>
    <t>m642-4</t>
  </si>
  <si>
    <t>m642-5</t>
  </si>
  <si>
    <t>m642-6</t>
  </si>
  <si>
    <t>m642-7</t>
  </si>
  <si>
    <t>m660-1</t>
  </si>
  <si>
    <t>m660-3</t>
  </si>
  <si>
    <t>m661-1</t>
  </si>
  <si>
    <t>m661-2</t>
  </si>
  <si>
    <t>m661-3</t>
  </si>
  <si>
    <t>gm107-2</t>
  </si>
  <si>
    <t>gm142-3</t>
  </si>
  <si>
    <t>gm142-5</t>
  </si>
  <si>
    <t>P4 average</t>
  </si>
  <si>
    <t>P6 AP</t>
  </si>
  <si>
    <t>gm112-4</t>
  </si>
  <si>
    <t>gm122-2</t>
  </si>
  <si>
    <t>gm122-4</t>
  </si>
  <si>
    <t>gm125-1</t>
  </si>
  <si>
    <t>gm125-3</t>
  </si>
  <si>
    <t>=0.806/AB77</t>
  </si>
  <si>
    <t>gm125-4</t>
  </si>
  <si>
    <t>=0.237/AB78</t>
  </si>
  <si>
    <t>gm125-5</t>
  </si>
  <si>
    <t>gm140-4</t>
  </si>
  <si>
    <t>gm140-5</t>
  </si>
  <si>
    <t>gm141-3</t>
  </si>
  <si>
    <t>=0.53/AB82</t>
  </si>
  <si>
    <t>gm141-4</t>
  </si>
  <si>
    <t>gm143-3</t>
  </si>
  <si>
    <t>gm143-4</t>
  </si>
  <si>
    <t>gm143-5</t>
  </si>
  <si>
    <t>gm178-1</t>
  </si>
  <si>
    <t>gm178-3</t>
  </si>
  <si>
    <t>P6 average</t>
  </si>
  <si>
    <t>p8 AP</t>
  </si>
  <si>
    <t>gm138-4</t>
  </si>
  <si>
    <t>gm138-5</t>
  </si>
  <si>
    <t>gm138-6</t>
  </si>
  <si>
    <t>gm141-6</t>
  </si>
  <si>
    <t>gm141-7</t>
  </si>
  <si>
    <t>gm257-1</t>
  </si>
  <si>
    <t>gm257-2</t>
  </si>
  <si>
    <t>SC damaged</t>
  </si>
  <si>
    <t>gm257-3</t>
  </si>
  <si>
    <t>gm257-4</t>
  </si>
  <si>
    <t>gm257-5</t>
  </si>
  <si>
    <t>gm258-3</t>
  </si>
  <si>
    <t>gm278-3</t>
  </si>
  <si>
    <t>gm278-5</t>
  </si>
  <si>
    <t>gmt188-3</t>
  </si>
  <si>
    <t>gmt191-2</t>
  </si>
  <si>
    <t>gmt191-4</t>
  </si>
  <si>
    <t>gmt199-3</t>
  </si>
  <si>
    <t>gmt199-9</t>
  </si>
  <si>
    <t>gmt200-5</t>
  </si>
  <si>
    <t>-</t>
  </si>
  <si>
    <t>gmt200-9</t>
  </si>
  <si>
    <t>gmt217-1</t>
  </si>
  <si>
    <t>gmt217-2</t>
  </si>
  <si>
    <t>gmt217-8</t>
  </si>
  <si>
    <t>P8 average</t>
  </si>
  <si>
    <t>P12 AP</t>
  </si>
  <si>
    <t>m659-3</t>
  </si>
  <si>
    <t>gm114-1</t>
  </si>
  <si>
    <t>gm115-1</t>
  </si>
  <si>
    <t>gm115-2</t>
  </si>
  <si>
    <t>gm115-3</t>
  </si>
  <si>
    <t>gm127-2</t>
  </si>
  <si>
    <t>gm127-4</t>
  </si>
  <si>
    <t>gm128-1</t>
  </si>
  <si>
    <t>gm128-2</t>
  </si>
  <si>
    <t>gm128-4</t>
  </si>
  <si>
    <t>gm262-1</t>
  </si>
  <si>
    <t>gm262-4</t>
  </si>
  <si>
    <t>gm264-2</t>
  </si>
  <si>
    <t>gm264-3</t>
  </si>
  <si>
    <t>gm264-4</t>
  </si>
  <si>
    <t>gm284-1</t>
  </si>
  <si>
    <t>gm284-4</t>
  </si>
  <si>
    <t>gm346-4</t>
  </si>
  <si>
    <t>P12 average</t>
  </si>
  <si>
    <t>P16 AP</t>
  </si>
  <si>
    <t>gm128-7</t>
  </si>
  <si>
    <t>gm128-8</t>
  </si>
  <si>
    <t>gm263-1</t>
  </si>
  <si>
    <t>gm263-3</t>
  </si>
  <si>
    <t>gm267-2</t>
  </si>
  <si>
    <t>P16 average</t>
  </si>
  <si>
    <t>P22 AP</t>
  </si>
  <si>
    <t>gm120-1</t>
  </si>
  <si>
    <t>gm120-2</t>
  </si>
  <si>
    <t>gm124-3</t>
  </si>
  <si>
    <t>gm124-5</t>
  </si>
  <si>
    <t>gm130-2</t>
  </si>
  <si>
    <t>gm262-6</t>
  </si>
  <si>
    <t>P22 average</t>
  </si>
  <si>
    <t>Adult AP</t>
  </si>
  <si>
    <t>gm119-5</t>
  </si>
  <si>
    <t>gm122</t>
  </si>
  <si>
    <t>gm126</t>
  </si>
  <si>
    <t>gm133</t>
  </si>
  <si>
    <t>ml</t>
  </si>
  <si>
    <t>gm134</t>
  </si>
  <si>
    <t>gm136</t>
  </si>
  <si>
    <t>gm137</t>
  </si>
  <si>
    <t>gm140</t>
  </si>
  <si>
    <t>gm150</t>
  </si>
  <si>
    <t>gm154</t>
  </si>
  <si>
    <t>gm157</t>
  </si>
  <si>
    <t>gm247</t>
  </si>
  <si>
    <t>gm269</t>
  </si>
  <si>
    <t>gm282</t>
  </si>
  <si>
    <t>gm283</t>
  </si>
  <si>
    <t>gma144</t>
  </si>
  <si>
    <t>gma146</t>
  </si>
  <si>
    <t>gma149</t>
  </si>
  <si>
    <t>gma161</t>
  </si>
  <si>
    <t>gma162</t>
  </si>
  <si>
    <t>gma163</t>
  </si>
  <si>
    <t>gma164</t>
  </si>
  <si>
    <t>gma253</t>
  </si>
  <si>
    <t>gma255</t>
  </si>
  <si>
    <t>gma256</t>
  </si>
  <si>
    <t>adult cd1 average</t>
  </si>
  <si>
    <t>sep</t>
  </si>
  <si>
    <t>NN</t>
  </si>
  <si>
    <t>sd</t>
  </si>
  <si>
    <t>n</t>
  </si>
  <si>
    <t>Proportion of retinal area having greater or equal to</t>
  </si>
  <si>
    <t>ML sep</t>
  </si>
  <si>
    <t>green front</t>
  </si>
  <si>
    <t>red front</t>
  </si>
  <si>
    <t>img area</t>
  </si>
  <si>
    <t>P0 ML</t>
  </si>
  <si>
    <t>gm121-3</t>
  </si>
  <si>
    <t>gm182-1</t>
  </si>
  <si>
    <t>gm182-2</t>
  </si>
  <si>
    <t>gm182-4</t>
  </si>
  <si>
    <t>gm183-1</t>
  </si>
  <si>
    <t>gm183-3</t>
  </si>
  <si>
    <t>gm183-4</t>
  </si>
  <si>
    <t>gm183-5</t>
  </si>
  <si>
    <t>p0 average</t>
  </si>
  <si>
    <t>P2 ML</t>
  </si>
  <si>
    <t>m641-5</t>
  </si>
  <si>
    <t>m641-6</t>
  </si>
  <si>
    <t>m643-3</t>
  </si>
  <si>
    <t>X</t>
  </si>
  <si>
    <t>m643-4</t>
  </si>
  <si>
    <t>m643-5</t>
  </si>
  <si>
    <t>m643-6</t>
  </si>
  <si>
    <t>m654-1</t>
  </si>
  <si>
    <t>m654-3</t>
  </si>
  <si>
    <t>m654-4</t>
  </si>
  <si>
    <t>m654-5</t>
  </si>
  <si>
    <t>m655-2</t>
  </si>
  <si>
    <t>m655-3</t>
  </si>
  <si>
    <t>m655-4</t>
  </si>
  <si>
    <t>m658-2</t>
  </si>
  <si>
    <t>m658-4</t>
  </si>
  <si>
    <t>m662-6</t>
  </si>
  <si>
    <t>gm111-3</t>
  </si>
  <si>
    <t>gm111-4</t>
  </si>
  <si>
    <t>P4 ML</t>
  </si>
  <si>
    <t>m661-6</t>
  </si>
  <si>
    <t>gm112-1</t>
  </si>
  <si>
    <t>gm112-2</t>
  </si>
  <si>
    <t>P8 ML</t>
  </si>
  <si>
    <t>gm184-1</t>
  </si>
  <si>
    <t>gm184-2</t>
  </si>
  <si>
    <t>gm184-3</t>
  </si>
  <si>
    <t>gm184-4</t>
  </si>
  <si>
    <t>gm184-5</t>
  </si>
  <si>
    <t>gm300-2</t>
  </si>
  <si>
    <t>P12 ML</t>
  </si>
  <si>
    <t>gm187-1</t>
  </si>
  <si>
    <t>gm187-2</t>
  </si>
  <si>
    <t>gm187-3</t>
  </si>
  <si>
    <t>gm187-4</t>
  </si>
  <si>
    <t>gm187-5</t>
  </si>
  <si>
    <t>P22 ML</t>
  </si>
  <si>
    <t>gm114-4</t>
  </si>
  <si>
    <t>gm186-2</t>
  </si>
  <si>
    <t>gm186-3</t>
  </si>
  <si>
    <t>gm186-5</t>
  </si>
  <si>
    <t>% of cells within contour line</t>
  </si>
  <si>
    <t>Focus</t>
  </si>
  <si>
    <t>Age</t>
  </si>
  <si>
    <t>dist mid</t>
  </si>
  <si>
    <t>dist back</t>
  </si>
  <si>
    <t>SC area</t>
  </si>
  <si>
    <t>label  area</t>
  </si>
  <si>
    <t>%labeled</t>
  </si>
  <si>
    <t>max density</t>
  </si>
  <si>
    <t>Retinal area</t>
  </si>
  <si>
    <t>&gt;1%</t>
  </si>
  <si>
    <t>&gt;10%</t>
  </si>
  <si>
    <t>&gt;20%</t>
  </si>
  <si>
    <t>SC ml</t>
  </si>
  <si>
    <t>SC rc</t>
  </si>
  <si>
    <t>Ret nt</t>
  </si>
  <si>
    <t>Ret dv</t>
  </si>
  <si>
    <t>P0</t>
  </si>
  <si>
    <t>gm113-1</t>
  </si>
  <si>
    <t>gm116-1</t>
  </si>
  <si>
    <t>gm116-7</t>
  </si>
  <si>
    <t>P2</t>
  </si>
  <si>
    <t>gm111-2</t>
  </si>
  <si>
    <t>gm111-6</t>
  </si>
  <si>
    <t>gm111-7</t>
  </si>
  <si>
    <t>gm117-3</t>
  </si>
  <si>
    <t>P4</t>
  </si>
  <si>
    <t>gm107-3</t>
  </si>
  <si>
    <t>P6</t>
  </si>
  <si>
    <t>gm112-6</t>
  </si>
  <si>
    <t>gm118-1</t>
  </si>
  <si>
    <t>gm125-2</t>
  </si>
  <si>
    <t>P8</t>
  </si>
  <si>
    <t>gmt200-4</t>
  </si>
  <si>
    <t>gm300-1</t>
  </si>
  <si>
    <t>P12</t>
  </si>
  <si>
    <t>gm115-5</t>
  </si>
  <si>
    <t>gm127-3</t>
  </si>
  <si>
    <t>gm264-1</t>
  </si>
  <si>
    <t>p16</t>
  </si>
  <si>
    <t>gm263-2</t>
  </si>
  <si>
    <t>gm263-4</t>
  </si>
  <si>
    <t>gm263-5</t>
  </si>
  <si>
    <t>P22</t>
  </si>
  <si>
    <t>gm114-3</t>
  </si>
  <si>
    <t>gm125-7</t>
  </si>
  <si>
    <t>gm125-8</t>
  </si>
  <si>
    <t>gm127-6</t>
  </si>
  <si>
    <t>gm129-2</t>
  </si>
  <si>
    <t>gm129-3</t>
  </si>
  <si>
    <t>gm129-4</t>
  </si>
  <si>
    <t>gm130-1</t>
  </si>
  <si>
    <t>adult</t>
  </si>
  <si>
    <t>gm119</t>
  </si>
  <si>
    <t>gm124</t>
  </si>
  <si>
    <t>gm246</t>
  </si>
  <si>
    <t>gm250</t>
  </si>
  <si>
    <t>gm251</t>
  </si>
  <si>
    <t>gm270</t>
  </si>
  <si>
    <t>adult cd1</t>
  </si>
  <si>
    <t>gma165</t>
  </si>
  <si>
    <t xml:space="preserve"> </t>
  </si>
  <si>
    <t>average</t>
  </si>
  <si>
    <t>p4-12</t>
  </si>
  <si>
    <t>gm326-2</t>
  </si>
  <si>
    <t>gm347-1</t>
  </si>
  <si>
    <t>gm347-2</t>
  </si>
  <si>
    <t>&gt;1% +/-</t>
  </si>
  <si>
    <t>&gt;1% n</t>
  </si>
  <si>
    <t>&gt;10% +/-</t>
  </si>
  <si>
    <t>&gt;10% n</t>
  </si>
  <si>
    <t>&gt;20% +/-</t>
  </si>
  <si>
    <t>&gt;20% n</t>
  </si>
  <si>
    <t>4</t>
  </si>
  <si>
    <t>12</t>
  </si>
  <si>
    <t>4-12</t>
  </si>
  <si>
    <t>Amount of Retina within Contour lines</t>
  </si>
  <si>
    <t>retinal growth</t>
  </si>
  <si>
    <t>0</t>
  </si>
  <si>
    <t>2</t>
  </si>
  <si>
    <t>6</t>
  </si>
  <si>
    <t>8</t>
  </si>
  <si>
    <t>16</t>
  </si>
  <si>
    <t>22</t>
  </si>
  <si>
    <t>animal</t>
  </si>
  <si>
    <t>ap</t>
  </si>
  <si>
    <t>gm139</t>
  </si>
  <si>
    <t>gm119-6</t>
  </si>
  <si>
    <t>gm406-4</t>
  </si>
  <si>
    <t>gm406-2</t>
  </si>
  <si>
    <t>gm423-2</t>
  </si>
  <si>
    <t>gm423-3</t>
  </si>
  <si>
    <t>gm493</t>
  </si>
  <si>
    <t>gm494</t>
  </si>
  <si>
    <t>gm508</t>
  </si>
  <si>
    <t>gm509</t>
  </si>
  <si>
    <t>gm510</t>
  </si>
  <si>
    <t>gm511</t>
  </si>
  <si>
    <t>gm521</t>
  </si>
  <si>
    <t>gm522</t>
  </si>
  <si>
    <t>nasal focus</t>
  </si>
  <si>
    <t>anterior inj</t>
  </si>
  <si>
    <t>gma547</t>
  </si>
  <si>
    <t>gma548</t>
  </si>
  <si>
    <t>gma550</t>
  </si>
  <si>
    <t>gma557</t>
  </si>
  <si>
    <t>gma559</t>
  </si>
  <si>
    <t>gma560</t>
  </si>
  <si>
    <t>pxl/µm</t>
  </si>
  <si>
    <t>Adult ML</t>
  </si>
  <si>
    <t>gma572</t>
  </si>
  <si>
    <t>gma573</t>
  </si>
  <si>
    <t>0.04175 ± 0.003700</t>
  </si>
  <si>
    <t>0.04532 ± 0.005542</t>
  </si>
  <si>
    <t>gm777-1</t>
  </si>
  <si>
    <t>gm777-2</t>
  </si>
  <si>
    <t>gm777-3</t>
  </si>
  <si>
    <t>gm773-2</t>
  </si>
  <si>
    <t>gm775-2</t>
  </si>
  <si>
    <t>gm775-3</t>
  </si>
  <si>
    <t>gm791-2</t>
  </si>
  <si>
    <t>gm791-3</t>
  </si>
  <si>
    <t>gm797-1</t>
  </si>
  <si>
    <t>gm773-5</t>
  </si>
  <si>
    <t>gm773-6</t>
  </si>
  <si>
    <t>gm773-3</t>
  </si>
  <si>
    <t>gm773-4</t>
  </si>
  <si>
    <t>gm806-6</t>
  </si>
  <si>
    <t>gm806-7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</si>
</sst>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"/>
  </numFmts>
  <fonts count="31" x14ac:knownFonts="1">
    <font>
      <sz val="10"/>
      <name val="Arial"/>
    </font>
    <font>
      <sz val="10"/>
      <name val="Verdana"/>
    </font>
    <font>
      <b/>
      <sz val="10"/>
      <name val="Verdana"/>
    </font>
    <font>
      <sz val="10"/>
      <color indexed="11"/>
      <name val="Verdana"/>
    </font>
    <font>
      <sz val="10"/>
      <color indexed="37"/>
      <name val="Verdana"/>
      <family val="2"/>
    </font>
    <font>
      <sz val="10"/>
      <color indexed="52"/>
      <name val="Verdana"/>
    </font>
    <font>
      <sz val="10"/>
      <color indexed="53"/>
      <name val="Verdana"/>
    </font>
    <font>
      <sz val="10"/>
      <color indexed="40"/>
      <name val="Verdana"/>
    </font>
    <font>
      <b/>
      <sz val="10"/>
      <color indexed="11"/>
      <name val="Verdana"/>
    </font>
    <font>
      <b/>
      <sz val="10"/>
      <color indexed="37"/>
      <name val="Verdana"/>
      <family val="2"/>
    </font>
    <font>
      <b/>
      <sz val="10"/>
      <color indexed="52"/>
      <name val="Verdana"/>
    </font>
    <font>
      <b/>
      <sz val="10"/>
      <color indexed="55"/>
      <name val="Verdana"/>
    </font>
    <font>
      <b/>
      <sz val="10"/>
      <color indexed="53"/>
      <name val="Verdana"/>
    </font>
    <font>
      <sz val="10"/>
      <color indexed="55"/>
      <name val="Verdana"/>
    </font>
    <font>
      <b/>
      <sz val="10"/>
      <color indexed="9"/>
      <name val="Verdana"/>
    </font>
    <font>
      <sz val="10"/>
      <color indexed="9"/>
      <name val="Verdana"/>
    </font>
    <font>
      <sz val="10"/>
      <color indexed="22"/>
      <name val="Verdana"/>
    </font>
    <font>
      <sz val="10"/>
      <name val="Arial"/>
    </font>
    <font>
      <sz val="10"/>
      <color indexed="11"/>
      <name val="Arial"/>
    </font>
    <font>
      <sz val="10"/>
      <color indexed="37"/>
      <name val="Arial"/>
      <family val="2"/>
    </font>
    <font>
      <b/>
      <sz val="10"/>
      <color indexed="22"/>
      <name val="Verdana"/>
    </font>
    <font>
      <b/>
      <sz val="10"/>
      <color indexed="40"/>
      <name val="Verdana"/>
    </font>
    <font>
      <b/>
      <sz val="10"/>
      <color indexed="8"/>
      <name val="Verdana"/>
    </font>
    <font>
      <sz val="10"/>
      <color indexed="23"/>
      <name val="Verdana"/>
    </font>
    <font>
      <b/>
      <sz val="10"/>
      <name val="Arial"/>
    </font>
    <font>
      <b/>
      <sz val="10"/>
      <color indexed="37"/>
      <name val="Arial"/>
      <family val="2"/>
    </font>
    <font>
      <sz val="8"/>
      <name val="Arial"/>
    </font>
    <font>
      <i/>
      <sz val="10"/>
      <name val="Verdana"/>
    </font>
    <font>
      <sz val="9"/>
      <color indexed="81"/>
      <name val="Arial"/>
    </font>
    <font>
      <b/>
      <sz val="9"/>
      <color indexed="81"/>
      <name val="Arial"/>
    </font>
    <font>
      <b/>
      <sz val="10"/>
      <color theme="9" tint="0.39997558519241921"/>
      <name val="Verdana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51"/>
      </patternFill>
    </fill>
    <fill>
      <patternFill patternType="solid">
        <fgColor indexed="4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5"/>
      </patternFill>
    </fill>
    <fill>
      <patternFill patternType="solid">
        <fgColor indexed="46"/>
        <bgColor indexed="31"/>
      </patternFill>
    </fill>
    <fill>
      <patternFill patternType="solid">
        <fgColor indexed="45"/>
        <bgColor indexed="32"/>
      </patternFill>
    </fill>
    <fill>
      <patternFill patternType="solid">
        <fgColor indexed="37"/>
        <bgColor indexed="10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2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42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512">
    <xf numFmtId="0" fontId="0" fillId="0" borderId="0" xfId="0"/>
    <xf numFmtId="0" fontId="1" fillId="0" borderId="0" xfId="1"/>
    <xf numFmtId="0" fontId="1" fillId="0" borderId="1" xfId="1" applyFont="1" applyBorder="1"/>
    <xf numFmtId="0" fontId="2" fillId="0" borderId="1" xfId="1" applyFont="1" applyBorder="1"/>
    <xf numFmtId="1" fontId="1" fillId="0" borderId="1" xfId="1" applyNumberFormat="1" applyFont="1" applyBorder="1"/>
    <xf numFmtId="164" fontId="1" fillId="0" borderId="1" xfId="1" applyNumberFormat="1" applyFont="1" applyBorder="1"/>
    <xf numFmtId="0" fontId="3" fillId="0" borderId="1" xfId="1" applyFont="1" applyBorder="1"/>
    <xf numFmtId="0" fontId="4" fillId="0" borderId="1" xfId="1" applyFont="1" applyBorder="1"/>
    <xf numFmtId="0" fontId="5" fillId="0" borderId="1" xfId="1" applyFont="1" applyBorder="1"/>
    <xf numFmtId="164" fontId="4" fillId="0" borderId="1" xfId="1" applyNumberFormat="1" applyFont="1" applyBorder="1"/>
    <xf numFmtId="164" fontId="3" fillId="0" borderId="1" xfId="1" applyNumberFormat="1" applyFont="1" applyBorder="1"/>
    <xf numFmtId="164" fontId="2" fillId="0" borderId="1" xfId="1" applyNumberFormat="1" applyFont="1" applyBorder="1"/>
    <xf numFmtId="165" fontId="3" fillId="0" borderId="1" xfId="1" applyNumberFormat="1" applyFont="1" applyBorder="1"/>
    <xf numFmtId="165" fontId="4" fillId="0" borderId="1" xfId="1" applyNumberFormat="1" applyFont="1" applyBorder="1"/>
    <xf numFmtId="1" fontId="4" fillId="0" borderId="1" xfId="1" applyNumberFormat="1" applyFont="1" applyBorder="1"/>
    <xf numFmtId="1" fontId="3" fillId="0" borderId="1" xfId="1" applyNumberFormat="1" applyFont="1" applyBorder="1"/>
    <xf numFmtId="1" fontId="6" fillId="0" borderId="1" xfId="1" applyNumberFormat="1" applyFont="1" applyBorder="1"/>
    <xf numFmtId="165" fontId="6" fillId="0" borderId="1" xfId="1" applyNumberFormat="1" applyFont="1" applyBorder="1"/>
    <xf numFmtId="165" fontId="7" fillId="0" borderId="1" xfId="1" applyNumberFormat="1" applyFont="1" applyBorder="1"/>
    <xf numFmtId="2" fontId="2" fillId="0" borderId="1" xfId="1" applyNumberFormat="1" applyFont="1" applyBorder="1"/>
    <xf numFmtId="1" fontId="2" fillId="2" borderId="1" xfId="1" applyNumberFormat="1" applyFont="1" applyFill="1" applyBorder="1"/>
    <xf numFmtId="1" fontId="8" fillId="2" borderId="1" xfId="1" applyNumberFormat="1" applyFont="1" applyFill="1" applyBorder="1"/>
    <xf numFmtId="1" fontId="9" fillId="2" borderId="1" xfId="1" applyNumberFormat="1" applyFont="1" applyFill="1" applyBorder="1"/>
    <xf numFmtId="0" fontId="9" fillId="3" borderId="1" xfId="1" applyFont="1" applyFill="1" applyBorder="1"/>
    <xf numFmtId="2" fontId="8" fillId="3" borderId="1" xfId="1" applyNumberFormat="1" applyFont="1" applyFill="1" applyBorder="1"/>
    <xf numFmtId="1" fontId="9" fillId="4" borderId="1" xfId="1" applyNumberFormat="1" applyFont="1" applyFill="1" applyBorder="1" applyAlignment="1"/>
    <xf numFmtId="1" fontId="8" fillId="4" borderId="1" xfId="1" applyNumberFormat="1" applyFont="1" applyFill="1" applyBorder="1" applyAlignment="1"/>
    <xf numFmtId="1" fontId="4" fillId="5" borderId="1" xfId="1" applyNumberFormat="1" applyFont="1" applyFill="1" applyBorder="1"/>
    <xf numFmtId="1" fontId="8" fillId="5" borderId="1" xfId="1" applyNumberFormat="1" applyFont="1" applyFill="1" applyBorder="1" applyAlignment="1"/>
    <xf numFmtId="1" fontId="2" fillId="5" borderId="1" xfId="1" applyNumberFormat="1" applyFont="1" applyFill="1" applyBorder="1" applyAlignment="1"/>
    <xf numFmtId="1" fontId="10" fillId="5" borderId="1" xfId="1" applyNumberFormat="1" applyFont="1" applyFill="1" applyBorder="1" applyAlignment="1"/>
    <xf numFmtId="165" fontId="2" fillId="5" borderId="1" xfId="1" applyNumberFormat="1" applyFont="1" applyFill="1" applyBorder="1" applyAlignment="1"/>
    <xf numFmtId="164" fontId="8" fillId="6" borderId="1" xfId="1" applyNumberFormat="1" applyFont="1" applyFill="1" applyBorder="1"/>
    <xf numFmtId="0" fontId="2" fillId="6" borderId="1" xfId="1" applyFont="1" applyFill="1" applyBorder="1"/>
    <xf numFmtId="2" fontId="2" fillId="6" borderId="1" xfId="1" applyNumberFormat="1" applyFont="1" applyFill="1" applyBorder="1"/>
    <xf numFmtId="2" fontId="2" fillId="7" borderId="1" xfId="1" applyNumberFormat="1" applyFont="1" applyFill="1" applyBorder="1"/>
    <xf numFmtId="165" fontId="8" fillId="7" borderId="1" xfId="1" applyNumberFormat="1" applyFont="1" applyFill="1" applyBorder="1"/>
    <xf numFmtId="165" fontId="9" fillId="7" borderId="1" xfId="1" applyNumberFormat="1" applyFont="1" applyFill="1" applyBorder="1"/>
    <xf numFmtId="1" fontId="8" fillId="8" borderId="1" xfId="1" applyNumberFormat="1" applyFont="1" applyFill="1" applyBorder="1" applyAlignment="1"/>
    <xf numFmtId="1" fontId="9" fillId="8" borderId="1" xfId="1" applyNumberFormat="1" applyFont="1" applyFill="1" applyBorder="1" applyAlignment="1"/>
    <xf numFmtId="1" fontId="2" fillId="2" borderId="1" xfId="1" applyNumberFormat="1" applyFont="1" applyFill="1" applyBorder="1" applyAlignment="1"/>
    <xf numFmtId="1" fontId="6" fillId="2" borderId="1" xfId="1" applyNumberFormat="1" applyFont="1" applyFill="1" applyBorder="1"/>
    <xf numFmtId="165" fontId="4" fillId="2" borderId="1" xfId="1" applyNumberFormat="1" applyFont="1" applyFill="1" applyBorder="1"/>
    <xf numFmtId="165" fontId="3" fillId="2" borderId="1" xfId="1" applyNumberFormat="1" applyFont="1" applyFill="1" applyBorder="1"/>
    <xf numFmtId="165" fontId="6" fillId="2" borderId="1" xfId="1" applyNumberFormat="1" applyFont="1" applyFill="1" applyBorder="1"/>
    <xf numFmtId="165" fontId="7" fillId="2" borderId="1" xfId="1" applyNumberFormat="1" applyFont="1" applyFill="1" applyBorder="1"/>
    <xf numFmtId="1" fontId="11" fillId="9" borderId="1" xfId="1" applyNumberFormat="1" applyFont="1" applyFill="1" applyBorder="1"/>
    <xf numFmtId="166" fontId="8" fillId="3" borderId="1" xfId="1" applyNumberFormat="1" applyFont="1" applyFill="1" applyBorder="1"/>
    <xf numFmtId="1" fontId="9" fillId="4" borderId="1" xfId="1" applyNumberFormat="1" applyFont="1" applyFill="1" applyBorder="1"/>
    <xf numFmtId="1" fontId="8" fillId="4" borderId="1" xfId="1" applyNumberFormat="1" applyFont="1" applyFill="1" applyBorder="1"/>
    <xf numFmtId="1" fontId="9" fillId="5" borderId="1" xfId="1" applyNumberFormat="1" applyFont="1" applyFill="1" applyBorder="1"/>
    <xf numFmtId="1" fontId="8" fillId="5" borderId="1" xfId="1" applyNumberFormat="1" applyFont="1" applyFill="1" applyBorder="1"/>
    <xf numFmtId="1" fontId="2" fillId="5" borderId="1" xfId="1" applyNumberFormat="1" applyFont="1" applyFill="1" applyBorder="1"/>
    <xf numFmtId="1" fontId="10" fillId="5" borderId="1" xfId="1" applyNumberFormat="1" applyFont="1" applyFill="1" applyBorder="1"/>
    <xf numFmtId="165" fontId="2" fillId="5" borderId="1" xfId="1" applyNumberFormat="1" applyFont="1" applyFill="1" applyBorder="1"/>
    <xf numFmtId="164" fontId="9" fillId="6" borderId="1" xfId="1" applyNumberFormat="1" applyFont="1" applyFill="1" applyBorder="1"/>
    <xf numFmtId="164" fontId="2" fillId="6" borderId="1" xfId="1" applyNumberFormat="1" applyFont="1" applyFill="1" applyBorder="1"/>
    <xf numFmtId="166" fontId="8" fillId="6" borderId="1" xfId="1" applyNumberFormat="1" applyFont="1" applyFill="1" applyBorder="1"/>
    <xf numFmtId="166" fontId="9" fillId="6" borderId="1" xfId="1" applyNumberFormat="1" applyFont="1" applyFill="1" applyBorder="1"/>
    <xf numFmtId="2" fontId="8" fillId="6" borderId="1" xfId="1" applyNumberFormat="1" applyFont="1" applyFill="1" applyBorder="1"/>
    <xf numFmtId="1" fontId="8" fillId="8" borderId="1" xfId="1" applyNumberFormat="1" applyFont="1" applyFill="1" applyBorder="1"/>
    <xf numFmtId="1" fontId="9" fillId="8" borderId="1" xfId="1" applyNumberFormat="1" applyFont="1" applyFill="1" applyBorder="1"/>
    <xf numFmtId="1" fontId="12" fillId="2" borderId="1" xfId="1" applyNumberFormat="1" applyFont="1" applyFill="1" applyBorder="1"/>
    <xf numFmtId="165" fontId="9" fillId="2" borderId="1" xfId="1" applyNumberFormat="1" applyFont="1" applyFill="1" applyBorder="1"/>
    <xf numFmtId="165" fontId="8" fillId="2" borderId="1" xfId="1" applyNumberFormat="1" applyFont="1" applyFill="1" applyBorder="1"/>
    <xf numFmtId="165" fontId="12" fillId="2" borderId="1" xfId="1" applyNumberFormat="1" applyFont="1" applyFill="1" applyBorder="1"/>
    <xf numFmtId="10" fontId="13" fillId="9" borderId="0" xfId="1" applyNumberFormat="1" applyFont="1" applyFill="1"/>
    <xf numFmtId="0" fontId="13" fillId="9" borderId="0" xfId="1" applyFont="1" applyFill="1"/>
    <xf numFmtId="1" fontId="13" fillId="9" borderId="1" xfId="1" applyNumberFormat="1" applyFont="1" applyFill="1" applyBorder="1"/>
    <xf numFmtId="1" fontId="13" fillId="9" borderId="0" xfId="1" applyNumberFormat="1" applyFont="1" applyFill="1"/>
    <xf numFmtId="2" fontId="14" fillId="10" borderId="1" xfId="1" applyNumberFormat="1" applyFont="1" applyFill="1" applyBorder="1"/>
    <xf numFmtId="1" fontId="15" fillId="10" borderId="1" xfId="1" applyNumberFormat="1" applyFont="1" applyFill="1" applyBorder="1"/>
    <xf numFmtId="164" fontId="1" fillId="10" borderId="1" xfId="1" applyNumberFormat="1" applyFont="1" applyFill="1" applyBorder="1"/>
    <xf numFmtId="1" fontId="14" fillId="10" borderId="1" xfId="1" applyNumberFormat="1" applyFont="1" applyFill="1" applyBorder="1"/>
    <xf numFmtId="1" fontId="3" fillId="10" borderId="1" xfId="1" applyNumberFormat="1" applyFont="1" applyFill="1" applyBorder="1"/>
    <xf numFmtId="1" fontId="4" fillId="10" borderId="1" xfId="1" applyNumberFormat="1" applyFont="1" applyFill="1" applyBorder="1"/>
    <xf numFmtId="0" fontId="4" fillId="10" borderId="1" xfId="1" applyFont="1" applyFill="1" applyBorder="1"/>
    <xf numFmtId="0" fontId="3" fillId="10" borderId="1" xfId="1" applyFont="1" applyFill="1" applyBorder="1"/>
    <xf numFmtId="1" fontId="5" fillId="10" borderId="1" xfId="1" applyNumberFormat="1" applyFont="1" applyFill="1" applyBorder="1"/>
    <xf numFmtId="165" fontId="15" fillId="10" borderId="1" xfId="1" applyNumberFormat="1" applyFont="1" applyFill="1" applyBorder="1"/>
    <xf numFmtId="164" fontId="4" fillId="10" borderId="1" xfId="1" applyNumberFormat="1" applyFont="1" applyFill="1" applyBorder="1"/>
    <xf numFmtId="164" fontId="3" fillId="10" borderId="1" xfId="1" applyNumberFormat="1" applyFont="1" applyFill="1" applyBorder="1"/>
    <xf numFmtId="164" fontId="14" fillId="10" borderId="1" xfId="1" applyNumberFormat="1" applyFont="1" applyFill="1" applyBorder="1"/>
    <xf numFmtId="0" fontId="15" fillId="10" borderId="1" xfId="1" applyFont="1" applyFill="1" applyBorder="1"/>
    <xf numFmtId="2" fontId="15" fillId="10" borderId="1" xfId="1" applyNumberFormat="1" applyFont="1" applyFill="1" applyBorder="1"/>
    <xf numFmtId="165" fontId="3" fillId="10" borderId="1" xfId="1" applyNumberFormat="1" applyFont="1" applyFill="1" applyBorder="1"/>
    <xf numFmtId="165" fontId="4" fillId="10" borderId="1" xfId="1" applyNumberFormat="1" applyFont="1" applyFill="1" applyBorder="1"/>
    <xf numFmtId="1" fontId="1" fillId="10" borderId="1" xfId="1" applyNumberFormat="1" applyFont="1" applyFill="1" applyBorder="1"/>
    <xf numFmtId="1" fontId="6" fillId="10" borderId="1" xfId="1" applyNumberFormat="1" applyFont="1" applyFill="1" applyBorder="1"/>
    <xf numFmtId="165" fontId="6" fillId="10" borderId="1" xfId="1" applyNumberFormat="1" applyFont="1" applyFill="1" applyBorder="1"/>
    <xf numFmtId="165" fontId="7" fillId="10" borderId="1" xfId="1" applyNumberFormat="1" applyFont="1" applyFill="1" applyBorder="1"/>
    <xf numFmtId="2" fontId="2" fillId="0" borderId="1" xfId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/>
    <xf numFmtId="1" fontId="1" fillId="0" borderId="1" xfId="1" applyNumberFormat="1" applyFont="1" applyFill="1" applyBorder="1"/>
    <xf numFmtId="164" fontId="1" fillId="0" borderId="1" xfId="1" applyNumberFormat="1" applyFont="1" applyFill="1" applyBorder="1"/>
    <xf numFmtId="1" fontId="2" fillId="0" borderId="1" xfId="1" applyNumberFormat="1" applyFont="1" applyFill="1" applyBorder="1"/>
    <xf numFmtId="1" fontId="3" fillId="0" borderId="1" xfId="1" applyNumberFormat="1" applyFont="1" applyFill="1" applyBorder="1"/>
    <xf numFmtId="1" fontId="4" fillId="0" borderId="1" xfId="1" applyNumberFormat="1" applyFont="1" applyFill="1" applyBorder="1"/>
    <xf numFmtId="2" fontId="4" fillId="0" borderId="1" xfId="1" applyNumberFormat="1" applyFont="1" applyFill="1" applyBorder="1"/>
    <xf numFmtId="2" fontId="3" fillId="0" borderId="1" xfId="1" applyNumberFormat="1" applyFont="1" applyFill="1" applyBorder="1"/>
    <xf numFmtId="1" fontId="5" fillId="0" borderId="1" xfId="1" applyNumberFormat="1" applyFont="1" applyFill="1" applyBorder="1"/>
    <xf numFmtId="165" fontId="1" fillId="0" borderId="1" xfId="1" applyNumberFormat="1" applyFont="1" applyFill="1" applyBorder="1"/>
    <xf numFmtId="164" fontId="4" fillId="0" borderId="1" xfId="1" applyNumberFormat="1" applyFont="1" applyFill="1" applyBorder="1"/>
    <xf numFmtId="164" fontId="3" fillId="0" borderId="1" xfId="1" applyNumberFormat="1" applyFont="1" applyFill="1" applyBorder="1"/>
    <xf numFmtId="164" fontId="2" fillId="0" borderId="1" xfId="1" applyNumberFormat="1" applyFont="1" applyFill="1" applyBorder="1"/>
    <xf numFmtId="2" fontId="16" fillId="0" borderId="1" xfId="1" applyNumberFormat="1" applyFont="1" applyFill="1" applyBorder="1"/>
    <xf numFmtId="2" fontId="1" fillId="0" borderId="1" xfId="1" applyNumberFormat="1" applyFont="1" applyFill="1" applyBorder="1"/>
    <xf numFmtId="165" fontId="3" fillId="0" borderId="1" xfId="1" applyNumberFormat="1" applyFont="1" applyFill="1" applyBorder="1"/>
    <xf numFmtId="165" fontId="4" fillId="0" borderId="1" xfId="1" applyNumberFormat="1" applyFont="1" applyFill="1" applyBorder="1"/>
    <xf numFmtId="1" fontId="13" fillId="0" borderId="1" xfId="1" applyNumberFormat="1" applyFont="1" applyFill="1" applyBorder="1"/>
    <xf numFmtId="1" fontId="6" fillId="0" borderId="1" xfId="1" applyNumberFormat="1" applyFont="1" applyFill="1" applyBorder="1"/>
    <xf numFmtId="165" fontId="6" fillId="0" borderId="1" xfId="1" applyNumberFormat="1" applyFont="1" applyFill="1" applyBorder="1"/>
    <xf numFmtId="165" fontId="7" fillId="0" borderId="1" xfId="1" applyNumberFormat="1" applyFont="1" applyFill="1" applyBorder="1"/>
    <xf numFmtId="1" fontId="10" fillId="0" borderId="1" xfId="1" applyNumberFormat="1" applyFont="1" applyFill="1" applyBorder="1"/>
    <xf numFmtId="0" fontId="14" fillId="10" borderId="1" xfId="1" applyFont="1" applyFill="1" applyBorder="1" applyAlignment="1">
      <alignment horizontal="left" vertical="center"/>
    </xf>
    <xf numFmtId="164" fontId="15" fillId="10" borderId="1" xfId="1" applyNumberFormat="1" applyFont="1" applyFill="1" applyBorder="1"/>
    <xf numFmtId="1" fontId="10" fillId="10" borderId="1" xfId="1" applyNumberFormat="1" applyFont="1" applyFill="1" applyBorder="1"/>
    <xf numFmtId="2" fontId="2" fillId="0" borderId="1" xfId="1" applyNumberFormat="1" applyFont="1" applyBorder="1" applyAlignment="1">
      <alignment horizontal="left" vertical="center"/>
    </xf>
    <xf numFmtId="1" fontId="2" fillId="0" borderId="1" xfId="1" applyNumberFormat="1" applyFont="1" applyBorder="1"/>
    <xf numFmtId="1" fontId="5" fillId="0" borderId="1" xfId="1" applyNumberFormat="1" applyFont="1" applyBorder="1"/>
    <xf numFmtId="2" fontId="17" fillId="0" borderId="1" xfId="1" applyNumberFormat="1" applyFont="1" applyFill="1" applyBorder="1"/>
    <xf numFmtId="165" fontId="18" fillId="0" borderId="1" xfId="1" applyNumberFormat="1" applyFont="1" applyFill="1" applyBorder="1"/>
    <xf numFmtId="165" fontId="19" fillId="0" borderId="1" xfId="1" applyNumberFormat="1" applyFont="1" applyFill="1" applyBorder="1"/>
    <xf numFmtId="0" fontId="2" fillId="0" borderId="1" xfId="1" applyFont="1" applyBorder="1" applyAlignment="1">
      <alignment horizontal="left" vertical="center"/>
    </xf>
    <xf numFmtId="2" fontId="1" fillId="0" borderId="1" xfId="1" applyNumberFormat="1" applyFill="1" applyBorder="1"/>
    <xf numFmtId="1" fontId="18" fillId="0" borderId="1" xfId="1" applyNumberFormat="1" applyFont="1" applyFill="1" applyBorder="1"/>
    <xf numFmtId="1" fontId="19" fillId="0" borderId="1" xfId="1" applyNumberFormat="1" applyFont="1" applyFill="1" applyBorder="1"/>
    <xf numFmtId="1" fontId="17" fillId="0" borderId="1" xfId="1" applyNumberFormat="1" applyFont="1" applyFill="1" applyBorder="1"/>
    <xf numFmtId="0" fontId="1" fillId="0" borderId="1" xfId="1" applyFont="1" applyBorder="1" applyAlignment="1">
      <alignment horizontal="left" vertical="center"/>
    </xf>
    <xf numFmtId="2" fontId="20" fillId="0" borderId="1" xfId="1" applyNumberFormat="1" applyFont="1" applyBorder="1"/>
    <xf numFmtId="0" fontId="2" fillId="0" borderId="1" xfId="1" applyFont="1" applyFill="1" applyBorder="1" applyAlignment="1">
      <alignment horizontal="left" vertical="center"/>
    </xf>
    <xf numFmtId="1" fontId="10" fillId="0" borderId="1" xfId="1" applyNumberFormat="1" applyFont="1" applyBorder="1"/>
    <xf numFmtId="0" fontId="2" fillId="0" borderId="1" xfId="1" applyFont="1" applyFill="1" applyBorder="1" applyAlignment="1">
      <alignment horizontal="center" vertical="center"/>
    </xf>
    <xf numFmtId="165" fontId="14" fillId="10" borderId="1" xfId="1" applyNumberFormat="1" applyFont="1" applyFill="1" applyBorder="1"/>
    <xf numFmtId="0" fontId="2" fillId="0" borderId="1" xfId="1" applyFont="1" applyFill="1" applyBorder="1"/>
    <xf numFmtId="0" fontId="3" fillId="0" borderId="1" xfId="1" applyFont="1" applyFill="1" applyBorder="1"/>
    <xf numFmtId="0" fontId="4" fillId="0" borderId="1" xfId="1" applyFont="1" applyFill="1" applyBorder="1"/>
    <xf numFmtId="0" fontId="1" fillId="0" borderId="1" xfId="1" applyFont="1" applyFill="1" applyBorder="1"/>
    <xf numFmtId="1" fontId="2" fillId="10" borderId="1" xfId="1" applyNumberFormat="1" applyFont="1" applyFill="1" applyBorder="1"/>
    <xf numFmtId="1" fontId="9" fillId="10" borderId="1" xfId="1" applyNumberFormat="1" applyFont="1" applyFill="1" applyBorder="1"/>
    <xf numFmtId="1" fontId="8" fillId="10" borderId="1" xfId="1" applyNumberFormat="1" applyFont="1" applyFill="1" applyBorder="1"/>
    <xf numFmtId="1" fontId="12" fillId="10" borderId="1" xfId="1" applyNumberFormat="1" applyFont="1" applyFill="1" applyBorder="1"/>
    <xf numFmtId="165" fontId="9" fillId="10" borderId="1" xfId="1" applyNumberFormat="1" applyFont="1" applyFill="1" applyBorder="1"/>
    <xf numFmtId="165" fontId="8" fillId="10" borderId="1" xfId="1" applyNumberFormat="1" applyFont="1" applyFill="1" applyBorder="1"/>
    <xf numFmtId="165" fontId="12" fillId="10" borderId="1" xfId="1" applyNumberFormat="1" applyFont="1" applyFill="1" applyBorder="1"/>
    <xf numFmtId="165" fontId="21" fillId="10" borderId="1" xfId="1" applyNumberFormat="1" applyFont="1" applyFill="1" applyBorder="1"/>
    <xf numFmtId="0" fontId="2" fillId="0" borderId="1" xfId="1" applyFont="1" applyFill="1" applyBorder="1" applyAlignment="1">
      <alignment vertical="center"/>
    </xf>
    <xf numFmtId="10" fontId="3" fillId="0" borderId="1" xfId="1" applyNumberFormat="1" applyFont="1" applyFill="1" applyBorder="1"/>
    <xf numFmtId="1" fontId="12" fillId="0" borderId="1" xfId="1" applyNumberFormat="1" applyFont="1" applyFill="1" applyBorder="1"/>
    <xf numFmtId="10" fontId="1" fillId="0" borderId="1" xfId="1" applyNumberFormat="1" applyFont="1" applyFill="1" applyBorder="1"/>
    <xf numFmtId="0" fontId="1" fillId="0" borderId="2" xfId="1" applyFont="1" applyBorder="1"/>
    <xf numFmtId="0" fontId="2" fillId="0" borderId="2" xfId="1" applyFont="1" applyBorder="1"/>
    <xf numFmtId="1" fontId="2" fillId="0" borderId="2" xfId="1" applyNumberFormat="1" applyFont="1" applyBorder="1"/>
    <xf numFmtId="0" fontId="3" fillId="0" borderId="2" xfId="1" applyFont="1" applyBorder="1"/>
    <xf numFmtId="0" fontId="4" fillId="0" borderId="2" xfId="1" applyFont="1" applyBorder="1"/>
    <xf numFmtId="165" fontId="3" fillId="0" borderId="2" xfId="1" applyNumberFormat="1" applyFont="1" applyBorder="1"/>
    <xf numFmtId="165" fontId="4" fillId="0" borderId="2" xfId="1" applyNumberFormat="1" applyFont="1" applyBorder="1"/>
    <xf numFmtId="1" fontId="1" fillId="0" borderId="2" xfId="1" applyNumberFormat="1" applyFont="1" applyBorder="1"/>
    <xf numFmtId="1" fontId="4" fillId="0" borderId="2" xfId="1" applyNumberFormat="1" applyFont="1" applyBorder="1"/>
    <xf numFmtId="1" fontId="3" fillId="0" borderId="2" xfId="1" applyNumberFormat="1" applyFont="1" applyBorder="1"/>
    <xf numFmtId="1" fontId="6" fillId="0" borderId="2" xfId="1" applyNumberFormat="1" applyFont="1" applyBorder="1"/>
    <xf numFmtId="0" fontId="1" fillId="5" borderId="2" xfId="1" applyFont="1" applyFill="1" applyBorder="1"/>
    <xf numFmtId="0" fontId="2" fillId="5" borderId="2" xfId="1" applyFont="1" applyFill="1" applyBorder="1"/>
    <xf numFmtId="1" fontId="1" fillId="5" borderId="1" xfId="1" applyNumberFormat="1" applyFont="1" applyFill="1" applyBorder="1"/>
    <xf numFmtId="164" fontId="1" fillId="5" borderId="1" xfId="1" applyNumberFormat="1" applyFont="1" applyFill="1" applyBorder="1"/>
    <xf numFmtId="1" fontId="2" fillId="5" borderId="2" xfId="1" applyNumberFormat="1" applyFont="1" applyFill="1" applyBorder="1"/>
    <xf numFmtId="0" fontId="3" fillId="5" borderId="2" xfId="1" applyFont="1" applyFill="1" applyBorder="1"/>
    <xf numFmtId="0" fontId="4" fillId="5" borderId="2" xfId="1" applyFont="1" applyFill="1" applyBorder="1"/>
    <xf numFmtId="0" fontId="5" fillId="5" borderId="2" xfId="1" applyFont="1" applyFill="1" applyBorder="1"/>
    <xf numFmtId="165" fontId="1" fillId="5" borderId="1" xfId="1" applyNumberFormat="1" applyFont="1" applyFill="1" applyBorder="1"/>
    <xf numFmtId="164" fontId="4" fillId="5" borderId="2" xfId="1" applyNumberFormat="1" applyFont="1" applyFill="1" applyBorder="1"/>
    <xf numFmtId="164" fontId="3" fillId="5" borderId="2" xfId="1" applyNumberFormat="1" applyFont="1" applyFill="1" applyBorder="1"/>
    <xf numFmtId="164" fontId="2" fillId="5" borderId="1" xfId="1" applyNumberFormat="1" applyFont="1" applyFill="1" applyBorder="1"/>
    <xf numFmtId="165" fontId="3" fillId="5" borderId="2" xfId="1" applyNumberFormat="1" applyFont="1" applyFill="1" applyBorder="1"/>
    <xf numFmtId="165" fontId="4" fillId="5" borderId="2" xfId="1" applyNumberFormat="1" applyFont="1" applyFill="1" applyBorder="1"/>
    <xf numFmtId="1" fontId="1" fillId="5" borderId="2" xfId="1" applyNumberFormat="1" applyFont="1" applyFill="1" applyBorder="1"/>
    <xf numFmtId="1" fontId="13" fillId="5" borderId="2" xfId="1" applyNumberFormat="1" applyFont="1" applyFill="1" applyBorder="1"/>
    <xf numFmtId="1" fontId="4" fillId="5" borderId="2" xfId="1" applyNumberFormat="1" applyFont="1" applyFill="1" applyBorder="1"/>
    <xf numFmtId="1" fontId="3" fillId="5" borderId="2" xfId="1" applyNumberFormat="1" applyFont="1" applyFill="1" applyBorder="1"/>
    <xf numFmtId="1" fontId="6" fillId="5" borderId="2" xfId="1" applyNumberFormat="1" applyFont="1" applyFill="1" applyBorder="1"/>
    <xf numFmtId="165" fontId="4" fillId="5" borderId="1" xfId="1" applyNumberFormat="1" applyFont="1" applyFill="1" applyBorder="1"/>
    <xf numFmtId="165" fontId="3" fillId="5" borderId="1" xfId="1" applyNumberFormat="1" applyFont="1" applyFill="1" applyBorder="1"/>
    <xf numFmtId="165" fontId="6" fillId="5" borderId="1" xfId="1" applyNumberFormat="1" applyFont="1" applyFill="1" applyBorder="1"/>
    <xf numFmtId="165" fontId="7" fillId="5" borderId="1" xfId="1" applyNumberFormat="1" applyFont="1" applyFill="1" applyBorder="1"/>
    <xf numFmtId="0" fontId="1" fillId="5" borderId="1" xfId="1" applyFont="1" applyFill="1" applyBorder="1"/>
    <xf numFmtId="164" fontId="4" fillId="5" borderId="1" xfId="1" applyNumberFormat="1" applyFont="1" applyFill="1" applyBorder="1"/>
    <xf numFmtId="164" fontId="3" fillId="5" borderId="1" xfId="1" applyNumberFormat="1" applyFont="1" applyFill="1" applyBorder="1"/>
    <xf numFmtId="1" fontId="13" fillId="5" borderId="1" xfId="1" applyNumberFormat="1" applyFont="1" applyFill="1" applyBorder="1"/>
    <xf numFmtId="1" fontId="3" fillId="5" borderId="1" xfId="1" applyNumberFormat="1" applyFont="1" applyFill="1" applyBorder="1"/>
    <xf numFmtId="1" fontId="6" fillId="5" borderId="1" xfId="1" applyNumberFormat="1" applyFont="1" applyFill="1" applyBorder="1"/>
    <xf numFmtId="165" fontId="6" fillId="5" borderId="2" xfId="1" applyNumberFormat="1" applyFont="1" applyFill="1" applyBorder="1"/>
    <xf numFmtId="165" fontId="7" fillId="5" borderId="2" xfId="1" applyNumberFormat="1" applyFont="1" applyFill="1" applyBorder="1"/>
    <xf numFmtId="2" fontId="2" fillId="5" borderId="2" xfId="1" applyNumberFormat="1" applyFont="1" applyFill="1" applyBorder="1" applyAlignment="1">
      <alignment horizontal="center" vertical="center"/>
    </xf>
    <xf numFmtId="2" fontId="2" fillId="5" borderId="2" xfId="1" applyNumberFormat="1" applyFont="1" applyFill="1" applyBorder="1"/>
    <xf numFmtId="164" fontId="1" fillId="5" borderId="2" xfId="1" applyNumberFormat="1" applyFont="1" applyFill="1" applyBorder="1"/>
    <xf numFmtId="1" fontId="5" fillId="5" borderId="2" xfId="1" applyNumberFormat="1" applyFont="1" applyFill="1" applyBorder="1"/>
    <xf numFmtId="2" fontId="1" fillId="5" borderId="2" xfId="1" applyNumberFormat="1" applyFont="1" applyFill="1" applyBorder="1"/>
    <xf numFmtId="166" fontId="3" fillId="5" borderId="2" xfId="1" applyNumberFormat="1" applyFont="1" applyFill="1" applyBorder="1"/>
    <xf numFmtId="166" fontId="4" fillId="5" borderId="2" xfId="1" applyNumberFormat="1" applyFont="1" applyFill="1" applyBorder="1"/>
    <xf numFmtId="2" fontId="1" fillId="5" borderId="1" xfId="1" applyNumberFormat="1" applyFont="1" applyFill="1" applyBorder="1"/>
    <xf numFmtId="2" fontId="2" fillId="5" borderId="1" xfId="1" applyNumberFormat="1" applyFont="1" applyFill="1" applyBorder="1" applyAlignment="1">
      <alignment horizontal="center" vertical="center"/>
    </xf>
    <xf numFmtId="2" fontId="2" fillId="5" borderId="1" xfId="1" applyNumberFormat="1" applyFont="1" applyFill="1" applyBorder="1"/>
    <xf numFmtId="1" fontId="5" fillId="5" borderId="1" xfId="1" applyNumberFormat="1" applyFont="1" applyFill="1" applyBorder="1"/>
    <xf numFmtId="166" fontId="3" fillId="5" borderId="1" xfId="1" applyNumberFormat="1" applyFont="1" applyFill="1" applyBorder="1"/>
    <xf numFmtId="166" fontId="4" fillId="5" borderId="1" xfId="1" applyNumberFormat="1" applyFont="1" applyFill="1" applyBorder="1"/>
    <xf numFmtId="2" fontId="3" fillId="5" borderId="2" xfId="1" applyNumberFormat="1" applyFont="1" applyFill="1" applyBorder="1"/>
    <xf numFmtId="2" fontId="4" fillId="5" borderId="2" xfId="1" applyNumberFormat="1" applyFont="1" applyFill="1" applyBorder="1"/>
    <xf numFmtId="2" fontId="16" fillId="5" borderId="1" xfId="1" applyNumberFormat="1" applyFont="1" applyFill="1" applyBorder="1"/>
    <xf numFmtId="2" fontId="3" fillId="5" borderId="1" xfId="1" applyNumberFormat="1" applyFont="1" applyFill="1" applyBorder="1"/>
    <xf numFmtId="2" fontId="4" fillId="5" borderId="1" xfId="1" applyNumberFormat="1" applyFont="1" applyFill="1" applyBorder="1"/>
    <xf numFmtId="1" fontId="22" fillId="0" borderId="1" xfId="1" applyNumberFormat="1" applyFont="1" applyBorder="1"/>
    <xf numFmtId="1" fontId="12" fillId="0" borderId="1" xfId="1" applyNumberFormat="1" applyFont="1" applyBorder="1"/>
    <xf numFmtId="2" fontId="1" fillId="0" borderId="1" xfId="1" applyNumberFormat="1" applyFont="1" applyBorder="1"/>
    <xf numFmtId="1" fontId="23" fillId="0" borderId="1" xfId="1" applyNumberFormat="1" applyFont="1" applyBorder="1"/>
    <xf numFmtId="2" fontId="14" fillId="10" borderId="1" xfId="1" applyNumberFormat="1" applyFont="1" applyFill="1" applyBorder="1" applyAlignment="1">
      <alignment horizontal="left" vertical="center"/>
    </xf>
    <xf numFmtId="10" fontId="14" fillId="10" borderId="1" xfId="1" applyNumberFormat="1" applyFont="1" applyFill="1" applyBorder="1"/>
    <xf numFmtId="1" fontId="22" fillId="0" borderId="1" xfId="1" applyNumberFormat="1" applyFont="1" applyFill="1" applyBorder="1"/>
    <xf numFmtId="1" fontId="23" fillId="0" borderId="1" xfId="1" applyNumberFormat="1" applyFont="1" applyFill="1" applyBorder="1"/>
    <xf numFmtId="2" fontId="9" fillId="0" borderId="1" xfId="1" applyNumberFormat="1" applyFont="1" applyFill="1" applyBorder="1"/>
    <xf numFmtId="2" fontId="8" fillId="0" borderId="1" xfId="1" applyNumberFormat="1" applyFont="1" applyFill="1" applyBorder="1"/>
    <xf numFmtId="1" fontId="9" fillId="0" borderId="1" xfId="1" applyNumberFormat="1" applyFont="1" applyFill="1" applyBorder="1"/>
    <xf numFmtId="1" fontId="8" fillId="0" borderId="1" xfId="1" applyNumberFormat="1" applyFont="1" applyFill="1" applyBorder="1"/>
    <xf numFmtId="165" fontId="9" fillId="0" borderId="1" xfId="1" applyNumberFormat="1" applyFont="1" applyFill="1" applyBorder="1"/>
    <xf numFmtId="165" fontId="8" fillId="0" borderId="1" xfId="1" applyNumberFormat="1" applyFont="1" applyFill="1" applyBorder="1"/>
    <xf numFmtId="165" fontId="12" fillId="0" borderId="1" xfId="1" applyNumberFormat="1" applyFont="1" applyFill="1" applyBorder="1"/>
    <xf numFmtId="165" fontId="21" fillId="0" borderId="1" xfId="1" applyNumberFormat="1" applyFont="1" applyFill="1" applyBorder="1"/>
    <xf numFmtId="165" fontId="1" fillId="0" borderId="1" xfId="1" applyNumberFormat="1" applyFont="1" applyBorder="1"/>
    <xf numFmtId="2" fontId="4" fillId="0" borderId="1" xfId="1" applyNumberFormat="1" applyFont="1" applyBorder="1"/>
    <xf numFmtId="1" fontId="1" fillId="0" borderId="1" xfId="1" applyNumberFormat="1" applyBorder="1"/>
    <xf numFmtId="164" fontId="1" fillId="0" borderId="1" xfId="1" applyNumberFormat="1" applyBorder="1"/>
    <xf numFmtId="10" fontId="8" fillId="7" borderId="1" xfId="1" applyNumberFormat="1" applyFont="1" applyFill="1" applyBorder="1"/>
    <xf numFmtId="10" fontId="9" fillId="7" borderId="1" xfId="1" applyNumberFormat="1" applyFont="1" applyFill="1" applyBorder="1"/>
    <xf numFmtId="0" fontId="1" fillId="0" borderId="1" xfId="1" applyBorder="1"/>
    <xf numFmtId="10" fontId="15" fillId="10" borderId="1" xfId="1" applyNumberFormat="1" applyFont="1" applyFill="1" applyBorder="1"/>
    <xf numFmtId="2" fontId="2" fillId="0" borderId="1" xfId="1" applyNumberFormat="1" applyFont="1" applyFill="1" applyBorder="1" applyAlignment="1">
      <alignment horizontal="left" vertical="center"/>
    </xf>
    <xf numFmtId="10" fontId="4" fillId="0" borderId="1" xfId="1" applyNumberFormat="1" applyFont="1" applyFill="1" applyBorder="1"/>
    <xf numFmtId="1" fontId="20" fillId="0" borderId="1" xfId="1" applyNumberFormat="1" applyFont="1" applyBorder="1"/>
    <xf numFmtId="1" fontId="16" fillId="0" borderId="1" xfId="1" applyNumberFormat="1" applyFont="1" applyBorder="1"/>
    <xf numFmtId="2" fontId="3" fillId="0" borderId="1" xfId="1" applyNumberFormat="1" applyFont="1" applyBorder="1"/>
    <xf numFmtId="10" fontId="1" fillId="0" borderId="1" xfId="1" applyNumberFormat="1" applyFont="1" applyBorder="1"/>
    <xf numFmtId="0" fontId="1" fillId="0" borderId="0" xfId="1" applyFont="1" applyFill="1"/>
    <xf numFmtId="1" fontId="1" fillId="0" borderId="0" xfId="1" applyNumberFormat="1" applyFont="1" applyFill="1"/>
    <xf numFmtId="164" fontId="1" fillId="0" borderId="0" xfId="1" applyNumberFormat="1" applyFont="1" applyFill="1"/>
    <xf numFmtId="2" fontId="1" fillId="0" borderId="1" xfId="1" applyNumberFormat="1" applyFont="1" applyFill="1" applyBorder="1" applyAlignment="1"/>
    <xf numFmtId="2" fontId="1" fillId="0" borderId="3" xfId="1" applyNumberFormat="1" applyFont="1" applyFill="1" applyBorder="1"/>
    <xf numFmtId="0" fontId="1" fillId="0" borderId="3" xfId="1" applyFont="1" applyFill="1" applyBorder="1"/>
    <xf numFmtId="1" fontId="1" fillId="0" borderId="3" xfId="1" applyNumberFormat="1" applyFont="1" applyFill="1" applyBorder="1"/>
    <xf numFmtId="164" fontId="1" fillId="0" borderId="3" xfId="1" applyNumberFormat="1" applyFont="1" applyFill="1" applyBorder="1"/>
    <xf numFmtId="1" fontId="4" fillId="0" borderId="3" xfId="1" applyNumberFormat="1" applyFont="1" applyFill="1" applyBorder="1"/>
    <xf numFmtId="1" fontId="3" fillId="0" borderId="3" xfId="1" applyNumberFormat="1" applyFont="1" applyFill="1" applyBorder="1"/>
    <xf numFmtId="166" fontId="1" fillId="0" borderId="3" xfId="1" applyNumberFormat="1" applyFont="1" applyFill="1" applyBorder="1"/>
    <xf numFmtId="165" fontId="1" fillId="0" borderId="3" xfId="1" applyNumberFormat="1" applyFont="1" applyFill="1" applyBorder="1"/>
    <xf numFmtId="2" fontId="14" fillId="10" borderId="2" xfId="1" applyNumberFormat="1" applyFont="1" applyFill="1" applyBorder="1"/>
    <xf numFmtId="1" fontId="14" fillId="10" borderId="2" xfId="1" applyNumberFormat="1" applyFont="1" applyFill="1" applyBorder="1"/>
    <xf numFmtId="164" fontId="14" fillId="10" borderId="2" xfId="1" applyNumberFormat="1" applyFont="1" applyFill="1" applyBorder="1"/>
    <xf numFmtId="2" fontId="2" fillId="10" borderId="2" xfId="1" applyNumberFormat="1" applyFont="1" applyFill="1" applyBorder="1"/>
    <xf numFmtId="165" fontId="2" fillId="10" borderId="2" xfId="1" applyNumberFormat="1" applyFont="1" applyFill="1" applyBorder="1"/>
    <xf numFmtId="0" fontId="1" fillId="0" borderId="4" xfId="1" applyFont="1" applyFill="1" applyBorder="1" applyAlignment="1"/>
    <xf numFmtId="0" fontId="2" fillId="0" borderId="4" xfId="1" applyFont="1" applyFill="1" applyBorder="1" applyAlignment="1"/>
    <xf numFmtId="2" fontId="1" fillId="0" borderId="2" xfId="1" applyNumberFormat="1" applyFont="1" applyFill="1" applyBorder="1"/>
    <xf numFmtId="165" fontId="1" fillId="0" borderId="2" xfId="1" applyNumberFormat="1" applyFont="1" applyFill="1" applyBorder="1"/>
    <xf numFmtId="2" fontId="2" fillId="0" borderId="5" xfId="1" applyNumberFormat="1" applyFont="1" applyFill="1" applyBorder="1" applyAlignment="1"/>
    <xf numFmtId="0" fontId="1" fillId="0" borderId="1" xfId="1" applyFont="1" applyFill="1" applyBorder="1" applyAlignment="1">
      <alignment horizontal="center" vertical="center"/>
    </xf>
    <xf numFmtId="1" fontId="1" fillId="0" borderId="5" xfId="1" applyNumberFormat="1" applyFont="1" applyFill="1" applyBorder="1"/>
    <xf numFmtId="1" fontId="16" fillId="0" borderId="1" xfId="1" applyNumberFormat="1" applyFont="1" applyFill="1" applyBorder="1"/>
    <xf numFmtId="10" fontId="1" fillId="5" borderId="2" xfId="1" applyNumberFormat="1" applyFont="1" applyFill="1" applyBorder="1"/>
    <xf numFmtId="166" fontId="1" fillId="5" borderId="2" xfId="1" applyNumberFormat="1" applyFont="1" applyFill="1" applyBorder="1"/>
    <xf numFmtId="2" fontId="1" fillId="0" borderId="2" xfId="1" applyNumberFormat="1" applyFont="1" applyFill="1" applyBorder="1" applyAlignment="1">
      <alignment horizontal="center" vertical="center"/>
    </xf>
    <xf numFmtId="1" fontId="1" fillId="0" borderId="2" xfId="1" applyNumberFormat="1" applyFont="1" applyFill="1" applyBorder="1"/>
    <xf numFmtId="164" fontId="1" fillId="0" borderId="2" xfId="1" applyNumberFormat="1" applyFont="1" applyFill="1" applyBorder="1"/>
    <xf numFmtId="1" fontId="4" fillId="0" borderId="2" xfId="1" applyNumberFormat="1" applyFont="1" applyFill="1" applyBorder="1"/>
    <xf numFmtId="1" fontId="3" fillId="0" borderId="2" xfId="1" applyNumberFormat="1" applyFont="1" applyFill="1" applyBorder="1"/>
    <xf numFmtId="10" fontId="1" fillId="0" borderId="2" xfId="1" applyNumberFormat="1" applyFont="1" applyFill="1" applyBorder="1"/>
    <xf numFmtId="166" fontId="1" fillId="0" borderId="2" xfId="1" applyNumberFormat="1" applyFont="1" applyFill="1" applyBorder="1"/>
    <xf numFmtId="166" fontId="3" fillId="0" borderId="2" xfId="1" applyNumberFormat="1" applyFont="1" applyFill="1" applyBorder="1"/>
    <xf numFmtId="166" fontId="4" fillId="0" borderId="2" xfId="1" applyNumberFormat="1" applyFont="1" applyFill="1" applyBorder="1"/>
    <xf numFmtId="0" fontId="14" fillId="10" borderId="1" xfId="1" applyFont="1" applyFill="1" applyBorder="1"/>
    <xf numFmtId="0" fontId="2" fillId="0" borderId="5" xfId="1" applyFont="1" applyFill="1" applyBorder="1" applyAlignment="1">
      <alignment vertical="center"/>
    </xf>
    <xf numFmtId="2" fontId="1" fillId="0" borderId="5" xfId="1" applyNumberFormat="1" applyFont="1" applyFill="1" applyBorder="1"/>
    <xf numFmtId="164" fontId="1" fillId="0" borderId="4" xfId="1" applyNumberFormat="1" applyFont="1" applyFill="1" applyBorder="1"/>
    <xf numFmtId="1" fontId="5" fillId="0" borderId="5" xfId="1" applyNumberFormat="1" applyFont="1" applyFill="1" applyBorder="1"/>
    <xf numFmtId="164" fontId="1" fillId="0" borderId="5" xfId="1" applyNumberFormat="1" applyFont="1" applyFill="1" applyBorder="1"/>
    <xf numFmtId="2" fontId="3" fillId="0" borderId="5" xfId="1" applyNumberFormat="1" applyFont="1" applyFill="1" applyBorder="1"/>
    <xf numFmtId="2" fontId="4" fillId="0" borderId="5" xfId="1" applyNumberFormat="1" applyFont="1" applyFill="1" applyBorder="1"/>
    <xf numFmtId="1" fontId="16" fillId="0" borderId="2" xfId="1" applyNumberFormat="1" applyFont="1" applyFill="1" applyBorder="1"/>
    <xf numFmtId="2" fontId="16" fillId="0" borderId="2" xfId="1" applyNumberFormat="1" applyFont="1" applyFill="1" applyBorder="1"/>
    <xf numFmtId="1" fontId="3" fillId="0" borderId="5" xfId="1" applyNumberFormat="1" applyFont="1" applyFill="1" applyBorder="1"/>
    <xf numFmtId="1" fontId="4" fillId="0" borderId="5" xfId="1" applyNumberFormat="1" applyFont="1" applyFill="1" applyBorder="1"/>
    <xf numFmtId="0" fontId="24" fillId="0" borderId="1" xfId="1" applyFont="1" applyBorder="1"/>
    <xf numFmtId="164" fontId="24" fillId="0" borderId="1" xfId="1" applyNumberFormat="1" applyFont="1" applyBorder="1"/>
    <xf numFmtId="1" fontId="24" fillId="0" borderId="1" xfId="1" applyNumberFormat="1" applyFont="1" applyBorder="1"/>
    <xf numFmtId="164" fontId="24" fillId="0" borderId="1" xfId="1" applyNumberFormat="1" applyFont="1" applyFill="1" applyBorder="1"/>
    <xf numFmtId="1" fontId="24" fillId="0" borderId="1" xfId="1" applyNumberFormat="1" applyFont="1" applyFill="1" applyBorder="1"/>
    <xf numFmtId="10" fontId="24" fillId="0" borderId="1" xfId="1" applyNumberFormat="1" applyFont="1" applyFill="1" applyBorder="1"/>
    <xf numFmtId="49" fontId="24" fillId="0" borderId="1" xfId="1" applyNumberFormat="1" applyFont="1" applyBorder="1" applyAlignment="1">
      <alignment horizontal="left"/>
    </xf>
    <xf numFmtId="165" fontId="24" fillId="0" borderId="1" xfId="1" applyNumberFormat="1" applyFont="1" applyBorder="1"/>
    <xf numFmtId="0" fontId="1" fillId="0" borderId="0" xfId="1" applyNumberFormat="1" applyFont="1"/>
    <xf numFmtId="165" fontId="25" fillId="0" borderId="1" xfId="1" applyNumberFormat="1" applyFont="1" applyBorder="1"/>
    <xf numFmtId="1" fontId="25" fillId="0" borderId="1" xfId="1" applyNumberFormat="1" applyFont="1" applyBorder="1"/>
    <xf numFmtId="10" fontId="1" fillId="0" borderId="0" xfId="1" applyNumberFormat="1" applyFill="1"/>
    <xf numFmtId="0" fontId="24" fillId="0" borderId="5" xfId="1" applyFont="1" applyFill="1" applyBorder="1"/>
    <xf numFmtId="164" fontId="24" fillId="0" borderId="6" xfId="1" applyNumberFormat="1" applyFont="1" applyFill="1" applyBorder="1" applyAlignment="1"/>
    <xf numFmtId="164" fontId="24" fillId="0" borderId="7" xfId="1" applyNumberFormat="1" applyFont="1" applyFill="1" applyBorder="1" applyAlignment="1"/>
    <xf numFmtId="165" fontId="24" fillId="0" borderId="7" xfId="1" applyNumberFormat="1" applyFont="1" applyFill="1" applyBorder="1" applyAlignment="1"/>
    <xf numFmtId="1" fontId="1" fillId="0" borderId="0" xfId="1" applyNumberFormat="1" applyFill="1"/>
    <xf numFmtId="9" fontId="1" fillId="0" borderId="0" xfId="1" applyNumberFormat="1" applyFill="1"/>
    <xf numFmtId="0" fontId="1" fillId="0" borderId="0" xfId="1" applyNumberFormat="1" applyFill="1"/>
    <xf numFmtId="49" fontId="24" fillId="0" borderId="1" xfId="1" applyNumberFormat="1" applyFont="1" applyFill="1" applyBorder="1" applyAlignment="1">
      <alignment horizontal="left"/>
    </xf>
    <xf numFmtId="2" fontId="1" fillId="0" borderId="0" xfId="1" applyNumberFormat="1" applyFont="1" applyFill="1"/>
    <xf numFmtId="0" fontId="1" fillId="0" borderId="0" xfId="1" applyFill="1"/>
    <xf numFmtId="167" fontId="1" fillId="0" borderId="0" xfId="1" applyNumberFormat="1" applyFont="1" applyFill="1"/>
    <xf numFmtId="1" fontId="27" fillId="0" borderId="1" xfId="1" applyNumberFormat="1" applyFont="1" applyBorder="1"/>
    <xf numFmtId="167" fontId="1" fillId="0" borderId="2" xfId="1" applyNumberFormat="1" applyFont="1" applyFill="1" applyBorder="1"/>
    <xf numFmtId="0" fontId="3" fillId="0" borderId="8" xfId="1" applyFont="1" applyBorder="1"/>
    <xf numFmtId="0" fontId="4" fillId="0" borderId="9" xfId="1" applyFont="1" applyBorder="1"/>
    <xf numFmtId="0" fontId="4" fillId="0" borderId="10" xfId="1" applyFont="1" applyBorder="1"/>
    <xf numFmtId="2" fontId="2" fillId="11" borderId="1" xfId="1" applyNumberFormat="1" applyFont="1" applyFill="1" applyBorder="1" applyAlignment="1">
      <alignment horizontal="left" vertical="center"/>
    </xf>
    <xf numFmtId="2" fontId="2" fillId="11" borderId="1" xfId="1" applyNumberFormat="1" applyFont="1" applyFill="1" applyBorder="1"/>
    <xf numFmtId="1" fontId="1" fillId="11" borderId="1" xfId="1" applyNumberFormat="1" applyFont="1" applyFill="1" applyBorder="1"/>
    <xf numFmtId="164" fontId="1" fillId="11" borderId="1" xfId="1" applyNumberFormat="1" applyFont="1" applyFill="1" applyBorder="1"/>
    <xf numFmtId="1" fontId="2" fillId="11" borderId="1" xfId="1" applyNumberFormat="1" applyFont="1" applyFill="1" applyBorder="1"/>
    <xf numFmtId="1" fontId="3" fillId="11" borderId="1" xfId="1" applyNumberFormat="1" applyFont="1" applyFill="1" applyBorder="1"/>
    <xf numFmtId="1" fontId="4" fillId="11" borderId="1" xfId="1" applyNumberFormat="1" applyFont="1" applyFill="1" applyBorder="1"/>
    <xf numFmtId="165" fontId="1" fillId="11" borderId="1" xfId="1" applyNumberFormat="1" applyFont="1" applyFill="1" applyBorder="1"/>
    <xf numFmtId="164" fontId="4" fillId="11" borderId="1" xfId="1" applyNumberFormat="1" applyFont="1" applyFill="1" applyBorder="1"/>
    <xf numFmtId="164" fontId="3" fillId="11" borderId="1" xfId="1" applyNumberFormat="1" applyFont="1" applyFill="1" applyBorder="1"/>
    <xf numFmtId="164" fontId="30" fillId="11" borderId="1" xfId="1" applyNumberFormat="1" applyFont="1" applyFill="1" applyBorder="1"/>
    <xf numFmtId="2" fontId="1" fillId="11" borderId="1" xfId="1" applyNumberFormat="1" applyFont="1" applyFill="1" applyBorder="1"/>
    <xf numFmtId="10" fontId="3" fillId="11" borderId="1" xfId="1" applyNumberFormat="1" applyFont="1" applyFill="1" applyBorder="1"/>
    <xf numFmtId="10" fontId="1" fillId="11" borderId="1" xfId="1" applyNumberFormat="1" applyFont="1" applyFill="1" applyBorder="1"/>
    <xf numFmtId="10" fontId="4" fillId="11" borderId="1" xfId="1" applyNumberFormat="1" applyFont="1" applyFill="1" applyBorder="1"/>
    <xf numFmtId="2" fontId="2" fillId="11" borderId="1" xfId="1" applyNumberFormat="1" applyFont="1" applyFill="1" applyBorder="1" applyAlignment="1">
      <alignment horizontal="center" vertical="center"/>
    </xf>
    <xf numFmtId="1" fontId="30" fillId="11" borderId="1" xfId="1" applyNumberFormat="1" applyFont="1" applyFill="1" applyBorder="1"/>
    <xf numFmtId="0" fontId="2" fillId="11" borderId="1" xfId="1" applyFont="1" applyFill="1" applyBorder="1" applyAlignment="1">
      <alignment horizontal="left" vertical="center"/>
    </xf>
    <xf numFmtId="164" fontId="2" fillId="11" borderId="1" xfId="1" applyNumberFormat="1" applyFont="1" applyFill="1" applyBorder="1"/>
    <xf numFmtId="0" fontId="1" fillId="11" borderId="1" xfId="1" applyFont="1" applyFill="1" applyBorder="1"/>
    <xf numFmtId="165" fontId="3" fillId="11" borderId="1" xfId="1" applyNumberFormat="1" applyFont="1" applyFill="1" applyBorder="1"/>
    <xf numFmtId="165" fontId="4" fillId="11" borderId="1" xfId="1" applyNumberFormat="1" applyFont="1" applyFill="1" applyBorder="1"/>
    <xf numFmtId="0" fontId="2" fillId="11" borderId="1" xfId="1" applyFont="1" applyFill="1" applyBorder="1" applyAlignment="1">
      <alignment vertical="center"/>
    </xf>
    <xf numFmtId="0" fontId="2" fillId="11" borderId="1" xfId="1" applyFont="1" applyFill="1" applyBorder="1"/>
    <xf numFmtId="2" fontId="3" fillId="11" borderId="1" xfId="1" applyNumberFormat="1" applyFont="1" applyFill="1" applyBorder="1"/>
    <xf numFmtId="2" fontId="4" fillId="11" borderId="1" xfId="1" applyNumberFormat="1" applyFont="1" applyFill="1" applyBorder="1"/>
    <xf numFmtId="0" fontId="2" fillId="11" borderId="1" xfId="1" applyFont="1" applyFill="1" applyBorder="1" applyAlignment="1">
      <alignment horizontal="center" vertical="center"/>
    </xf>
    <xf numFmtId="1" fontId="5" fillId="11" borderId="1" xfId="1" applyNumberFormat="1" applyFont="1" applyFill="1" applyBorder="1"/>
    <xf numFmtId="1" fontId="6" fillId="11" borderId="1" xfId="1" applyNumberFormat="1" applyFont="1" applyFill="1" applyBorder="1"/>
    <xf numFmtId="165" fontId="6" fillId="11" borderId="1" xfId="1" applyNumberFormat="1" applyFont="1" applyFill="1" applyBorder="1"/>
    <xf numFmtId="165" fontId="7" fillId="11" borderId="1" xfId="1" applyNumberFormat="1" applyFont="1" applyFill="1" applyBorder="1"/>
    <xf numFmtId="1" fontId="13" fillId="11" borderId="1" xfId="1" applyNumberFormat="1" applyFont="1" applyFill="1" applyBorder="1"/>
    <xf numFmtId="0" fontId="4" fillId="11" borderId="1" xfId="1" applyFont="1" applyFill="1" applyBorder="1"/>
    <xf numFmtId="0" fontId="3" fillId="11" borderId="1" xfId="1" applyFont="1" applyFill="1" applyBorder="1"/>
    <xf numFmtId="0" fontId="6" fillId="11" borderId="1" xfId="1" applyFont="1" applyFill="1" applyBorder="1"/>
    <xf numFmtId="0" fontId="5" fillId="11" borderId="1" xfId="1" applyFont="1" applyFill="1" applyBorder="1"/>
    <xf numFmtId="1" fontId="20" fillId="11" borderId="1" xfId="1" applyNumberFormat="1" applyFont="1" applyFill="1" applyBorder="1"/>
    <xf numFmtId="1" fontId="12" fillId="11" borderId="1" xfId="1" applyNumberFormat="1" applyFont="1" applyFill="1" applyBorder="1"/>
    <xf numFmtId="2" fontId="2" fillId="12" borderId="1" xfId="1" applyNumberFormat="1" applyFont="1" applyFill="1" applyBorder="1" applyAlignment="1">
      <alignment horizontal="center" vertical="center"/>
    </xf>
    <xf numFmtId="2" fontId="2" fillId="12" borderId="1" xfId="1" applyNumberFormat="1" applyFont="1" applyFill="1" applyBorder="1"/>
    <xf numFmtId="1" fontId="1" fillId="12" borderId="1" xfId="1" applyNumberFormat="1" applyFont="1" applyFill="1" applyBorder="1"/>
    <xf numFmtId="164" fontId="1" fillId="12" borderId="1" xfId="1" applyNumberFormat="1" applyFont="1" applyFill="1" applyBorder="1"/>
    <xf numFmtId="1" fontId="2" fillId="12" borderId="1" xfId="1" applyNumberFormat="1" applyFont="1" applyFill="1" applyBorder="1"/>
    <xf numFmtId="1" fontId="4" fillId="12" borderId="1" xfId="1" applyNumberFormat="1" applyFont="1" applyFill="1" applyBorder="1"/>
    <xf numFmtId="1" fontId="3" fillId="12" borderId="1" xfId="1" applyNumberFormat="1" applyFont="1" applyFill="1" applyBorder="1"/>
    <xf numFmtId="1" fontId="5" fillId="12" borderId="1" xfId="1" applyNumberFormat="1" applyFont="1" applyFill="1" applyBorder="1"/>
    <xf numFmtId="165" fontId="1" fillId="12" borderId="1" xfId="1" applyNumberFormat="1" applyFont="1" applyFill="1" applyBorder="1"/>
    <xf numFmtId="164" fontId="4" fillId="12" borderId="1" xfId="1" applyNumberFormat="1" applyFont="1" applyFill="1" applyBorder="1"/>
    <xf numFmtId="164" fontId="3" fillId="12" borderId="1" xfId="1" applyNumberFormat="1" applyFont="1" applyFill="1" applyBorder="1"/>
    <xf numFmtId="164" fontId="2" fillId="12" borderId="1" xfId="1" applyNumberFormat="1" applyFont="1" applyFill="1" applyBorder="1"/>
    <xf numFmtId="2" fontId="1" fillId="12" borderId="1" xfId="1" applyNumberFormat="1" applyFont="1" applyFill="1" applyBorder="1"/>
    <xf numFmtId="165" fontId="3" fillId="12" borderId="1" xfId="1" applyNumberFormat="1" applyFont="1" applyFill="1" applyBorder="1"/>
    <xf numFmtId="165" fontId="4" fillId="12" borderId="1" xfId="1" applyNumberFormat="1" applyFont="1" applyFill="1" applyBorder="1"/>
    <xf numFmtId="2" fontId="3" fillId="12" borderId="2" xfId="1" applyNumberFormat="1" applyFont="1" applyFill="1" applyBorder="1"/>
    <xf numFmtId="2" fontId="4" fillId="12" borderId="2" xfId="1" applyNumberFormat="1" applyFont="1" applyFill="1" applyBorder="1"/>
    <xf numFmtId="1" fontId="6" fillId="12" borderId="1" xfId="1" applyNumberFormat="1" applyFont="1" applyFill="1" applyBorder="1"/>
    <xf numFmtId="165" fontId="6" fillId="12" borderId="1" xfId="1" applyNumberFormat="1" applyFont="1" applyFill="1" applyBorder="1"/>
    <xf numFmtId="165" fontId="7" fillId="12" borderId="1" xfId="1" applyNumberFormat="1" applyFont="1" applyFill="1" applyBorder="1"/>
    <xf numFmtId="164" fontId="4" fillId="0" borderId="11" xfId="1" applyNumberFormat="1" applyFont="1" applyFill="1" applyBorder="1"/>
    <xf numFmtId="164" fontId="2" fillId="0" borderId="12" xfId="1" applyNumberFormat="1" applyFont="1" applyFill="1" applyBorder="1"/>
    <xf numFmtId="164" fontId="3" fillId="0" borderId="5" xfId="1" applyNumberFormat="1" applyFont="1" applyBorder="1"/>
    <xf numFmtId="164" fontId="3" fillId="0" borderId="2" xfId="1" applyNumberFormat="1" applyFont="1" applyFill="1" applyBorder="1"/>
    <xf numFmtId="164" fontId="3" fillId="0" borderId="13" xfId="1" applyNumberFormat="1" applyFont="1" applyFill="1" applyBorder="1"/>
    <xf numFmtId="2" fontId="2" fillId="13" borderId="1" xfId="1" applyNumberFormat="1" applyFont="1" applyFill="1" applyBorder="1" applyAlignment="1">
      <alignment horizontal="left" vertical="center"/>
    </xf>
    <xf numFmtId="2" fontId="2" fillId="13" borderId="13" xfId="0" applyNumberFormat="1" applyFont="1" applyFill="1" applyBorder="1"/>
    <xf numFmtId="1" fontId="1" fillId="13" borderId="13" xfId="0" applyNumberFormat="1" applyFont="1" applyFill="1" applyBorder="1"/>
    <xf numFmtId="164" fontId="1" fillId="13" borderId="1" xfId="1" applyNumberFormat="1" applyFont="1" applyFill="1" applyBorder="1"/>
    <xf numFmtId="1" fontId="2" fillId="13" borderId="1" xfId="1" applyNumberFormat="1" applyFont="1" applyFill="1" applyBorder="1"/>
    <xf numFmtId="1" fontId="3" fillId="13" borderId="1" xfId="1" applyNumberFormat="1" applyFont="1" applyFill="1" applyBorder="1"/>
    <xf numFmtId="1" fontId="4" fillId="13" borderId="1" xfId="1" applyNumberFormat="1" applyFont="1" applyFill="1" applyBorder="1"/>
    <xf numFmtId="1" fontId="1" fillId="13" borderId="1" xfId="1" applyNumberFormat="1" applyFont="1" applyFill="1" applyBorder="1"/>
    <xf numFmtId="165" fontId="1" fillId="13" borderId="1" xfId="1" applyNumberFormat="1" applyFont="1" applyFill="1" applyBorder="1"/>
    <xf numFmtId="2" fontId="4" fillId="13" borderId="1" xfId="1" applyNumberFormat="1" applyFont="1" applyFill="1" applyBorder="1"/>
    <xf numFmtId="2" fontId="3" fillId="13" borderId="1" xfId="1" applyNumberFormat="1" applyFont="1" applyFill="1" applyBorder="1"/>
    <xf numFmtId="164" fontId="2" fillId="13" borderId="1" xfId="1" applyNumberFormat="1" applyFont="1" applyFill="1" applyBorder="1"/>
    <xf numFmtId="0" fontId="1" fillId="13" borderId="1" xfId="1" applyFont="1" applyFill="1" applyBorder="1"/>
    <xf numFmtId="2" fontId="2" fillId="13" borderId="1" xfId="1" applyNumberFormat="1" applyFont="1" applyFill="1" applyBorder="1" applyAlignment="1">
      <alignment horizontal="center" vertical="center"/>
    </xf>
    <xf numFmtId="0" fontId="2" fillId="13" borderId="1" xfId="1" applyFont="1" applyFill="1" applyBorder="1"/>
    <xf numFmtId="1" fontId="1" fillId="13" borderId="1" xfId="1" applyNumberFormat="1" applyFont="1" applyFill="1" applyBorder="1"/>
    <xf numFmtId="164" fontId="1" fillId="13" borderId="1" xfId="1" applyNumberFormat="1" applyFont="1" applyFill="1" applyBorder="1"/>
    <xf numFmtId="0" fontId="3" fillId="13" borderId="1" xfId="1" applyFont="1" applyFill="1" applyBorder="1"/>
    <xf numFmtId="0" fontId="4" fillId="13" borderId="1" xfId="1" applyFont="1" applyFill="1" applyBorder="1"/>
    <xf numFmtId="0" fontId="5" fillId="13" borderId="1" xfId="1" applyFont="1" applyFill="1" applyBorder="1"/>
    <xf numFmtId="164" fontId="4" fillId="13" borderId="1" xfId="1" applyNumberFormat="1" applyFont="1" applyFill="1" applyBorder="1"/>
    <xf numFmtId="164" fontId="3" fillId="13" borderId="1" xfId="1" applyNumberFormat="1" applyFont="1" applyFill="1" applyBorder="1"/>
    <xf numFmtId="164" fontId="2" fillId="13" borderId="1" xfId="1" applyNumberFormat="1" applyFont="1" applyFill="1" applyBorder="1"/>
    <xf numFmtId="0" fontId="1" fillId="13" borderId="1" xfId="1" applyFont="1" applyFill="1" applyBorder="1"/>
    <xf numFmtId="165" fontId="3" fillId="13" borderId="1" xfId="1" applyNumberFormat="1" applyFont="1" applyFill="1" applyBorder="1"/>
    <xf numFmtId="165" fontId="4" fillId="13" borderId="1" xfId="1" applyNumberFormat="1" applyFont="1" applyFill="1" applyBorder="1"/>
    <xf numFmtId="1" fontId="13" fillId="13" borderId="1" xfId="1" applyNumberFormat="1" applyFont="1" applyFill="1" applyBorder="1"/>
    <xf numFmtId="1" fontId="4" fillId="13" borderId="1" xfId="1" applyNumberFormat="1" applyFont="1" applyFill="1" applyBorder="1"/>
    <xf numFmtId="1" fontId="3" fillId="13" borderId="1" xfId="1" applyNumberFormat="1" applyFont="1" applyFill="1" applyBorder="1"/>
    <xf numFmtId="1" fontId="6" fillId="13" borderId="1" xfId="1" applyNumberFormat="1" applyFont="1" applyFill="1" applyBorder="1"/>
    <xf numFmtId="165" fontId="6" fillId="13" borderId="1" xfId="1" applyNumberFormat="1" applyFont="1" applyFill="1" applyBorder="1"/>
    <xf numFmtId="165" fontId="7" fillId="13" borderId="1" xfId="1" applyNumberFormat="1" applyFont="1" applyFill="1" applyBorder="1"/>
    <xf numFmtId="2" fontId="2" fillId="13" borderId="1" xfId="1" applyNumberFormat="1" applyFont="1" applyFill="1" applyBorder="1" applyAlignment="1">
      <alignment horizontal="center" vertical="center"/>
    </xf>
    <xf numFmtId="2" fontId="2" fillId="13" borderId="1" xfId="1" applyNumberFormat="1" applyFont="1" applyFill="1" applyBorder="1"/>
    <xf numFmtId="1" fontId="1" fillId="13" borderId="1" xfId="1" applyNumberFormat="1" applyFont="1" applyFill="1" applyBorder="1"/>
    <xf numFmtId="164" fontId="1" fillId="13" borderId="1" xfId="1" applyNumberFormat="1" applyFont="1" applyFill="1" applyBorder="1"/>
    <xf numFmtId="1" fontId="2" fillId="13" borderId="1" xfId="1" applyNumberFormat="1" applyFont="1" applyFill="1" applyBorder="1"/>
    <xf numFmtId="1" fontId="3" fillId="13" borderId="1" xfId="1" applyNumberFormat="1" applyFont="1" applyFill="1" applyBorder="1"/>
    <xf numFmtId="1" fontId="4" fillId="13" borderId="1" xfId="1" applyNumberFormat="1" applyFont="1" applyFill="1" applyBorder="1"/>
    <xf numFmtId="2" fontId="4" fillId="13" borderId="1" xfId="1" applyNumberFormat="1" applyFont="1" applyFill="1" applyBorder="1"/>
    <xf numFmtId="2" fontId="3" fillId="13" borderId="1" xfId="1" applyNumberFormat="1" applyFont="1" applyFill="1" applyBorder="1"/>
    <xf numFmtId="1" fontId="5" fillId="13" borderId="1" xfId="1" applyNumberFormat="1" applyFont="1" applyFill="1" applyBorder="1"/>
    <xf numFmtId="165" fontId="1" fillId="13" borderId="1" xfId="1" applyNumberFormat="1" applyFont="1" applyFill="1" applyBorder="1"/>
    <xf numFmtId="164" fontId="4" fillId="13" borderId="1" xfId="1" applyNumberFormat="1" applyFont="1" applyFill="1" applyBorder="1"/>
    <xf numFmtId="164" fontId="3" fillId="13" borderId="1" xfId="1" applyNumberFormat="1" applyFont="1" applyFill="1" applyBorder="1"/>
    <xf numFmtId="2" fontId="1" fillId="13" borderId="1" xfId="1" applyNumberFormat="1" applyFont="1" applyFill="1" applyBorder="1"/>
    <xf numFmtId="165" fontId="3" fillId="13" borderId="1" xfId="1" applyNumberFormat="1" applyFont="1" applyFill="1" applyBorder="1"/>
    <xf numFmtId="165" fontId="4" fillId="13" borderId="1" xfId="1" applyNumberFormat="1" applyFont="1" applyFill="1" applyBorder="1"/>
    <xf numFmtId="1" fontId="13" fillId="13" borderId="1" xfId="1" applyNumberFormat="1" applyFont="1" applyFill="1" applyBorder="1"/>
    <xf numFmtId="1" fontId="6" fillId="13" borderId="1" xfId="1" applyNumberFormat="1" applyFont="1" applyFill="1" applyBorder="1"/>
    <xf numFmtId="165" fontId="6" fillId="13" borderId="1" xfId="1" applyNumberFormat="1" applyFont="1" applyFill="1" applyBorder="1"/>
    <xf numFmtId="165" fontId="7" fillId="13" borderId="1" xfId="1" applyNumberFormat="1" applyFont="1" applyFill="1" applyBorder="1"/>
    <xf numFmtId="164" fontId="1" fillId="0" borderId="14" xfId="0" applyNumberFormat="1" applyFont="1" applyFill="1" applyBorder="1"/>
    <xf numFmtId="164" fontId="1" fillId="0" borderId="8" xfId="0" applyNumberFormat="1" applyFont="1" applyFill="1" applyBorder="1"/>
    <xf numFmtId="164" fontId="1" fillId="0" borderId="15" xfId="0" applyNumberFormat="1" applyFont="1" applyFill="1" applyBorder="1"/>
    <xf numFmtId="164" fontId="1" fillId="0" borderId="9" xfId="0" applyNumberFormat="1" applyFont="1" applyFill="1" applyBorder="1"/>
    <xf numFmtId="164" fontId="1" fillId="0" borderId="16" xfId="0" applyNumberFormat="1" applyFont="1" applyFill="1" applyBorder="1"/>
    <xf numFmtId="164" fontId="1" fillId="0" borderId="10" xfId="0" quotePrefix="1" applyNumberFormat="1" applyFont="1" applyFill="1" applyBorder="1"/>
    <xf numFmtId="1" fontId="1" fillId="0" borderId="17" xfId="0" applyNumberFormat="1" applyFont="1" applyFill="1" applyBorder="1"/>
    <xf numFmtId="1" fontId="1" fillId="0" borderId="18" xfId="0" applyNumberFormat="1" applyFont="1" applyFill="1" applyBorder="1"/>
    <xf numFmtId="1" fontId="1" fillId="0" borderId="19" xfId="0" applyNumberFormat="1" applyFont="1" applyFill="1" applyBorder="1"/>
    <xf numFmtId="2" fontId="2" fillId="13" borderId="1" xfId="1" applyNumberFormat="1" applyFont="1" applyFill="1" applyBorder="1" applyAlignment="1">
      <alignment horizontal="center" vertical="center"/>
    </xf>
    <xf numFmtId="0" fontId="2" fillId="13" borderId="1" xfId="1" applyFont="1" applyFill="1" applyBorder="1"/>
    <xf numFmtId="1" fontId="1" fillId="13" borderId="1" xfId="1" applyNumberFormat="1" applyFont="1" applyFill="1" applyBorder="1"/>
    <xf numFmtId="164" fontId="1" fillId="13" borderId="1" xfId="1" applyNumberFormat="1" applyFont="1" applyFill="1" applyBorder="1"/>
    <xf numFmtId="0" fontId="3" fillId="13" borderId="1" xfId="1" applyFont="1" applyFill="1" applyBorder="1"/>
    <xf numFmtId="0" fontId="4" fillId="13" borderId="1" xfId="1" applyFont="1" applyFill="1" applyBorder="1"/>
    <xf numFmtId="0" fontId="5" fillId="13" borderId="1" xfId="1" applyFont="1" applyFill="1" applyBorder="1"/>
    <xf numFmtId="165" fontId="1" fillId="13" borderId="1" xfId="1" applyNumberFormat="1" applyFont="1" applyFill="1" applyBorder="1"/>
    <xf numFmtId="164" fontId="4" fillId="13" borderId="1" xfId="1" applyNumberFormat="1" applyFont="1" applyFill="1" applyBorder="1"/>
    <xf numFmtId="164" fontId="3" fillId="13" borderId="1" xfId="1" applyNumberFormat="1" applyFont="1" applyFill="1" applyBorder="1"/>
    <xf numFmtId="164" fontId="2" fillId="13" borderId="1" xfId="1" applyNumberFormat="1" applyFont="1" applyFill="1" applyBorder="1"/>
    <xf numFmtId="0" fontId="1" fillId="13" borderId="1" xfId="1" applyFont="1" applyFill="1" applyBorder="1"/>
    <xf numFmtId="165" fontId="3" fillId="13" borderId="1" xfId="1" applyNumberFormat="1" applyFont="1" applyFill="1" applyBorder="1"/>
    <xf numFmtId="165" fontId="4" fillId="13" borderId="1" xfId="1" applyNumberFormat="1" applyFont="1" applyFill="1" applyBorder="1"/>
    <xf numFmtId="1" fontId="13" fillId="13" borderId="1" xfId="1" applyNumberFormat="1" applyFont="1" applyFill="1" applyBorder="1"/>
    <xf numFmtId="1" fontId="4" fillId="13" borderId="1" xfId="1" applyNumberFormat="1" applyFont="1" applyFill="1" applyBorder="1"/>
    <xf numFmtId="1" fontId="3" fillId="13" borderId="1" xfId="1" applyNumberFormat="1" applyFont="1" applyFill="1" applyBorder="1"/>
    <xf numFmtId="1" fontId="6" fillId="13" borderId="1" xfId="1" applyNumberFormat="1" applyFont="1" applyFill="1" applyBorder="1"/>
    <xf numFmtId="165" fontId="6" fillId="13" borderId="1" xfId="1" applyNumberFormat="1" applyFont="1" applyFill="1" applyBorder="1"/>
    <xf numFmtId="165" fontId="7" fillId="13" borderId="1" xfId="1" applyNumberFormat="1" applyFont="1" applyFill="1" applyBorder="1"/>
    <xf numFmtId="0" fontId="3" fillId="13" borderId="1" xfId="1" applyFont="1" applyFill="1" applyBorder="1"/>
    <xf numFmtId="1" fontId="1" fillId="13" borderId="1" xfId="1" applyNumberFormat="1" applyFont="1" applyFill="1" applyBorder="1"/>
    <xf numFmtId="2" fontId="2" fillId="14" borderId="1" xfId="1" applyNumberFormat="1" applyFont="1" applyFill="1" applyBorder="1" applyAlignment="1">
      <alignment horizontal="center" vertical="center"/>
    </xf>
    <xf numFmtId="2" fontId="2" fillId="14" borderId="1" xfId="1" applyNumberFormat="1" applyFont="1" applyFill="1" applyBorder="1"/>
    <xf numFmtId="1" fontId="1" fillId="14" borderId="1" xfId="1" applyNumberFormat="1" applyFont="1" applyFill="1" applyBorder="1"/>
    <xf numFmtId="164" fontId="1" fillId="14" borderId="1" xfId="1" applyNumberFormat="1" applyFont="1" applyFill="1" applyBorder="1"/>
    <xf numFmtId="1" fontId="2" fillId="14" borderId="1" xfId="1" applyNumberFormat="1" applyFont="1" applyFill="1" applyBorder="1"/>
    <xf numFmtId="1" fontId="4" fillId="14" borderId="1" xfId="1" applyNumberFormat="1" applyFont="1" applyFill="1" applyBorder="1"/>
    <xf numFmtId="1" fontId="3" fillId="14" borderId="1" xfId="1" applyNumberFormat="1" applyFont="1" applyFill="1" applyBorder="1"/>
    <xf numFmtId="1" fontId="5" fillId="14" borderId="1" xfId="1" applyNumberFormat="1" applyFont="1" applyFill="1" applyBorder="1"/>
    <xf numFmtId="165" fontId="1" fillId="14" borderId="1" xfId="1" applyNumberFormat="1" applyFont="1" applyFill="1" applyBorder="1"/>
    <xf numFmtId="164" fontId="4" fillId="14" borderId="1" xfId="1" applyNumberFormat="1" applyFont="1" applyFill="1" applyBorder="1"/>
    <xf numFmtId="164" fontId="3" fillId="14" borderId="1" xfId="1" applyNumberFormat="1" applyFont="1" applyFill="1" applyBorder="1"/>
    <xf numFmtId="164" fontId="2" fillId="14" borderId="1" xfId="1" applyNumberFormat="1" applyFont="1" applyFill="1" applyBorder="1"/>
    <xf numFmtId="2" fontId="16" fillId="14" borderId="1" xfId="1" applyNumberFormat="1" applyFont="1" applyFill="1" applyBorder="1"/>
    <xf numFmtId="2" fontId="3" fillId="14" borderId="1" xfId="1" applyNumberFormat="1" applyFont="1" applyFill="1" applyBorder="1"/>
    <xf numFmtId="2" fontId="4" fillId="14" borderId="1" xfId="1" applyNumberFormat="1" applyFont="1" applyFill="1" applyBorder="1"/>
    <xf numFmtId="2" fontId="1" fillId="14" borderId="1" xfId="1" applyNumberFormat="1" applyFont="1" applyFill="1" applyBorder="1"/>
    <xf numFmtId="165" fontId="3" fillId="14" borderId="1" xfId="1" applyNumberFormat="1" applyFont="1" applyFill="1" applyBorder="1"/>
    <xf numFmtId="165" fontId="4" fillId="14" borderId="1" xfId="1" applyNumberFormat="1" applyFont="1" applyFill="1" applyBorder="1"/>
    <xf numFmtId="166" fontId="3" fillId="14" borderId="1" xfId="1" applyNumberFormat="1" applyFont="1" applyFill="1" applyBorder="1"/>
    <xf numFmtId="166" fontId="4" fillId="14" borderId="1" xfId="1" applyNumberFormat="1" applyFont="1" applyFill="1" applyBorder="1"/>
    <xf numFmtId="1" fontId="6" fillId="14" borderId="1" xfId="1" applyNumberFormat="1" applyFont="1" applyFill="1" applyBorder="1"/>
    <xf numFmtId="165" fontId="6" fillId="14" borderId="1" xfId="1" applyNumberFormat="1" applyFont="1" applyFill="1" applyBorder="1"/>
    <xf numFmtId="165" fontId="7" fillId="14" borderId="1" xfId="1" applyNumberFormat="1" applyFont="1" applyFill="1" applyBorder="1"/>
    <xf numFmtId="2" fontId="2" fillId="15" borderId="1" xfId="1" applyNumberFormat="1" applyFont="1" applyFill="1" applyBorder="1" applyAlignment="1">
      <alignment horizontal="center" vertical="center"/>
    </xf>
    <xf numFmtId="2" fontId="2" fillId="15" borderId="1" xfId="1" applyNumberFormat="1" applyFont="1" applyFill="1" applyBorder="1"/>
    <xf numFmtId="1" fontId="1" fillId="15" borderId="1" xfId="1" applyNumberFormat="1" applyFont="1" applyFill="1" applyBorder="1"/>
    <xf numFmtId="164" fontId="1" fillId="15" borderId="1" xfId="1" applyNumberFormat="1" applyFont="1" applyFill="1" applyBorder="1"/>
    <xf numFmtId="1" fontId="2" fillId="15" borderId="1" xfId="1" applyNumberFormat="1" applyFont="1" applyFill="1" applyBorder="1"/>
    <xf numFmtId="1" fontId="3" fillId="15" borderId="1" xfId="1" applyNumberFormat="1" applyFont="1" applyFill="1" applyBorder="1"/>
    <xf numFmtId="1" fontId="4" fillId="15" borderId="1" xfId="1" applyNumberFormat="1" applyFont="1" applyFill="1" applyBorder="1"/>
    <xf numFmtId="2" fontId="4" fillId="15" borderId="1" xfId="1" applyNumberFormat="1" applyFont="1" applyFill="1" applyBorder="1"/>
    <xf numFmtId="2" fontId="3" fillId="15" borderId="1" xfId="1" applyNumberFormat="1" applyFont="1" applyFill="1" applyBorder="1"/>
    <xf numFmtId="1" fontId="5" fillId="15" borderId="1" xfId="1" applyNumberFormat="1" applyFont="1" applyFill="1" applyBorder="1"/>
    <xf numFmtId="165" fontId="1" fillId="15" borderId="1" xfId="1" applyNumberFormat="1" applyFont="1" applyFill="1" applyBorder="1"/>
    <xf numFmtId="164" fontId="4" fillId="15" borderId="1" xfId="1" applyNumberFormat="1" applyFont="1" applyFill="1" applyBorder="1"/>
    <xf numFmtId="164" fontId="3" fillId="15" borderId="1" xfId="1" applyNumberFormat="1" applyFont="1" applyFill="1" applyBorder="1"/>
    <xf numFmtId="164" fontId="2" fillId="15" borderId="1" xfId="1" applyNumberFormat="1" applyFont="1" applyFill="1" applyBorder="1"/>
    <xf numFmtId="2" fontId="1" fillId="15" borderId="1" xfId="1" applyNumberFormat="1" applyFont="1" applyFill="1" applyBorder="1"/>
    <xf numFmtId="165" fontId="3" fillId="15" borderId="1" xfId="1" applyNumberFormat="1" applyFont="1" applyFill="1" applyBorder="1"/>
    <xf numFmtId="165" fontId="4" fillId="15" borderId="1" xfId="1" applyNumberFormat="1" applyFont="1" applyFill="1" applyBorder="1"/>
    <xf numFmtId="167" fontId="1" fillId="15" borderId="2" xfId="1" applyNumberFormat="1" applyFont="1" applyFill="1" applyBorder="1"/>
    <xf numFmtId="1" fontId="6" fillId="15" borderId="1" xfId="1" applyNumberFormat="1" applyFont="1" applyFill="1" applyBorder="1"/>
    <xf numFmtId="165" fontId="6" fillId="15" borderId="1" xfId="1" applyNumberFormat="1" applyFont="1" applyFill="1" applyBorder="1"/>
    <xf numFmtId="165" fontId="7" fillId="15" borderId="1" xfId="1" applyNumberFormat="1" applyFont="1" applyFill="1" applyBorder="1"/>
    <xf numFmtId="10" fontId="3" fillId="15" borderId="1" xfId="1" applyNumberFormat="1" applyFont="1" applyFill="1" applyBorder="1"/>
    <xf numFmtId="10" fontId="1" fillId="15" borderId="1" xfId="1" applyNumberFormat="1" applyFont="1" applyFill="1" applyBorder="1"/>
    <xf numFmtId="10" fontId="4" fillId="15" borderId="1" xfId="1" applyNumberFormat="1" applyFont="1" applyFill="1" applyBorder="1"/>
    <xf numFmtId="164" fontId="8" fillId="6" borderId="1" xfId="1" applyNumberFormat="1" applyFont="1" applyFill="1" applyBorder="1"/>
    <xf numFmtId="165" fontId="1" fillId="0" borderId="1" xfId="1" applyNumberFormat="1" applyFont="1" applyFill="1" applyBorder="1" applyAlignment="1"/>
    <xf numFmtId="2" fontId="1" fillId="0" borderId="1" xfId="1" applyNumberFormat="1" applyFont="1" applyFill="1" applyBorder="1" applyAlignme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1FB714"/>
      <rgbColor rgb="000000FF"/>
      <rgbColor rgb="00FFFF00"/>
      <rgbColor rgb="00D19392"/>
      <rgbColor rgb="009DE2FF"/>
      <rgbColor rgb="00800000"/>
      <rgbColor rgb="00008000"/>
      <rgbColor rgb="00000090"/>
      <rgbColor rgb="008BAD44"/>
      <rgbColor rgb="00DD2D32"/>
      <rgbColor rgb="003F80CD"/>
      <rgbColor rgb="00C0C0C0"/>
      <rgbColor rgb="00808080"/>
      <rgbColor rgb="0091A8CE"/>
      <rgbColor rgb="00B43936"/>
      <rgbColor rgb="00DCFFA0"/>
      <rgbColor rgb="00CCFFFF"/>
      <rgbColor rgb="00F59240"/>
      <rgbColor rgb="00FF9A99"/>
      <rgbColor rgb="003870B1"/>
      <rgbColor rgb="00C5B3E2"/>
      <rgbColor rgb="00FAA1A0"/>
      <rgbColor rgb="00F28225"/>
      <rgbColor rgb="00B1CA94"/>
      <rgbColor rgb="009BC1FF"/>
      <rgbColor rgb="00DB8238"/>
      <rgbColor rgb="00DD0806"/>
      <rgbColor rgb="004A7EBB"/>
      <rgbColor rgb="00A2BFF8"/>
      <rgbColor rgb="0000CCFF"/>
      <rgbColor rgb="00D4F4A6"/>
      <rgbColor rgb="00CCFFCC"/>
      <rgbColor rgb="00FFFF99"/>
      <rgbColor rgb="0099CCFF"/>
      <rgbColor rgb="00FF99CC"/>
      <rgbColor rgb="00CC99FF"/>
      <rgbColor rgb="00FFCC99"/>
      <rgbColor rgb="003366FF"/>
      <rgbColor rgb="0046AAC4"/>
      <rgbColor rgb="00A0CA4A"/>
      <rgbColor rgb="00FFB885"/>
      <rgbColor rgb="00FF9900"/>
      <rgbColor rgb="00FF6600"/>
      <rgbColor rgb="007D5FA0"/>
      <rgbColor rgb="00969696"/>
      <rgbColor rgb="0098B855"/>
      <rgbColor rgb="00339EBD"/>
      <rgbColor rgb="00B7B7B7"/>
      <rgbColor rgb="00878787"/>
      <rgbColor rgb="00D1403C"/>
      <rgbColor rgb="00BE4B48"/>
      <rgbColor rgb="0070519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634113663582413"/>
          <c:w val="0.65647002257293552"/>
          <c:h val="0.487803788786080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AP'!$E$4:$E$16</c:f>
              <c:numCache>
                <c:formatCode>0</c:formatCode>
                <c:ptCount val="13"/>
                <c:pt idx="0">
                  <c:v>620</c:v>
                </c:pt>
                <c:pt idx="1">
                  <c:v>1305</c:v>
                </c:pt>
                <c:pt idx="2">
                  <c:v>980</c:v>
                </c:pt>
                <c:pt idx="3">
                  <c:v>445</c:v>
                </c:pt>
                <c:pt idx="4">
                  <c:v>770</c:v>
                </c:pt>
                <c:pt idx="5">
                  <c:v>575</c:v>
                </c:pt>
                <c:pt idx="6">
                  <c:v>400</c:v>
                </c:pt>
                <c:pt idx="7">
                  <c:v>650</c:v>
                </c:pt>
                <c:pt idx="8">
                  <c:v>1200</c:v>
                </c:pt>
                <c:pt idx="9">
                  <c:v>1070</c:v>
                </c:pt>
                <c:pt idx="10">
                  <c:v>1500</c:v>
                </c:pt>
                <c:pt idx="11">
                  <c:v>1720</c:v>
                </c:pt>
                <c:pt idx="12">
                  <c:v>1700</c:v>
                </c:pt>
              </c:numCache>
            </c:numRef>
          </c:xVal>
          <c:yVal>
            <c:numRef>
              <c:f>'double AP'!$Z$4:$Z$16</c:f>
              <c:numCache>
                <c:formatCode>0.0</c:formatCode>
                <c:ptCount val="13"/>
                <c:pt idx="0">
                  <c:v>55.349999999999994</c:v>
                </c:pt>
                <c:pt idx="1">
                  <c:v>64.400000000000006</c:v>
                </c:pt>
                <c:pt idx="2">
                  <c:v>47.1</c:v>
                </c:pt>
                <c:pt idx="3">
                  <c:v>53.3</c:v>
                </c:pt>
                <c:pt idx="4">
                  <c:v>36.25</c:v>
                </c:pt>
                <c:pt idx="5">
                  <c:v>45</c:v>
                </c:pt>
                <c:pt idx="6">
                  <c:v>42.85</c:v>
                </c:pt>
                <c:pt idx="7">
                  <c:v>53.5</c:v>
                </c:pt>
                <c:pt idx="8">
                  <c:v>52.05</c:v>
                </c:pt>
                <c:pt idx="9">
                  <c:v>48.849999999999994</c:v>
                </c:pt>
                <c:pt idx="10">
                  <c:v>52.55</c:v>
                </c:pt>
                <c:pt idx="11">
                  <c:v>51.95</c:v>
                </c:pt>
                <c:pt idx="12">
                  <c:v>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C-6542-83C1-2CF3C8DBC43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54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8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AP'!$E$17</c:f>
              <c:numCache>
                <c:formatCode>0</c:formatCode>
                <c:ptCount val="1"/>
                <c:pt idx="0">
                  <c:v>980</c:v>
                </c:pt>
              </c:numCache>
            </c:numRef>
          </c:xVal>
          <c:yVal>
            <c:numRef>
              <c:f>'double AP'!$Z$17</c:f>
              <c:numCache>
                <c:formatCode>0.0</c:formatCode>
                <c:ptCount val="1"/>
                <c:pt idx="0">
                  <c:v>52.05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C-6542-83C1-2CF3C8DB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04368"/>
        <c:axId val="1"/>
      </c:scatterChart>
      <c:valAx>
        <c:axId val="700604368"/>
        <c:scaling>
          <c:orientation val="minMax"/>
          <c:max val="2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2681006337622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6584885730747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604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350710900474"/>
          <c:y val="0.13253021793978989"/>
          <c:w val="0.83886255924170616"/>
          <c:h val="0.644578787252614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AP'!$E$37:$E$50</c:f>
              <c:numCache>
                <c:formatCode>0</c:formatCode>
                <c:ptCount val="14"/>
                <c:pt idx="0">
                  <c:v>700</c:v>
                </c:pt>
                <c:pt idx="1">
                  <c:v>300</c:v>
                </c:pt>
                <c:pt idx="2">
                  <c:v>400</c:v>
                </c:pt>
                <c:pt idx="3">
                  <c:v>750</c:v>
                </c:pt>
                <c:pt idx="4">
                  <c:v>1000</c:v>
                </c:pt>
                <c:pt idx="5">
                  <c:v>400</c:v>
                </c:pt>
                <c:pt idx="6">
                  <c:v>800</c:v>
                </c:pt>
                <c:pt idx="7">
                  <c:v>300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290</c:v>
                </c:pt>
                <c:pt idx="12">
                  <c:v>1035</c:v>
                </c:pt>
                <c:pt idx="13">
                  <c:v>1212</c:v>
                </c:pt>
              </c:numCache>
            </c:numRef>
          </c:xVal>
          <c:yVal>
            <c:numRef>
              <c:f>'double AP'!$Z$37:$Z$50</c:f>
              <c:numCache>
                <c:formatCode>0.0</c:formatCode>
                <c:ptCount val="14"/>
                <c:pt idx="0">
                  <c:v>72.7</c:v>
                </c:pt>
                <c:pt idx="1">
                  <c:v>47.45</c:v>
                </c:pt>
                <c:pt idx="2">
                  <c:v>51.400000000000006</c:v>
                </c:pt>
                <c:pt idx="3">
                  <c:v>64.050000000000011</c:v>
                </c:pt>
                <c:pt idx="4">
                  <c:v>77.724999999999994</c:v>
                </c:pt>
                <c:pt idx="5">
                  <c:v>61.25</c:v>
                </c:pt>
                <c:pt idx="6">
                  <c:v>84.85</c:v>
                </c:pt>
                <c:pt idx="7">
                  <c:v>54.95</c:v>
                </c:pt>
                <c:pt idx="8">
                  <c:v>59.7</c:v>
                </c:pt>
                <c:pt idx="9">
                  <c:v>78.400000000000006</c:v>
                </c:pt>
                <c:pt idx="10">
                  <c:v>73.849999999999994</c:v>
                </c:pt>
                <c:pt idx="11">
                  <c:v>60.1</c:v>
                </c:pt>
                <c:pt idx="12">
                  <c:v>96.550000000000011</c:v>
                </c:pt>
                <c:pt idx="13">
                  <c:v>84.15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D048-A00A-8947B5FA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92992"/>
        <c:axId val="1"/>
      </c:scatterChart>
      <c:valAx>
        <c:axId val="697792992"/>
        <c:scaling>
          <c:orientation val="minMax"/>
          <c:max val="2000"/>
        </c:scaling>
        <c:delete val="0"/>
        <c:axPos val="b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numFmt formatCode="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numFmt formatCode="0.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792992"/>
        <c:crossesAt val="0"/>
        <c:crossBetween val="midCat"/>
        <c:majorUnit val="10"/>
        <c:min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Mean Nearest Neighbour - A-P injections </a:t>
            </a:r>
          </a:p>
        </c:rich>
      </c:tx>
      <c:layout>
        <c:manualLayout>
          <c:xMode val="edge"/>
          <c:yMode val="edge"/>
          <c:x val="0.2576834012769680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3498843072895355"/>
          <c:y val="0.43362925545590658"/>
          <c:w val="0.31442098525516748"/>
          <c:h val="0.2212394160489319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542"/>
            <c:spPr>
              <a:ln w="12700">
                <a:solidFill>
                  <a:srgbClr val="8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7.88"/>
            <c:spPr>
              <a:ln w="12700">
                <a:solidFill>
                  <a:srgbClr val="800000"/>
                </a:solidFill>
                <a:prstDash val="solid"/>
              </a:ln>
            </c:spPr>
          </c:errBars>
          <c:xVal>
            <c:numRef>
              <c:f>'double AP'!$E$17</c:f>
              <c:numCache>
                <c:formatCode>0</c:formatCode>
                <c:ptCount val="1"/>
                <c:pt idx="0">
                  <c:v>980</c:v>
                </c:pt>
              </c:numCache>
            </c:numRef>
          </c:xVal>
          <c:yVal>
            <c:numRef>
              <c:f>'double AP'!$Z$17</c:f>
              <c:numCache>
                <c:formatCode>0.0</c:formatCode>
                <c:ptCount val="1"/>
                <c:pt idx="0">
                  <c:v>52.05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4-4443-9008-903EE349531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438"/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3.8"/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xVal>
            <c:numRef>
              <c:f>'double AP'!$E$36</c:f>
              <c:numCache>
                <c:formatCode>0</c:formatCode>
                <c:ptCount val="1"/>
                <c:pt idx="0">
                  <c:v>790</c:v>
                </c:pt>
              </c:numCache>
            </c:numRef>
          </c:xVal>
          <c:yVal>
            <c:numRef>
              <c:f>'double AP'!$Z$36</c:f>
              <c:numCache>
                <c:formatCode>0.0</c:formatCode>
                <c:ptCount val="1"/>
                <c:pt idx="0">
                  <c:v>55.599999999999994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4-4443-9008-903EE349531E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298"/>
            <c:spPr>
              <a:ln w="12700">
                <a:solidFill>
                  <a:srgbClr val="FF66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4.3"/>
            <c:spPr>
              <a:ln w="12700">
                <a:solidFill>
                  <a:srgbClr val="FF6600"/>
                </a:solidFill>
                <a:prstDash val="solid"/>
              </a:ln>
            </c:spPr>
          </c:errBars>
          <c:xVal>
            <c:numRef>
              <c:f>'double AP'!$E$51</c:f>
              <c:numCache>
                <c:formatCode>0</c:formatCode>
                <c:ptCount val="1"/>
                <c:pt idx="0">
                  <c:v>700</c:v>
                </c:pt>
              </c:numCache>
            </c:numRef>
          </c:xVal>
          <c:yVal>
            <c:numRef>
              <c:f>'double AP'!$Z$51</c:f>
              <c:numCache>
                <c:formatCode>0.0</c:formatCode>
                <c:ptCount val="1"/>
                <c:pt idx="0">
                  <c:v>68.375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44-4443-9008-903EE349531E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124"/>
            <c:spPr>
              <a:ln w="12700">
                <a:solidFill>
                  <a:srgbClr val="FFFF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2"/>
            <c:spPr>
              <a:ln w="12700">
                <a:solidFill>
                  <a:srgbClr val="FFFF00"/>
                </a:solidFill>
                <a:prstDash val="solid"/>
              </a:ln>
            </c:spPr>
          </c:errBars>
          <c:xVal>
            <c:numRef>
              <c:f>'double AP'!$E$72</c:f>
              <c:numCache>
                <c:formatCode>0</c:formatCode>
                <c:ptCount val="1"/>
                <c:pt idx="0">
                  <c:v>207</c:v>
                </c:pt>
              </c:numCache>
            </c:numRef>
          </c:xVal>
          <c:yVal>
            <c:numRef>
              <c:f>'double AP'!$Z$72</c:f>
              <c:numCache>
                <c:formatCode>0.0</c:formatCode>
                <c:ptCount val="1"/>
                <c:pt idx="0">
                  <c:v>76.375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44-4443-9008-903EE349531E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147"/>
            <c:spPr>
              <a:ln w="12700">
                <a:solidFill>
                  <a:srgbClr val="CCFFCC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5"/>
            <c:spPr>
              <a:ln w="12700">
                <a:solidFill>
                  <a:srgbClr val="CCFFCC"/>
                </a:solidFill>
                <a:prstDash val="solid"/>
              </a:ln>
            </c:spPr>
          </c:errBars>
          <c:xVal>
            <c:numRef>
              <c:f>'double AP'!$E$99</c:f>
              <c:numCache>
                <c:formatCode>0</c:formatCode>
                <c:ptCount val="1"/>
                <c:pt idx="0">
                  <c:v>190</c:v>
                </c:pt>
              </c:numCache>
            </c:numRef>
          </c:xVal>
          <c:yVal>
            <c:numRef>
              <c:f>'double AP'!$Z$99</c:f>
              <c:numCache>
                <c:formatCode>0.0</c:formatCode>
                <c:ptCount val="1"/>
                <c:pt idx="0">
                  <c:v>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44-4443-9008-903EE349531E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91"/>
            <c:spPr>
              <a:ln w="12700">
                <a:solidFill>
                  <a:srgbClr val="008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9"/>
            <c:spPr>
              <a:ln w="12700">
                <a:solidFill>
                  <a:srgbClr val="008000"/>
                </a:solidFill>
                <a:prstDash val="solid"/>
              </a:ln>
            </c:spPr>
          </c:errBars>
          <c:xVal>
            <c:numRef>
              <c:f>'double AP'!$E$118</c:f>
              <c:numCache>
                <c:formatCode>0</c:formatCode>
                <c:ptCount val="1"/>
                <c:pt idx="0">
                  <c:v>220</c:v>
                </c:pt>
              </c:numCache>
            </c:numRef>
          </c:xVal>
          <c:yVal>
            <c:numRef>
              <c:f>'double AP'!$Z$118</c:f>
              <c:numCache>
                <c:formatCode>0.0</c:formatCode>
                <c:ptCount val="1"/>
                <c:pt idx="0">
                  <c:v>90.05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44-4443-9008-903EE349531E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36"/>
            <c:spPr>
              <a:ln w="12700">
                <a:solidFill>
                  <a:srgbClr val="3366FF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4.5"/>
            <c:spPr>
              <a:ln w="12700">
                <a:solidFill>
                  <a:srgbClr val="3366FF"/>
                </a:solidFill>
                <a:prstDash val="solid"/>
              </a:ln>
            </c:spPr>
          </c:errBars>
          <c:xVal>
            <c:numRef>
              <c:f>'double AP'!$E$132</c:f>
              <c:numCache>
                <c:formatCode>0</c:formatCode>
                <c:ptCount val="1"/>
                <c:pt idx="0">
                  <c:v>155</c:v>
                </c:pt>
              </c:numCache>
            </c:numRef>
          </c:xVal>
          <c:yVal>
            <c:numRef>
              <c:f>'double AP'!$Z$132</c:f>
              <c:numCache>
                <c:formatCode>0.0</c:formatCode>
                <c:ptCount val="1"/>
                <c:pt idx="0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44-4443-9008-903EE349531E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42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7.25"/>
            <c:spPr>
              <a:ln w="12700">
                <a:solidFill>
                  <a:srgbClr val="0000FF"/>
                </a:solidFill>
                <a:prstDash val="solid"/>
              </a:ln>
            </c:spPr>
          </c:errBars>
          <c:xVal>
            <c:numRef>
              <c:f>'double AP'!$E$147</c:f>
              <c:numCache>
                <c:formatCode>0</c:formatCode>
                <c:ptCount val="1"/>
                <c:pt idx="0">
                  <c:v>110</c:v>
                </c:pt>
              </c:numCache>
            </c:numRef>
          </c:xVal>
          <c:yVal>
            <c:numRef>
              <c:f>'double AP'!$Z$147</c:f>
              <c:numCache>
                <c:formatCode>0.0</c:formatCode>
                <c:ptCount val="1"/>
                <c:pt idx="0">
                  <c:v>70.349999999999994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44-4443-9008-903EE349531E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186"/>
            <c:spPr>
              <a:ln w="12700">
                <a:solidFill>
                  <a:srgbClr val="00009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7.25"/>
            <c:spPr>
              <a:ln w="12700">
                <a:solidFill>
                  <a:srgbClr val="000090"/>
                </a:solidFill>
                <a:prstDash val="solid"/>
              </a:ln>
            </c:spPr>
          </c:errBars>
          <c:xVal>
            <c:numRef>
              <c:f>'double AP'!$E$170</c:f>
              <c:numCache>
                <c:formatCode>0</c:formatCode>
                <c:ptCount val="1"/>
                <c:pt idx="0">
                  <c:v>140</c:v>
                </c:pt>
              </c:numCache>
            </c:numRef>
          </c:xVal>
          <c:yVal>
            <c:numRef>
              <c:f>'double AP'!$Z$170</c:f>
              <c:numCache>
                <c:formatCode>0.0</c:formatCode>
                <c:ptCount val="1"/>
                <c:pt idx="0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44-4443-9008-903EE349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76976"/>
        <c:axId val="1"/>
      </c:scatterChart>
      <c:valAx>
        <c:axId val="700476976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47990562349919025"/>
              <c:y val="0.831860149118528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25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0.18439734926751178"/>
              <c:y val="0.469027593895895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476976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179724874816179"/>
          <c:y val="0.33628388265626086"/>
          <c:w val="9.9290780141844004E-2"/>
          <c:h val="0.522124939028639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age-weight</a:t>
            </a:r>
          </a:p>
        </c:rich>
      </c:tx>
      <c:layout>
        <c:manualLayout>
          <c:xMode val="edge"/>
          <c:yMode val="edge"/>
          <c:x val="0.39108918393569003"/>
          <c:y val="3.2608695652173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534653465346534"/>
          <c:y val="0.23913001172934406"/>
          <c:w val="0.74009900990099009"/>
          <c:h val="0.550723663376671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AP'!$C$4:$C$146</c:f>
              <c:numCache>
                <c:formatCode>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</c:numCache>
            </c:numRef>
          </c:xVal>
          <c:yVal>
            <c:numRef>
              <c:f>'double AP'!$D$4:$D$146</c:f>
              <c:numCache>
                <c:formatCode>0.0</c:formatCode>
                <c:ptCount val="14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1.7000000000000002</c:v>
                </c:pt>
                <c:pt idx="9">
                  <c:v>1.4</c:v>
                </c:pt>
                <c:pt idx="10">
                  <c:v>1.4</c:v>
                </c:pt>
                <c:pt idx="11">
                  <c:v>1.3</c:v>
                </c:pt>
                <c:pt idx="12">
                  <c:v>1.2</c:v>
                </c:pt>
                <c:pt idx="13">
                  <c:v>1.4000000000000001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1.2</c:v>
                </c:pt>
                <c:pt idx="18">
                  <c:v>1.4</c:v>
                </c:pt>
                <c:pt idx="19">
                  <c:v>1.5</c:v>
                </c:pt>
                <c:pt idx="20">
                  <c:v>1.6</c:v>
                </c:pt>
                <c:pt idx="21">
                  <c:v>1.7000000000000002</c:v>
                </c:pt>
                <c:pt idx="22">
                  <c:v>1.7000000000000002</c:v>
                </c:pt>
                <c:pt idx="23">
                  <c:v>1.7000000000000002</c:v>
                </c:pt>
                <c:pt idx="24">
                  <c:v>1.8</c:v>
                </c:pt>
                <c:pt idx="25">
                  <c:v>1.7000000000000002</c:v>
                </c:pt>
                <c:pt idx="26">
                  <c:v>2.25</c:v>
                </c:pt>
                <c:pt idx="27">
                  <c:v>1.5</c:v>
                </c:pt>
                <c:pt idx="28">
                  <c:v>1.4</c:v>
                </c:pt>
                <c:pt idx="29">
                  <c:v>1.7000000000000002</c:v>
                </c:pt>
                <c:pt idx="32">
                  <c:v>1.5906249999999997</c:v>
                </c:pt>
                <c:pt idx="33">
                  <c:v>1.8</c:v>
                </c:pt>
                <c:pt idx="34">
                  <c:v>1.7000000000000002</c:v>
                </c:pt>
                <c:pt idx="35">
                  <c:v>1.6</c:v>
                </c:pt>
                <c:pt idx="36">
                  <c:v>1.5</c:v>
                </c:pt>
                <c:pt idx="37">
                  <c:v>1.7000000000000002</c:v>
                </c:pt>
                <c:pt idx="38">
                  <c:v>1.8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2.5</c:v>
                </c:pt>
                <c:pt idx="42">
                  <c:v>2.4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3.2</c:v>
                </c:pt>
                <c:pt idx="47">
                  <c:v>2.0500000000000003</c:v>
                </c:pt>
                <c:pt idx="48">
                  <c:v>2.4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</c:v>
                </c:pt>
                <c:pt idx="53">
                  <c:v>4</c:v>
                </c:pt>
                <c:pt idx="54">
                  <c:v>4.3</c:v>
                </c:pt>
                <c:pt idx="55">
                  <c:v>3.16</c:v>
                </c:pt>
                <c:pt idx="56">
                  <c:v>3.7</c:v>
                </c:pt>
                <c:pt idx="57">
                  <c:v>2.9</c:v>
                </c:pt>
                <c:pt idx="58">
                  <c:v>3</c:v>
                </c:pt>
                <c:pt idx="59">
                  <c:v>2.68</c:v>
                </c:pt>
                <c:pt idx="60">
                  <c:v>3.7</c:v>
                </c:pt>
                <c:pt idx="61">
                  <c:v>3.6</c:v>
                </c:pt>
                <c:pt idx="62">
                  <c:v>3.5</c:v>
                </c:pt>
                <c:pt idx="63">
                  <c:v>2.9</c:v>
                </c:pt>
                <c:pt idx="64">
                  <c:v>2.2000000000000002</c:v>
                </c:pt>
                <c:pt idx="68">
                  <c:v>3.467058823529412</c:v>
                </c:pt>
                <c:pt idx="69">
                  <c:v>4.99</c:v>
                </c:pt>
                <c:pt idx="70">
                  <c:v>4.2</c:v>
                </c:pt>
                <c:pt idx="71">
                  <c:v>5.6</c:v>
                </c:pt>
                <c:pt idx="72">
                  <c:v>5.3</c:v>
                </c:pt>
                <c:pt idx="73">
                  <c:v>3.3</c:v>
                </c:pt>
                <c:pt idx="74">
                  <c:v>2.6</c:v>
                </c:pt>
                <c:pt idx="75">
                  <c:v>2.6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5.2</c:v>
                </c:pt>
                <c:pt idx="80">
                  <c:v>4.8</c:v>
                </c:pt>
                <c:pt idx="81">
                  <c:v>5.5</c:v>
                </c:pt>
                <c:pt idx="82">
                  <c:v>4.3</c:v>
                </c:pt>
                <c:pt idx="83">
                  <c:v>5</c:v>
                </c:pt>
                <c:pt idx="84">
                  <c:v>5.2</c:v>
                </c:pt>
                <c:pt idx="85">
                  <c:v>4.3</c:v>
                </c:pt>
                <c:pt idx="86">
                  <c:v>5.5</c:v>
                </c:pt>
                <c:pt idx="87">
                  <c:v>5.2</c:v>
                </c:pt>
                <c:pt idx="88">
                  <c:v>5</c:v>
                </c:pt>
                <c:pt idx="89">
                  <c:v>5.8</c:v>
                </c:pt>
                <c:pt idx="90">
                  <c:v>5.6</c:v>
                </c:pt>
                <c:pt idx="91">
                  <c:v>5.7</c:v>
                </c:pt>
                <c:pt idx="95">
                  <c:v>4.4734782608695642</c:v>
                </c:pt>
                <c:pt idx="96">
                  <c:v>5.3</c:v>
                </c:pt>
                <c:pt idx="97">
                  <c:v>5.6</c:v>
                </c:pt>
                <c:pt idx="98">
                  <c:v>5.6</c:v>
                </c:pt>
                <c:pt idx="99">
                  <c:v>5.5</c:v>
                </c:pt>
                <c:pt idx="100">
                  <c:v>5.0999999999999996</c:v>
                </c:pt>
                <c:pt idx="101">
                  <c:v>5</c:v>
                </c:pt>
                <c:pt idx="102">
                  <c:v>6</c:v>
                </c:pt>
                <c:pt idx="103">
                  <c:v>4.9000000000000004</c:v>
                </c:pt>
                <c:pt idx="104">
                  <c:v>5.5</c:v>
                </c:pt>
                <c:pt idx="105">
                  <c:v>5.3</c:v>
                </c:pt>
                <c:pt idx="106">
                  <c:v>6.5</c:v>
                </c:pt>
                <c:pt idx="107">
                  <c:v>6.6</c:v>
                </c:pt>
                <c:pt idx="108">
                  <c:v>5.5</c:v>
                </c:pt>
                <c:pt idx="109">
                  <c:v>5.8</c:v>
                </c:pt>
                <c:pt idx="110">
                  <c:v>5.8</c:v>
                </c:pt>
                <c:pt idx="111">
                  <c:v>6.4</c:v>
                </c:pt>
                <c:pt idx="112">
                  <c:v>5.7</c:v>
                </c:pt>
                <c:pt idx="113">
                  <c:v>6</c:v>
                </c:pt>
                <c:pt idx="114">
                  <c:v>5.6722222222222216</c:v>
                </c:pt>
                <c:pt idx="115">
                  <c:v>8.1</c:v>
                </c:pt>
                <c:pt idx="116">
                  <c:v>7.5</c:v>
                </c:pt>
                <c:pt idx="117">
                  <c:v>8.4</c:v>
                </c:pt>
                <c:pt idx="118">
                  <c:v>7.6</c:v>
                </c:pt>
                <c:pt idx="119">
                  <c:v>6.7</c:v>
                </c:pt>
                <c:pt idx="128">
                  <c:v>7.660000000000001</c:v>
                </c:pt>
                <c:pt idx="129">
                  <c:v>7</c:v>
                </c:pt>
                <c:pt idx="130">
                  <c:v>5.8</c:v>
                </c:pt>
                <c:pt idx="131">
                  <c:v>5.4</c:v>
                </c:pt>
                <c:pt idx="132">
                  <c:v>5.8</c:v>
                </c:pt>
                <c:pt idx="133">
                  <c:v>8.1199999999999992</c:v>
                </c:pt>
                <c:pt idx="13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E-2640-B83B-5F5951346D1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ML'!$C$4:$C$88</c:f>
              <c:numCache>
                <c:formatCode>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</c:numCache>
            </c:numRef>
          </c:xVal>
          <c:yVal>
            <c:numRef>
              <c:f>'double ML'!$D$4:$D$88</c:f>
              <c:numCache>
                <c:formatCode>0.0</c:formatCode>
                <c:ptCount val="85"/>
                <c:pt idx="0">
                  <c:v>1.6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13">
                  <c:v>1.3375000000000001</c:v>
                </c:pt>
                <c:pt idx="30">
                  <c:v>1.9</c:v>
                </c:pt>
                <c:pt idx="31">
                  <c:v>1.8</c:v>
                </c:pt>
                <c:pt idx="32">
                  <c:v>1.85</c:v>
                </c:pt>
                <c:pt idx="34">
                  <c:v>2.7</c:v>
                </c:pt>
                <c:pt idx="35">
                  <c:v>2.5</c:v>
                </c:pt>
                <c:pt idx="36">
                  <c:v>3.87</c:v>
                </c:pt>
                <c:pt idx="37">
                  <c:v>3.32</c:v>
                </c:pt>
                <c:pt idx="38">
                  <c:v>3.82</c:v>
                </c:pt>
                <c:pt idx="45">
                  <c:v>3.242</c:v>
                </c:pt>
                <c:pt idx="46">
                  <c:v>3.6</c:v>
                </c:pt>
                <c:pt idx="47">
                  <c:v>3.9</c:v>
                </c:pt>
                <c:pt idx="48">
                  <c:v>4</c:v>
                </c:pt>
                <c:pt idx="49">
                  <c:v>3.5</c:v>
                </c:pt>
                <c:pt idx="50">
                  <c:v>4</c:v>
                </c:pt>
                <c:pt idx="59">
                  <c:v>3.8</c:v>
                </c:pt>
                <c:pt idx="60">
                  <c:v>6.4</c:v>
                </c:pt>
                <c:pt idx="61">
                  <c:v>6.7</c:v>
                </c:pt>
                <c:pt idx="62">
                  <c:v>5.8</c:v>
                </c:pt>
                <c:pt idx="63">
                  <c:v>6.7</c:v>
                </c:pt>
                <c:pt idx="64">
                  <c:v>6.7</c:v>
                </c:pt>
                <c:pt idx="65">
                  <c:v>6</c:v>
                </c:pt>
                <c:pt idx="73">
                  <c:v>6.3833333333333337</c:v>
                </c:pt>
                <c:pt idx="74">
                  <c:v>7.1</c:v>
                </c:pt>
                <c:pt idx="75">
                  <c:v>10.4</c:v>
                </c:pt>
                <c:pt idx="76">
                  <c:v>9.6</c:v>
                </c:pt>
                <c:pt idx="77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E-2640-B83B-5F5951346D1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single!$C$4:$C$38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6">
                  <c:v>8</c:v>
                </c:pt>
                <c:pt idx="17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</c:numCache>
            </c:numRef>
          </c:xVal>
          <c:yVal>
            <c:numRef>
              <c:f>single!$D$4:$D$38</c:f>
              <c:numCache>
                <c:formatCode>0.0</c:formatCode>
                <c:ptCount val="35"/>
                <c:pt idx="0">
                  <c:v>1.4</c:v>
                </c:pt>
                <c:pt idx="1">
                  <c:v>1.3</c:v>
                </c:pt>
                <c:pt idx="2">
                  <c:v>1.3</c:v>
                </c:pt>
                <c:pt idx="3">
                  <c:v>1.3333333333333333</c:v>
                </c:pt>
                <c:pt idx="4">
                  <c:v>1.85</c:v>
                </c:pt>
                <c:pt idx="5">
                  <c:v>2</c:v>
                </c:pt>
                <c:pt idx="6">
                  <c:v>1.4</c:v>
                </c:pt>
                <c:pt idx="7">
                  <c:v>1.7000000000000002</c:v>
                </c:pt>
                <c:pt idx="8">
                  <c:v>1.7375</c:v>
                </c:pt>
                <c:pt idx="9">
                  <c:v>1.6</c:v>
                </c:pt>
                <c:pt idx="11">
                  <c:v>1.6</c:v>
                </c:pt>
                <c:pt idx="12">
                  <c:v>3</c:v>
                </c:pt>
                <c:pt idx="13">
                  <c:v>3.1</c:v>
                </c:pt>
                <c:pt idx="14">
                  <c:v>4</c:v>
                </c:pt>
                <c:pt idx="15">
                  <c:v>3.3666666666666667</c:v>
                </c:pt>
                <c:pt idx="19">
                  <c:v>5.2</c:v>
                </c:pt>
                <c:pt idx="20">
                  <c:v>5.7</c:v>
                </c:pt>
                <c:pt idx="22">
                  <c:v>5.45</c:v>
                </c:pt>
                <c:pt idx="27">
                  <c:v>7.2</c:v>
                </c:pt>
                <c:pt idx="28">
                  <c:v>8.3000000000000007</c:v>
                </c:pt>
                <c:pt idx="29">
                  <c:v>10.3</c:v>
                </c:pt>
                <c:pt idx="30">
                  <c:v>10</c:v>
                </c:pt>
                <c:pt idx="31">
                  <c:v>10.4</c:v>
                </c:pt>
                <c:pt idx="32">
                  <c:v>9.3000000000000007</c:v>
                </c:pt>
                <c:pt idx="33">
                  <c:v>11.4</c:v>
                </c:pt>
                <c:pt idx="34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E-2640-B83B-5F595134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41760"/>
        <c:axId val="1"/>
      </c:scatterChart>
      <c:valAx>
        <c:axId val="700841760"/>
        <c:scaling>
          <c:orientation val="minMax"/>
          <c:max val="24"/>
          <c:min val="0"/>
        </c:scaling>
        <c:delete val="0"/>
        <c:axPos val="b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 (postnatal days)</a:t>
                </a:r>
              </a:p>
            </c:rich>
          </c:tx>
          <c:layout>
            <c:manualLayout>
              <c:xMode val="edge"/>
              <c:yMode val="edge"/>
              <c:x val="0.47524758672948308"/>
              <c:y val="0.88405654456236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"/>
        <c:minorUnit val="0.5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weight (g)</a:t>
                </a:r>
              </a:p>
            </c:rich>
          </c:tx>
          <c:layout>
            <c:manualLayout>
              <c:xMode val="edge"/>
              <c:yMode val="edge"/>
              <c:x val="3.2178203143017163E-2"/>
              <c:y val="0.478260013693940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841760"/>
        <c:crossesAt val="0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weight-contour</a:t>
            </a:r>
          </a:p>
        </c:rich>
      </c:tx>
      <c:layout>
        <c:manualLayout>
          <c:xMode val="edge"/>
          <c:yMode val="edge"/>
          <c:x val="0.35308661417322834"/>
          <c:y val="3.2608695652173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39507884541308"/>
          <c:y val="0.23913001172934406"/>
          <c:w val="0.53827192941739577"/>
          <c:h val="0.499999115434083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AP'!$D$4:$D$146</c:f>
              <c:numCache>
                <c:formatCode>0.0</c:formatCode>
                <c:ptCount val="14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1.7000000000000002</c:v>
                </c:pt>
                <c:pt idx="9">
                  <c:v>1.4</c:v>
                </c:pt>
                <c:pt idx="10">
                  <c:v>1.4</c:v>
                </c:pt>
                <c:pt idx="11">
                  <c:v>1.3</c:v>
                </c:pt>
                <c:pt idx="12">
                  <c:v>1.2</c:v>
                </c:pt>
                <c:pt idx="13">
                  <c:v>1.4000000000000001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1.2</c:v>
                </c:pt>
                <c:pt idx="18">
                  <c:v>1.4</c:v>
                </c:pt>
                <c:pt idx="19">
                  <c:v>1.5</c:v>
                </c:pt>
                <c:pt idx="20">
                  <c:v>1.6</c:v>
                </c:pt>
                <c:pt idx="21">
                  <c:v>1.7000000000000002</c:v>
                </c:pt>
                <c:pt idx="22">
                  <c:v>1.7000000000000002</c:v>
                </c:pt>
                <c:pt idx="23">
                  <c:v>1.7000000000000002</c:v>
                </c:pt>
                <c:pt idx="24">
                  <c:v>1.8</c:v>
                </c:pt>
                <c:pt idx="25">
                  <c:v>1.7000000000000002</c:v>
                </c:pt>
                <c:pt idx="26">
                  <c:v>2.25</c:v>
                </c:pt>
                <c:pt idx="27">
                  <c:v>1.5</c:v>
                </c:pt>
                <c:pt idx="28">
                  <c:v>1.4</c:v>
                </c:pt>
                <c:pt idx="29">
                  <c:v>1.7000000000000002</c:v>
                </c:pt>
                <c:pt idx="32">
                  <c:v>1.5906249999999997</c:v>
                </c:pt>
                <c:pt idx="33">
                  <c:v>1.8</c:v>
                </c:pt>
                <c:pt idx="34">
                  <c:v>1.7000000000000002</c:v>
                </c:pt>
                <c:pt idx="35">
                  <c:v>1.6</c:v>
                </c:pt>
                <c:pt idx="36">
                  <c:v>1.5</c:v>
                </c:pt>
                <c:pt idx="37">
                  <c:v>1.7000000000000002</c:v>
                </c:pt>
                <c:pt idx="38">
                  <c:v>1.8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2.5</c:v>
                </c:pt>
                <c:pt idx="42">
                  <c:v>2.4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3.2</c:v>
                </c:pt>
                <c:pt idx="47">
                  <c:v>2.0500000000000003</c:v>
                </c:pt>
                <c:pt idx="48">
                  <c:v>2.4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</c:v>
                </c:pt>
                <c:pt idx="53">
                  <c:v>4</c:v>
                </c:pt>
                <c:pt idx="54">
                  <c:v>4.3</c:v>
                </c:pt>
                <c:pt idx="55">
                  <c:v>3.16</c:v>
                </c:pt>
                <c:pt idx="56">
                  <c:v>3.7</c:v>
                </c:pt>
                <c:pt idx="57">
                  <c:v>2.9</c:v>
                </c:pt>
                <c:pt idx="58">
                  <c:v>3</c:v>
                </c:pt>
                <c:pt idx="59">
                  <c:v>2.68</c:v>
                </c:pt>
                <c:pt idx="60">
                  <c:v>3.7</c:v>
                </c:pt>
                <c:pt idx="61">
                  <c:v>3.6</c:v>
                </c:pt>
                <c:pt idx="62">
                  <c:v>3.5</c:v>
                </c:pt>
                <c:pt idx="63">
                  <c:v>2.9</c:v>
                </c:pt>
                <c:pt idx="64">
                  <c:v>2.2000000000000002</c:v>
                </c:pt>
                <c:pt idx="68">
                  <c:v>3.467058823529412</c:v>
                </c:pt>
                <c:pt idx="69">
                  <c:v>4.99</c:v>
                </c:pt>
                <c:pt idx="70">
                  <c:v>4.2</c:v>
                </c:pt>
                <c:pt idx="71">
                  <c:v>5.6</c:v>
                </c:pt>
                <c:pt idx="72">
                  <c:v>5.3</c:v>
                </c:pt>
                <c:pt idx="73">
                  <c:v>3.3</c:v>
                </c:pt>
                <c:pt idx="74">
                  <c:v>2.6</c:v>
                </c:pt>
                <c:pt idx="75">
                  <c:v>2.6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5.2</c:v>
                </c:pt>
                <c:pt idx="80">
                  <c:v>4.8</c:v>
                </c:pt>
                <c:pt idx="81">
                  <c:v>5.5</c:v>
                </c:pt>
                <c:pt idx="82">
                  <c:v>4.3</c:v>
                </c:pt>
                <c:pt idx="83">
                  <c:v>5</c:v>
                </c:pt>
                <c:pt idx="84">
                  <c:v>5.2</c:v>
                </c:pt>
                <c:pt idx="85">
                  <c:v>4.3</c:v>
                </c:pt>
                <c:pt idx="86">
                  <c:v>5.5</c:v>
                </c:pt>
                <c:pt idx="87">
                  <c:v>5.2</c:v>
                </c:pt>
                <c:pt idx="88">
                  <c:v>5</c:v>
                </c:pt>
                <c:pt idx="89">
                  <c:v>5.8</c:v>
                </c:pt>
                <c:pt idx="90">
                  <c:v>5.6</c:v>
                </c:pt>
                <c:pt idx="91">
                  <c:v>5.7</c:v>
                </c:pt>
                <c:pt idx="95">
                  <c:v>4.4734782608695642</c:v>
                </c:pt>
                <c:pt idx="96">
                  <c:v>5.3</c:v>
                </c:pt>
                <c:pt idx="97">
                  <c:v>5.6</c:v>
                </c:pt>
                <c:pt idx="98">
                  <c:v>5.6</c:v>
                </c:pt>
                <c:pt idx="99">
                  <c:v>5.5</c:v>
                </c:pt>
                <c:pt idx="100">
                  <c:v>5.0999999999999996</c:v>
                </c:pt>
                <c:pt idx="101">
                  <c:v>5</c:v>
                </c:pt>
                <c:pt idx="102">
                  <c:v>6</c:v>
                </c:pt>
                <c:pt idx="103">
                  <c:v>4.9000000000000004</c:v>
                </c:pt>
                <c:pt idx="104">
                  <c:v>5.5</c:v>
                </c:pt>
                <c:pt idx="105">
                  <c:v>5.3</c:v>
                </c:pt>
                <c:pt idx="106">
                  <c:v>6.5</c:v>
                </c:pt>
                <c:pt idx="107">
                  <c:v>6.6</c:v>
                </c:pt>
                <c:pt idx="108">
                  <c:v>5.5</c:v>
                </c:pt>
                <c:pt idx="109">
                  <c:v>5.8</c:v>
                </c:pt>
                <c:pt idx="110">
                  <c:v>5.8</c:v>
                </c:pt>
                <c:pt idx="111">
                  <c:v>6.4</c:v>
                </c:pt>
                <c:pt idx="112">
                  <c:v>5.7</c:v>
                </c:pt>
                <c:pt idx="113">
                  <c:v>6</c:v>
                </c:pt>
                <c:pt idx="114">
                  <c:v>5.6722222222222216</c:v>
                </c:pt>
                <c:pt idx="115">
                  <c:v>8.1</c:v>
                </c:pt>
                <c:pt idx="116">
                  <c:v>7.5</c:v>
                </c:pt>
                <c:pt idx="117">
                  <c:v>8.4</c:v>
                </c:pt>
                <c:pt idx="118">
                  <c:v>7.6</c:v>
                </c:pt>
                <c:pt idx="119">
                  <c:v>6.7</c:v>
                </c:pt>
                <c:pt idx="128">
                  <c:v>7.660000000000001</c:v>
                </c:pt>
                <c:pt idx="129">
                  <c:v>7</c:v>
                </c:pt>
                <c:pt idx="130">
                  <c:v>5.8</c:v>
                </c:pt>
                <c:pt idx="131">
                  <c:v>5.4</c:v>
                </c:pt>
                <c:pt idx="132">
                  <c:v>5.8</c:v>
                </c:pt>
                <c:pt idx="133">
                  <c:v>8.1199999999999992</c:v>
                </c:pt>
                <c:pt idx="134">
                  <c:v>10.4</c:v>
                </c:pt>
              </c:numCache>
            </c:numRef>
          </c:xVal>
          <c:yVal>
            <c:numRef>
              <c:f>'double AP'!$AP$4:$AP$144</c:f>
              <c:numCache>
                <c:formatCode>0.0%</c:formatCode>
                <c:ptCount val="141"/>
                <c:pt idx="0">
                  <c:v>0.76459004654493379</c:v>
                </c:pt>
                <c:pt idx="1">
                  <c:v>0.90441344614680996</c:v>
                </c:pt>
                <c:pt idx="2">
                  <c:v>0.95556091139991473</c:v>
                </c:pt>
                <c:pt idx="9">
                  <c:v>0.9011029411764705</c:v>
                </c:pt>
                <c:pt idx="13">
                  <c:v>0.88141683631703227</c:v>
                </c:pt>
                <c:pt idx="14">
                  <c:v>0.9324767449641973</c:v>
                </c:pt>
                <c:pt idx="15">
                  <c:v>0.76476130985781288</c:v>
                </c:pt>
                <c:pt idx="16">
                  <c:v>0.56182347204423277</c:v>
                </c:pt>
                <c:pt idx="17">
                  <c:v>0.78542187473784875</c:v>
                </c:pt>
                <c:pt idx="18">
                  <c:v>0.96132894665875634</c:v>
                </c:pt>
                <c:pt idx="19">
                  <c:v>0.95135766630084606</c:v>
                </c:pt>
                <c:pt idx="20">
                  <c:v>0.93345823288963425</c:v>
                </c:pt>
                <c:pt idx="21">
                  <c:v>1</c:v>
                </c:pt>
                <c:pt idx="22">
                  <c:v>0.97602060716375227</c:v>
                </c:pt>
                <c:pt idx="23">
                  <c:v>0.98699881450542892</c:v>
                </c:pt>
                <c:pt idx="24">
                  <c:v>0.8102633139413753</c:v>
                </c:pt>
                <c:pt idx="25">
                  <c:v>0.97286488990625675</c:v>
                </c:pt>
                <c:pt idx="32">
                  <c:v>0.88639798941417858</c:v>
                </c:pt>
                <c:pt idx="34">
                  <c:v>0.76826999034494858</c:v>
                </c:pt>
                <c:pt idx="35">
                  <c:v>0.81565477811053633</c:v>
                </c:pt>
                <c:pt idx="36">
                  <c:v>0.95537746116552902</c:v>
                </c:pt>
                <c:pt idx="37">
                  <c:v>0.55572052401746719</c:v>
                </c:pt>
                <c:pt idx="38">
                  <c:v>0.85450984217991333</c:v>
                </c:pt>
                <c:pt idx="39">
                  <c:v>0.57205354127651742</c:v>
                </c:pt>
                <c:pt idx="40">
                  <c:v>0.72481649514957025</c:v>
                </c:pt>
                <c:pt idx="41">
                  <c:v>0.92772656943191734</c:v>
                </c:pt>
                <c:pt idx="42">
                  <c:v>0.61206522612258019</c:v>
                </c:pt>
                <c:pt idx="44">
                  <c:v>0.81947622679888132</c:v>
                </c:pt>
                <c:pt idx="47">
                  <c:v>0.76056706545978603</c:v>
                </c:pt>
                <c:pt idx="48">
                  <c:v>0.48605475224324163</c:v>
                </c:pt>
                <c:pt idx="49">
                  <c:v>0.13779940834049051</c:v>
                </c:pt>
                <c:pt idx="50">
                  <c:v>0.40296880241529687</c:v>
                </c:pt>
                <c:pt idx="52">
                  <c:v>0</c:v>
                </c:pt>
                <c:pt idx="53">
                  <c:v>0.10549015036717566</c:v>
                </c:pt>
                <c:pt idx="54">
                  <c:v>0.20139661977532639</c:v>
                </c:pt>
                <c:pt idx="55">
                  <c:v>0.51333333333333331</c:v>
                </c:pt>
                <c:pt idx="56">
                  <c:v>0.5523336095001381</c:v>
                </c:pt>
                <c:pt idx="57">
                  <c:v>0</c:v>
                </c:pt>
                <c:pt idx="68">
                  <c:v>0.34276809656785751</c:v>
                </c:pt>
                <c:pt idx="69" formatCode="0.00%">
                  <c:v>0.13489092551955595</c:v>
                </c:pt>
                <c:pt idx="70" formatCode="0.00%">
                  <c:v>0.17618200442072349</c:v>
                </c:pt>
                <c:pt idx="71" formatCode="0.00%">
                  <c:v>6.1681598897312194E-2</c:v>
                </c:pt>
                <c:pt idx="72" formatCode="0.00%">
                  <c:v>2.0821171434131154E-2</c:v>
                </c:pt>
                <c:pt idx="74" formatCode="0.00%">
                  <c:v>0.15427205234679753</c:v>
                </c:pt>
                <c:pt idx="75" formatCode="0.00%">
                  <c:v>0.32053539978865797</c:v>
                </c:pt>
                <c:pt idx="76" formatCode="0.00%">
                  <c:v>0.28856800837947033</c:v>
                </c:pt>
                <c:pt idx="77" formatCode="0.00%">
                  <c:v>0.23922712358731318</c:v>
                </c:pt>
                <c:pt idx="78" formatCode="0.00%">
                  <c:v>0.23548140601120732</c:v>
                </c:pt>
                <c:pt idx="83">
                  <c:v>0.16290361738285994</c:v>
                </c:pt>
                <c:pt idx="84">
                  <c:v>0.18467057684642105</c:v>
                </c:pt>
                <c:pt idx="85">
                  <c:v>2.4310191366266134E-2</c:v>
                </c:pt>
                <c:pt idx="86">
                  <c:v>0.26104480737018426</c:v>
                </c:pt>
                <c:pt idx="87">
                  <c:v>2.1000228885328452E-2</c:v>
                </c:pt>
                <c:pt idx="88">
                  <c:v>0.18652189736746327</c:v>
                </c:pt>
                <c:pt idx="89">
                  <c:v>0.57372081470442127</c:v>
                </c:pt>
                <c:pt idx="91">
                  <c:v>0.38085836909871246</c:v>
                </c:pt>
                <c:pt idx="95">
                  <c:v>0.18129552115390768</c:v>
                </c:pt>
                <c:pt idx="97">
                  <c:v>3.506022916462638E-2</c:v>
                </c:pt>
                <c:pt idx="99">
                  <c:v>0.10308285163776493</c:v>
                </c:pt>
                <c:pt idx="100">
                  <c:v>2.3452713572093813E-2</c:v>
                </c:pt>
                <c:pt idx="101">
                  <c:v>2.1392896781354052E-2</c:v>
                </c:pt>
                <c:pt idx="102">
                  <c:v>2.7758091188282541E-2</c:v>
                </c:pt>
                <c:pt idx="103">
                  <c:v>2.2803835190463851E-2</c:v>
                </c:pt>
                <c:pt idx="114" formatCode="0.00%">
                  <c:v>3.8925102922430926E-2</c:v>
                </c:pt>
                <c:pt idx="115">
                  <c:v>9.8450613298902527E-3</c:v>
                </c:pt>
                <c:pt idx="116">
                  <c:v>1.8578960582475521E-2</c:v>
                </c:pt>
                <c:pt idx="128">
                  <c:v>1.4212010956182887E-2</c:v>
                </c:pt>
                <c:pt idx="129">
                  <c:v>7.6062639821029093E-2</c:v>
                </c:pt>
                <c:pt idx="130">
                  <c:v>3.6672629695885507E-2</c:v>
                </c:pt>
                <c:pt idx="131">
                  <c:v>2.1527931110620447E-2</c:v>
                </c:pt>
                <c:pt idx="132">
                  <c:v>2.9243404678944748E-2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7-0145-9FDD-110EAD0DEF2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ML'!$D$4:$D$88</c:f>
              <c:numCache>
                <c:formatCode>0.0</c:formatCode>
                <c:ptCount val="85"/>
                <c:pt idx="0">
                  <c:v>1.6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13">
                  <c:v>1.3375000000000001</c:v>
                </c:pt>
                <c:pt idx="30">
                  <c:v>1.9</c:v>
                </c:pt>
                <c:pt idx="31">
                  <c:v>1.8</c:v>
                </c:pt>
                <c:pt idx="32">
                  <c:v>1.85</c:v>
                </c:pt>
                <c:pt idx="34">
                  <c:v>2.7</c:v>
                </c:pt>
                <c:pt idx="35">
                  <c:v>2.5</c:v>
                </c:pt>
                <c:pt idx="36">
                  <c:v>3.87</c:v>
                </c:pt>
                <c:pt idx="37">
                  <c:v>3.32</c:v>
                </c:pt>
                <c:pt idx="38">
                  <c:v>3.82</c:v>
                </c:pt>
                <c:pt idx="45">
                  <c:v>3.242</c:v>
                </c:pt>
                <c:pt idx="46">
                  <c:v>3.6</c:v>
                </c:pt>
                <c:pt idx="47">
                  <c:v>3.9</c:v>
                </c:pt>
                <c:pt idx="48">
                  <c:v>4</c:v>
                </c:pt>
                <c:pt idx="49">
                  <c:v>3.5</c:v>
                </c:pt>
                <c:pt idx="50">
                  <c:v>4</c:v>
                </c:pt>
                <c:pt idx="59">
                  <c:v>3.8</c:v>
                </c:pt>
                <c:pt idx="60">
                  <c:v>6.4</c:v>
                </c:pt>
                <c:pt idx="61">
                  <c:v>6.7</c:v>
                </c:pt>
                <c:pt idx="62">
                  <c:v>5.8</c:v>
                </c:pt>
                <c:pt idx="63">
                  <c:v>6.7</c:v>
                </c:pt>
                <c:pt idx="64">
                  <c:v>6.7</c:v>
                </c:pt>
                <c:pt idx="65">
                  <c:v>6</c:v>
                </c:pt>
                <c:pt idx="73">
                  <c:v>6.3833333333333337</c:v>
                </c:pt>
                <c:pt idx="74">
                  <c:v>7.1</c:v>
                </c:pt>
                <c:pt idx="75">
                  <c:v>10.4</c:v>
                </c:pt>
                <c:pt idx="76">
                  <c:v>9.6</c:v>
                </c:pt>
                <c:pt idx="77">
                  <c:v>9.9</c:v>
                </c:pt>
              </c:numCache>
            </c:numRef>
          </c:xVal>
          <c:yVal>
            <c:numRef>
              <c:f>'double ML'!$AH$4:$AH$88</c:f>
              <c:numCache>
                <c:formatCode>0.00%</c:formatCode>
                <c:ptCount val="85"/>
                <c:pt idx="13">
                  <c:v>0</c:v>
                </c:pt>
                <c:pt idx="14" formatCode="0.0%">
                  <c:v>0.89899826499211033</c:v>
                </c:pt>
                <c:pt idx="15" formatCode="0.0%">
                  <c:v>0.91537246643853631</c:v>
                </c:pt>
                <c:pt idx="16" formatCode="0.0%">
                  <c:v>0.75542251604744604</c:v>
                </c:pt>
                <c:pt idx="17" formatCode="0.0%">
                  <c:v>0.79989411877947825</c:v>
                </c:pt>
                <c:pt idx="18" formatCode="0.0%">
                  <c:v>0.94293100345228176</c:v>
                </c:pt>
                <c:pt idx="19" formatCode="0.0%">
                  <c:v>0.931557984260453</c:v>
                </c:pt>
                <c:pt idx="20" formatCode="0.0%">
                  <c:v>0.94072890388624375</c:v>
                </c:pt>
                <c:pt idx="21" formatCode="0.0%">
                  <c:v>0.59191973717274571</c:v>
                </c:pt>
                <c:pt idx="22" formatCode="0.0%">
                  <c:v>0.90053643059274147</c:v>
                </c:pt>
                <c:pt idx="23" formatCode="0.0%">
                  <c:v>0.89737054303800989</c:v>
                </c:pt>
                <c:pt idx="24" formatCode="0.0%">
                  <c:v>0.81574603971941662</c:v>
                </c:pt>
                <c:pt idx="25" formatCode="0.0%">
                  <c:v>0.97558919439709479</c:v>
                </c:pt>
                <c:pt idx="26" formatCode="0.0%">
                  <c:v>0.87260743808184105</c:v>
                </c:pt>
                <c:pt idx="27" formatCode="0.0%">
                  <c:v>0.95325691826286452</c:v>
                </c:pt>
                <c:pt idx="28" formatCode="0.0%">
                  <c:v>0.80586063423045207</c:v>
                </c:pt>
                <c:pt idx="29" formatCode="0.0%">
                  <c:v>0.90162342915700333</c:v>
                </c:pt>
                <c:pt idx="30">
                  <c:v>0.80040909136042737</c:v>
                </c:pt>
                <c:pt idx="32">
                  <c:v>0.8646955714040675</c:v>
                </c:pt>
                <c:pt idx="36">
                  <c:v>0.97859813827671249</c:v>
                </c:pt>
                <c:pt idx="45" formatCode="0.00">
                  <c:v>0.97859813827671249</c:v>
                </c:pt>
                <c:pt idx="59">
                  <c:v>0</c:v>
                </c:pt>
                <c:pt idx="73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7-0145-9FDD-110EAD0DEF25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single!$D$4:$D$38</c:f>
              <c:numCache>
                <c:formatCode>0.0</c:formatCode>
                <c:ptCount val="35"/>
                <c:pt idx="0">
                  <c:v>1.4</c:v>
                </c:pt>
                <c:pt idx="1">
                  <c:v>1.3</c:v>
                </c:pt>
                <c:pt idx="2">
                  <c:v>1.3</c:v>
                </c:pt>
                <c:pt idx="3">
                  <c:v>1.3333333333333333</c:v>
                </c:pt>
                <c:pt idx="4">
                  <c:v>1.85</c:v>
                </c:pt>
                <c:pt idx="5">
                  <c:v>2</c:v>
                </c:pt>
                <c:pt idx="6">
                  <c:v>1.4</c:v>
                </c:pt>
                <c:pt idx="7">
                  <c:v>1.7000000000000002</c:v>
                </c:pt>
                <c:pt idx="8">
                  <c:v>1.7375</c:v>
                </c:pt>
                <c:pt idx="9">
                  <c:v>1.6</c:v>
                </c:pt>
                <c:pt idx="11">
                  <c:v>1.6</c:v>
                </c:pt>
                <c:pt idx="12">
                  <c:v>3</c:v>
                </c:pt>
                <c:pt idx="13">
                  <c:v>3.1</c:v>
                </c:pt>
                <c:pt idx="14">
                  <c:v>4</c:v>
                </c:pt>
                <c:pt idx="15">
                  <c:v>3.3666666666666667</c:v>
                </c:pt>
                <c:pt idx="19">
                  <c:v>5.2</c:v>
                </c:pt>
                <c:pt idx="20">
                  <c:v>5.7</c:v>
                </c:pt>
                <c:pt idx="22">
                  <c:v>5.45</c:v>
                </c:pt>
                <c:pt idx="27">
                  <c:v>7.2</c:v>
                </c:pt>
                <c:pt idx="28">
                  <c:v>8.3000000000000007</c:v>
                </c:pt>
                <c:pt idx="29">
                  <c:v>10.3</c:v>
                </c:pt>
                <c:pt idx="30">
                  <c:v>10</c:v>
                </c:pt>
                <c:pt idx="31">
                  <c:v>10.4</c:v>
                </c:pt>
                <c:pt idx="32">
                  <c:v>9.3000000000000007</c:v>
                </c:pt>
                <c:pt idx="33">
                  <c:v>11.4</c:v>
                </c:pt>
                <c:pt idx="34">
                  <c:v>7.6</c:v>
                </c:pt>
              </c:numCache>
            </c:numRef>
          </c:xVal>
          <c:yVal>
            <c:numRef>
              <c:f>single!$O$4:$O$38</c:f>
              <c:numCache>
                <c:formatCode>0.0%</c:formatCode>
                <c:ptCount val="35"/>
                <c:pt idx="4">
                  <c:v>0.82298955020445252</c:v>
                </c:pt>
                <c:pt idx="6">
                  <c:v>0.8606864107772908</c:v>
                </c:pt>
                <c:pt idx="8">
                  <c:v>0.84183798049087166</c:v>
                </c:pt>
                <c:pt idx="9">
                  <c:v>0.83395049697914636</c:v>
                </c:pt>
                <c:pt idx="10" formatCode="0.00%">
                  <c:v>0.40090871540685663</c:v>
                </c:pt>
                <c:pt idx="11">
                  <c:v>0.83395049697914636</c:v>
                </c:pt>
                <c:pt idx="13">
                  <c:v>0.50374711760184476</c:v>
                </c:pt>
                <c:pt idx="15">
                  <c:v>0.50374711760184476</c:v>
                </c:pt>
                <c:pt idx="16" formatCode="0.00%">
                  <c:v>0.11996866714871054</c:v>
                </c:pt>
                <c:pt idx="18" formatCode="0.00">
                  <c:v>0.11996866714871054</c:v>
                </c:pt>
                <c:pt idx="19">
                  <c:v>0.23269412675208531</c:v>
                </c:pt>
                <c:pt idx="20">
                  <c:v>0.1169879518072289</c:v>
                </c:pt>
                <c:pt idx="22">
                  <c:v>0.23269412675208531</c:v>
                </c:pt>
                <c:pt idx="26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7-0145-9FDD-110EAD0DEF25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AP'!$D$4:$D$146</c:f>
              <c:numCache>
                <c:formatCode>0.0</c:formatCode>
                <c:ptCount val="14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1.7000000000000002</c:v>
                </c:pt>
                <c:pt idx="9">
                  <c:v>1.4</c:v>
                </c:pt>
                <c:pt idx="10">
                  <c:v>1.4</c:v>
                </c:pt>
                <c:pt idx="11">
                  <c:v>1.3</c:v>
                </c:pt>
                <c:pt idx="12">
                  <c:v>1.2</c:v>
                </c:pt>
                <c:pt idx="13">
                  <c:v>1.4000000000000001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1.2</c:v>
                </c:pt>
                <c:pt idx="18">
                  <c:v>1.4</c:v>
                </c:pt>
                <c:pt idx="19">
                  <c:v>1.5</c:v>
                </c:pt>
                <c:pt idx="20">
                  <c:v>1.6</c:v>
                </c:pt>
                <c:pt idx="21">
                  <c:v>1.7000000000000002</c:v>
                </c:pt>
                <c:pt idx="22">
                  <c:v>1.7000000000000002</c:v>
                </c:pt>
                <c:pt idx="23">
                  <c:v>1.7000000000000002</c:v>
                </c:pt>
                <c:pt idx="24">
                  <c:v>1.8</c:v>
                </c:pt>
                <c:pt idx="25">
                  <c:v>1.7000000000000002</c:v>
                </c:pt>
                <c:pt idx="26">
                  <c:v>2.25</c:v>
                </c:pt>
                <c:pt idx="27">
                  <c:v>1.5</c:v>
                </c:pt>
                <c:pt idx="28">
                  <c:v>1.4</c:v>
                </c:pt>
                <c:pt idx="29">
                  <c:v>1.7000000000000002</c:v>
                </c:pt>
                <c:pt idx="32">
                  <c:v>1.5906249999999997</c:v>
                </c:pt>
                <c:pt idx="33">
                  <c:v>1.8</c:v>
                </c:pt>
                <c:pt idx="34">
                  <c:v>1.7000000000000002</c:v>
                </c:pt>
                <c:pt idx="35">
                  <c:v>1.6</c:v>
                </c:pt>
                <c:pt idx="36">
                  <c:v>1.5</c:v>
                </c:pt>
                <c:pt idx="37">
                  <c:v>1.7000000000000002</c:v>
                </c:pt>
                <c:pt idx="38">
                  <c:v>1.8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2.5</c:v>
                </c:pt>
                <c:pt idx="42">
                  <c:v>2.4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1.6</c:v>
                </c:pt>
                <c:pt idx="46">
                  <c:v>3.2</c:v>
                </c:pt>
                <c:pt idx="47">
                  <c:v>2.0500000000000003</c:v>
                </c:pt>
                <c:pt idx="48">
                  <c:v>2.4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</c:v>
                </c:pt>
                <c:pt idx="53">
                  <c:v>4</c:v>
                </c:pt>
                <c:pt idx="54">
                  <c:v>4.3</c:v>
                </c:pt>
                <c:pt idx="55">
                  <c:v>3.16</c:v>
                </c:pt>
                <c:pt idx="56">
                  <c:v>3.7</c:v>
                </c:pt>
                <c:pt idx="57">
                  <c:v>2.9</c:v>
                </c:pt>
                <c:pt idx="58">
                  <c:v>3</c:v>
                </c:pt>
                <c:pt idx="59">
                  <c:v>2.68</c:v>
                </c:pt>
                <c:pt idx="60">
                  <c:v>3.7</c:v>
                </c:pt>
                <c:pt idx="61">
                  <c:v>3.6</c:v>
                </c:pt>
                <c:pt idx="62">
                  <c:v>3.5</c:v>
                </c:pt>
                <c:pt idx="63">
                  <c:v>2.9</c:v>
                </c:pt>
                <c:pt idx="64">
                  <c:v>2.2000000000000002</c:v>
                </c:pt>
                <c:pt idx="68">
                  <c:v>3.467058823529412</c:v>
                </c:pt>
                <c:pt idx="69">
                  <c:v>4.99</c:v>
                </c:pt>
                <c:pt idx="70">
                  <c:v>4.2</c:v>
                </c:pt>
                <c:pt idx="71">
                  <c:v>5.6</c:v>
                </c:pt>
                <c:pt idx="72">
                  <c:v>5.3</c:v>
                </c:pt>
                <c:pt idx="73">
                  <c:v>3.3</c:v>
                </c:pt>
                <c:pt idx="74">
                  <c:v>2.6</c:v>
                </c:pt>
                <c:pt idx="75">
                  <c:v>2.6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5.2</c:v>
                </c:pt>
                <c:pt idx="80">
                  <c:v>4.8</c:v>
                </c:pt>
                <c:pt idx="81">
                  <c:v>5.5</c:v>
                </c:pt>
                <c:pt idx="82">
                  <c:v>4.3</c:v>
                </c:pt>
                <c:pt idx="83">
                  <c:v>5</c:v>
                </c:pt>
                <c:pt idx="84">
                  <c:v>5.2</c:v>
                </c:pt>
                <c:pt idx="85">
                  <c:v>4.3</c:v>
                </c:pt>
                <c:pt idx="86">
                  <c:v>5.5</c:v>
                </c:pt>
                <c:pt idx="87">
                  <c:v>5.2</c:v>
                </c:pt>
                <c:pt idx="88">
                  <c:v>5</c:v>
                </c:pt>
                <c:pt idx="89">
                  <c:v>5.8</c:v>
                </c:pt>
                <c:pt idx="90">
                  <c:v>5.6</c:v>
                </c:pt>
                <c:pt idx="91">
                  <c:v>5.7</c:v>
                </c:pt>
                <c:pt idx="95">
                  <c:v>4.4734782608695642</c:v>
                </c:pt>
                <c:pt idx="96">
                  <c:v>5.3</c:v>
                </c:pt>
                <c:pt idx="97">
                  <c:v>5.6</c:v>
                </c:pt>
                <c:pt idx="98">
                  <c:v>5.6</c:v>
                </c:pt>
                <c:pt idx="99">
                  <c:v>5.5</c:v>
                </c:pt>
                <c:pt idx="100">
                  <c:v>5.0999999999999996</c:v>
                </c:pt>
                <c:pt idx="101">
                  <c:v>5</c:v>
                </c:pt>
                <c:pt idx="102">
                  <c:v>6</c:v>
                </c:pt>
                <c:pt idx="103">
                  <c:v>4.9000000000000004</c:v>
                </c:pt>
                <c:pt idx="104">
                  <c:v>5.5</c:v>
                </c:pt>
                <c:pt idx="105">
                  <c:v>5.3</c:v>
                </c:pt>
                <c:pt idx="106">
                  <c:v>6.5</c:v>
                </c:pt>
                <c:pt idx="107">
                  <c:v>6.6</c:v>
                </c:pt>
                <c:pt idx="108">
                  <c:v>5.5</c:v>
                </c:pt>
                <c:pt idx="109">
                  <c:v>5.8</c:v>
                </c:pt>
                <c:pt idx="110">
                  <c:v>5.8</c:v>
                </c:pt>
                <c:pt idx="111">
                  <c:v>6.4</c:v>
                </c:pt>
                <c:pt idx="112">
                  <c:v>5.7</c:v>
                </c:pt>
                <c:pt idx="113">
                  <c:v>6</c:v>
                </c:pt>
                <c:pt idx="114">
                  <c:v>5.6722222222222216</c:v>
                </c:pt>
                <c:pt idx="115">
                  <c:v>8.1</c:v>
                </c:pt>
                <c:pt idx="116">
                  <c:v>7.5</c:v>
                </c:pt>
                <c:pt idx="117">
                  <c:v>8.4</c:v>
                </c:pt>
                <c:pt idx="118">
                  <c:v>7.6</c:v>
                </c:pt>
                <c:pt idx="119">
                  <c:v>6.7</c:v>
                </c:pt>
                <c:pt idx="128">
                  <c:v>7.660000000000001</c:v>
                </c:pt>
                <c:pt idx="129">
                  <c:v>7</c:v>
                </c:pt>
                <c:pt idx="130">
                  <c:v>5.8</c:v>
                </c:pt>
                <c:pt idx="131">
                  <c:v>5.4</c:v>
                </c:pt>
                <c:pt idx="132">
                  <c:v>5.8</c:v>
                </c:pt>
                <c:pt idx="133">
                  <c:v>8.1199999999999992</c:v>
                </c:pt>
                <c:pt idx="134">
                  <c:v>10.4</c:v>
                </c:pt>
              </c:numCache>
            </c:numRef>
          </c:xVal>
          <c:yVal>
            <c:numRef>
              <c:f>'double AP'!$AS$4:$AS$146</c:f>
              <c:numCache>
                <c:formatCode>0.0%</c:formatCode>
                <c:ptCount val="143"/>
                <c:pt idx="0">
                  <c:v>0.81728129848430608</c:v>
                </c:pt>
                <c:pt idx="1">
                  <c:v>0.85524811342327922</c:v>
                </c:pt>
                <c:pt idx="2">
                  <c:v>1</c:v>
                </c:pt>
                <c:pt idx="9">
                  <c:v>0.95318627450980387</c:v>
                </c:pt>
                <c:pt idx="13">
                  <c:v>0.90642892160434729</c:v>
                </c:pt>
                <c:pt idx="14">
                  <c:v>0.90441176470588236</c:v>
                </c:pt>
                <c:pt idx="15">
                  <c:v>0.69725683673361361</c:v>
                </c:pt>
                <c:pt idx="16">
                  <c:v>0.79518985097242711</c:v>
                </c:pt>
                <c:pt idx="17">
                  <c:v>0.68509135446202374</c:v>
                </c:pt>
                <c:pt idx="18">
                  <c:v>0.97690523704223076</c:v>
                </c:pt>
                <c:pt idx="19">
                  <c:v>0.96387816995315123</c:v>
                </c:pt>
                <c:pt idx="20">
                  <c:v>0.90822502882297451</c:v>
                </c:pt>
                <c:pt idx="21">
                  <c:v>0.99079248976227874</c:v>
                </c:pt>
                <c:pt idx="22">
                  <c:v>0.96518884482870704</c:v>
                </c:pt>
                <c:pt idx="23">
                  <c:v>0.98852190024573494</c:v>
                </c:pt>
                <c:pt idx="24">
                  <c:v>0.6754491401830216</c:v>
                </c:pt>
                <c:pt idx="25">
                  <c:v>0.58763897972531065</c:v>
                </c:pt>
                <c:pt idx="32">
                  <c:v>0.84487913311977969</c:v>
                </c:pt>
                <c:pt idx="34">
                  <c:v>0.74136750636355653</c:v>
                </c:pt>
                <c:pt idx="35">
                  <c:v>0.76235593066521457</c:v>
                </c:pt>
                <c:pt idx="36">
                  <c:v>0.7770654002176709</c:v>
                </c:pt>
                <c:pt idx="37">
                  <c:v>0.86886859865025801</c:v>
                </c:pt>
                <c:pt idx="38">
                  <c:v>0.79133678041019717</c:v>
                </c:pt>
                <c:pt idx="39">
                  <c:v>0.66822982224541794</c:v>
                </c:pt>
                <c:pt idx="40">
                  <c:v>0.82761609678728187</c:v>
                </c:pt>
                <c:pt idx="41">
                  <c:v>0.71671396411260457</c:v>
                </c:pt>
                <c:pt idx="42">
                  <c:v>0.93086191661980888</c:v>
                </c:pt>
                <c:pt idx="44">
                  <c:v>0.71525734626421122</c:v>
                </c:pt>
                <c:pt idx="47">
                  <c:v>0.77996733623362213</c:v>
                </c:pt>
                <c:pt idx="48">
                  <c:v>0.56250595340153553</c:v>
                </c:pt>
                <c:pt idx="49">
                  <c:v>0.2550815917549385</c:v>
                </c:pt>
                <c:pt idx="50">
                  <c:v>0.1367829587386783</c:v>
                </c:pt>
                <c:pt idx="52">
                  <c:v>6.1160082707585162E-2</c:v>
                </c:pt>
                <c:pt idx="53">
                  <c:v>0</c:v>
                </c:pt>
                <c:pt idx="56">
                  <c:v>0.46299364816349076</c:v>
                </c:pt>
                <c:pt idx="57">
                  <c:v>0.17899199246349504</c:v>
                </c:pt>
                <c:pt idx="68">
                  <c:v>0.27625270453828726</c:v>
                </c:pt>
                <c:pt idx="69">
                  <c:v>0.16780689299083518</c:v>
                </c:pt>
                <c:pt idx="70">
                  <c:v>0.24206156666127557</c:v>
                </c:pt>
                <c:pt idx="72">
                  <c:v>5.4485308425763768E-2</c:v>
                </c:pt>
                <c:pt idx="73">
                  <c:v>8.846153846153848E-2</c:v>
                </c:pt>
                <c:pt idx="74">
                  <c:v>0.15219579715615955</c:v>
                </c:pt>
                <c:pt idx="75">
                  <c:v>0.37742162733356821</c:v>
                </c:pt>
                <c:pt idx="76">
                  <c:v>0.44628161005536438</c:v>
                </c:pt>
                <c:pt idx="77">
                  <c:v>0.34429456799125047</c:v>
                </c:pt>
                <c:pt idx="83">
                  <c:v>0.11853605243991261</c:v>
                </c:pt>
                <c:pt idx="84">
                  <c:v>9.4299869027959685E-2</c:v>
                </c:pt>
                <c:pt idx="85">
                  <c:v>0.26774588340008898</c:v>
                </c:pt>
                <c:pt idx="86">
                  <c:v>0.1155778894472362</c:v>
                </c:pt>
                <c:pt idx="87">
                  <c:v>0.26928358892195015</c:v>
                </c:pt>
                <c:pt idx="88">
                  <c:v>9.8325852238262762E-2</c:v>
                </c:pt>
                <c:pt idx="89">
                  <c:v>0.3785891703924491</c:v>
                </c:pt>
                <c:pt idx="91">
                  <c:v>0.60317596566523601</c:v>
                </c:pt>
                <c:pt idx="95">
                  <c:v>0.23412611363446945</c:v>
                </c:pt>
                <c:pt idx="97">
                  <c:v>2.8557438056997359E-2</c:v>
                </c:pt>
                <c:pt idx="99">
                  <c:v>3.4489402697495182E-2</c:v>
                </c:pt>
                <c:pt idx="100">
                  <c:v>1.3462026924053848E-2</c:v>
                </c:pt>
                <c:pt idx="101">
                  <c:v>2.607561929595828E-2</c:v>
                </c:pt>
                <c:pt idx="102">
                  <c:v>2.5277580911882827E-2</c:v>
                </c:pt>
                <c:pt idx="103">
                  <c:v>5.6620886239958541E-2</c:v>
                </c:pt>
                <c:pt idx="114" formatCode="0.00%">
                  <c:v>3.0747159021057669E-2</c:v>
                </c:pt>
                <c:pt idx="116">
                  <c:v>5.2724077328646743E-2</c:v>
                </c:pt>
                <c:pt idx="128">
                  <c:v>5.2724077328646743E-2</c:v>
                </c:pt>
                <c:pt idx="129">
                  <c:v>3.4675615212527967E-2</c:v>
                </c:pt>
                <c:pt idx="130">
                  <c:v>3.7119856887298748E-2</c:v>
                </c:pt>
                <c:pt idx="131">
                  <c:v>2.5171119452417755E-2</c:v>
                </c:pt>
                <c:pt idx="132">
                  <c:v>2.9616724738675958E-2</c:v>
                </c:pt>
                <c:pt idx="133">
                  <c:v>1.4496062093368338E-2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7-0145-9FDD-110EAD0D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77664"/>
        <c:axId val="1"/>
      </c:scatterChart>
      <c:valAx>
        <c:axId val="700877664"/>
        <c:scaling>
          <c:orientation val="minMax"/>
          <c:max val="10"/>
          <c:min val="0"/>
        </c:scaling>
        <c:delete val="0"/>
        <c:axPos val="b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weight (g)</a:t>
                </a:r>
              </a:p>
            </c:rich>
          </c:tx>
          <c:layout>
            <c:manualLayout>
              <c:xMode val="edge"/>
              <c:yMode val="edge"/>
              <c:x val="0.49629668513658015"/>
              <c:y val="0.884056544562364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5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1% isodensity contour</a:t>
                </a:r>
              </a:p>
            </c:rich>
          </c:tx>
          <c:layout>
            <c:manualLayout>
              <c:xMode val="edge"/>
              <c:yMode val="edge"/>
              <c:x val="3.2098765432098768E-2"/>
              <c:y val="0.427535376012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877664"/>
        <c:crossesAt val="0"/>
        <c:crossBetween val="midCat"/>
        <c:majorUnit val="0.1"/>
        <c:minorUnit val="0.0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913638572956164"/>
          <c:y val="0.36594145840465597"/>
          <c:w val="0.11604938271604937"/>
          <c:h val="0.249999429419148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mean weight</a:t>
            </a:r>
          </a:p>
        </c:rich>
      </c:tx>
      <c:layout>
        <c:manualLayout>
          <c:xMode val="edge"/>
          <c:yMode val="edge"/>
          <c:x val="0.35310712220294499"/>
          <c:y val="3.720930232558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576262711773816"/>
          <c:y val="0.2930232558139535"/>
          <c:w val="0.70338958795766438"/>
          <c:h val="0.43720930232558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AP'!$E$231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plus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AP'!$E$231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'double AP'!$F$231</c:f>
              <c:numCache>
                <c:formatCode>0.0</c:formatCode>
                <c:ptCount val="1"/>
                <c:pt idx="0">
                  <c:v>1.3569444444444445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0-2745-98EB-FE058D2809EC}"/>
            </c:ext>
          </c:extLst>
        </c:ser>
        <c:ser>
          <c:idx val="1"/>
          <c:order val="1"/>
          <c:tx>
            <c:strRef>
              <c:f>'double AP'!$E$232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AP'!$E$232</c:f>
              <c:numCache>
                <c:formatCode>0</c:formatCode>
                <c:ptCount val="1"/>
                <c:pt idx="0">
                  <c:v>2</c:v>
                </c:pt>
              </c:numCache>
            </c:numRef>
          </c:xVal>
          <c:yVal>
            <c:numRef>
              <c:f>'double AP'!$F$232</c:f>
              <c:numCache>
                <c:formatCode>0.0</c:formatCode>
                <c:ptCount val="1"/>
                <c:pt idx="0">
                  <c:v>1.7260416666666665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0-2745-98EB-FE058D2809EC}"/>
            </c:ext>
          </c:extLst>
        </c:ser>
        <c:ser>
          <c:idx val="2"/>
          <c:order val="2"/>
          <c:tx>
            <c:strRef>
              <c:f>'double AP'!$E$233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AP'!$E$233</c:f>
              <c:numCache>
                <c:formatCode>0</c:formatCode>
                <c:ptCount val="1"/>
                <c:pt idx="0">
                  <c:v>4</c:v>
                </c:pt>
              </c:numCache>
            </c:numRef>
          </c:xVal>
          <c:yVal>
            <c:numRef>
              <c:f>'double AP'!$F$233</c:f>
              <c:numCache>
                <c:formatCode>0.0</c:formatCode>
                <c:ptCount val="1"/>
                <c:pt idx="0">
                  <c:v>2.297333333333333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0-2745-98EB-FE058D2809EC}"/>
            </c:ext>
          </c:extLst>
        </c:ser>
        <c:ser>
          <c:idx val="3"/>
          <c:order val="3"/>
          <c:tx>
            <c:strRef>
              <c:f>'double AP'!$E$234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AP'!$E$234</c:f>
              <c:numCache>
                <c:formatCode>0</c:formatCode>
                <c:ptCount val="1"/>
                <c:pt idx="0">
                  <c:v>6</c:v>
                </c:pt>
              </c:numCache>
            </c:numRef>
          </c:xVal>
          <c:yVal>
            <c:numRef>
              <c:f>'double AP'!$F$234</c:f>
              <c:numCache>
                <c:formatCode>0.0</c:formatCode>
                <c:ptCount val="1"/>
                <c:pt idx="0">
                  <c:v>3.4168627450980393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0-2745-98EB-FE058D2809EC}"/>
            </c:ext>
          </c:extLst>
        </c:ser>
        <c:ser>
          <c:idx val="4"/>
          <c:order val="4"/>
          <c:tx>
            <c:strRef>
              <c:f>'double AP'!$E$235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8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AP'!$E$235</c:f>
              <c:numCache>
                <c:formatCode>0</c:formatCode>
                <c:ptCount val="1"/>
                <c:pt idx="0">
                  <c:v>8</c:v>
                </c:pt>
              </c:numCache>
            </c:numRef>
          </c:xVal>
          <c:yVal>
            <c:numRef>
              <c:f>'double AP'!$F$235</c:f>
              <c:numCache>
                <c:formatCode>0.0</c:formatCode>
                <c:ptCount val="1"/>
                <c:pt idx="0">
                  <c:v>4.1367391304347816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0-2745-98EB-FE058D2809EC}"/>
            </c:ext>
          </c:extLst>
        </c:ser>
        <c:ser>
          <c:idx val="5"/>
          <c:order val="5"/>
          <c:tx>
            <c:strRef>
              <c:f>'double AP'!$E$236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AP'!$E$236</c:f>
              <c:numCache>
                <c:formatCode>0</c:formatCode>
                <c:ptCount val="1"/>
                <c:pt idx="0">
                  <c:v>12</c:v>
                </c:pt>
              </c:numCache>
            </c:numRef>
          </c:xVal>
          <c:yVal>
            <c:numRef>
              <c:f>'double AP'!$F$236</c:f>
              <c:numCache>
                <c:formatCode>0.0</c:formatCode>
                <c:ptCount val="1"/>
                <c:pt idx="0">
                  <c:v>5.8351851851851855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70-2745-98EB-FE058D2809EC}"/>
            </c:ext>
          </c:extLst>
        </c:ser>
        <c:ser>
          <c:idx val="6"/>
          <c:order val="6"/>
          <c:tx>
            <c:strRef>
              <c:f>'double AP'!$E$237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AP'!$E$237</c:f>
              <c:numCache>
                <c:formatCode>0</c:formatCode>
                <c:ptCount val="1"/>
                <c:pt idx="0">
                  <c:v>16</c:v>
                </c:pt>
              </c:numCache>
            </c:numRef>
          </c:xVal>
          <c:yVal>
            <c:numRef>
              <c:f>'double AP'!$F$237</c:f>
              <c:numCache>
                <c:formatCode>0.0</c:formatCode>
                <c:ptCount val="1"/>
                <c:pt idx="0">
                  <c:v>7.660000000000001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0-2745-98EB-FE058D2809EC}"/>
            </c:ext>
          </c:extLst>
        </c:ser>
        <c:ser>
          <c:idx val="7"/>
          <c:order val="7"/>
          <c:tx>
            <c:strRef>
              <c:f>'double AP'!$E$238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1.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.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AP'!$E$238</c:f>
              <c:numCache>
                <c:formatCode>0</c:formatCode>
                <c:ptCount val="1"/>
                <c:pt idx="0">
                  <c:v>22</c:v>
                </c:pt>
              </c:numCache>
            </c:numRef>
          </c:xVal>
          <c:yVal>
            <c:numRef>
              <c:f>'double AP'!$F$238</c:f>
              <c:numCache>
                <c:formatCode>0.0</c:formatCode>
                <c:ptCount val="1"/>
                <c:pt idx="0">
                  <c:v>8.549722222222222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70-2745-98EB-FE058D28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40544"/>
        <c:axId val="1"/>
      </c:scatterChart>
      <c:valAx>
        <c:axId val="700940544"/>
        <c:scaling>
          <c:orientation val="minMax"/>
        </c:scaling>
        <c:delete val="0"/>
        <c:axPos val="b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7062124649673029"/>
              <c:y val="0.851162790697674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"/>
        <c:minorUnit val="1"/>
      </c:valAx>
      <c:valAx>
        <c:axId val="1"/>
        <c:scaling>
          <c:orientation val="minMax"/>
          <c:max val="10"/>
        </c:scaling>
        <c:delete val="0"/>
        <c:axPos val="l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weight (g)</a:t>
                </a:r>
              </a:p>
            </c:rich>
          </c:tx>
          <c:layout>
            <c:manualLayout>
              <c:xMode val="edge"/>
              <c:yMode val="edge"/>
              <c:x val="3.6723163841807911E-2"/>
              <c:y val="0.465116279069767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940544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1423080845487"/>
          <c:y val="6.5476166688404377E-2"/>
          <c:w val="0.73417645889325089"/>
          <c:h val="0.824404462394909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AP'!$G$4:$G$16,'double AP'!$I$4:$I$16)</c:f>
              <c:numCache>
                <c:formatCode>0.00</c:formatCode>
                <c:ptCount val="26"/>
                <c:pt idx="0" formatCode="0">
                  <c:v>1569</c:v>
                </c:pt>
                <c:pt idx="2" formatCode="0">
                  <c:v>1720</c:v>
                </c:pt>
                <c:pt idx="3" formatCode="0">
                  <c:v>2696</c:v>
                </c:pt>
                <c:pt idx="4" formatCode="0">
                  <c:v>2864</c:v>
                </c:pt>
                <c:pt idx="5" formatCode="0">
                  <c:v>2320</c:v>
                </c:pt>
                <c:pt idx="6" formatCode="0">
                  <c:v>2448</c:v>
                </c:pt>
                <c:pt idx="7" formatCode="0">
                  <c:v>2288</c:v>
                </c:pt>
                <c:pt idx="13" formatCode="0">
                  <c:v>2184</c:v>
                </c:pt>
                <c:pt idx="15" formatCode="0">
                  <c:v>2770</c:v>
                </c:pt>
                <c:pt idx="16" formatCode="0">
                  <c:v>2264</c:v>
                </c:pt>
                <c:pt idx="17" formatCode="0">
                  <c:v>2096</c:v>
                </c:pt>
                <c:pt idx="18" formatCode="0">
                  <c:v>2920</c:v>
                </c:pt>
                <c:pt idx="19" formatCode="0">
                  <c:v>2832</c:v>
                </c:pt>
                <c:pt idx="20" formatCode="0">
                  <c:v>1632</c:v>
                </c:pt>
              </c:numCache>
            </c:numRef>
          </c:xVal>
          <c:yVal>
            <c:numRef>
              <c:f>('double AP'!$BS$4:$BS$16,'double AP'!$BR$4:$BR$16)</c:f>
              <c:numCache>
                <c:formatCode>0.0%</c:formatCode>
                <c:ptCount val="26"/>
                <c:pt idx="0">
                  <c:v>0.41798941798941797</c:v>
                </c:pt>
                <c:pt idx="9">
                  <c:v>0.61256544502617805</c:v>
                </c:pt>
                <c:pt idx="13">
                  <c:v>0.5053003533568905</c:v>
                </c:pt>
                <c:pt idx="22">
                  <c:v>0.28819068255687974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6-8A48-BFE4-CC7683AF5D8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AP'!$G$18:$G$33,'double AP'!$I$18:$I$33)</c:f>
              <c:numCache>
                <c:formatCode>0</c:formatCode>
                <c:ptCount val="32"/>
              </c:numCache>
            </c:numRef>
          </c:xVal>
          <c:yVal>
            <c:numRef>
              <c:f>('double AP'!$BS$18:$BS$33,'double AP'!$BR$18:$BR$33)</c:f>
              <c:numCache>
                <c:formatCode>0.0%</c:formatCode>
                <c:ptCount val="32"/>
                <c:pt idx="14">
                  <c:v>0.12393162393162394</c:v>
                </c:pt>
                <c:pt idx="15">
                  <c:v>0.72448979591836737</c:v>
                </c:pt>
                <c:pt idx="30">
                  <c:v>0.54677754677754675</c:v>
                </c:pt>
                <c:pt idx="31">
                  <c:v>8.8353413654618476E-2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6-8A48-BFE4-CC7683AF5D8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AP'!$G$37:$G$50,'double AP'!$I$37:$I$50)</c:f>
              <c:numCache>
                <c:formatCode>0</c:formatCode>
                <c:ptCount val="28"/>
              </c:numCache>
            </c:numRef>
          </c:xVal>
          <c:yVal>
            <c:numRef>
              <c:f>('double AP'!$BS$37:$BS$50,'double AP'!$BR$37:$BR$50)</c:f>
              <c:numCache>
                <c:formatCode>0.0%</c:formatCode>
                <c:ptCount val="28"/>
                <c:pt idx="11">
                  <c:v>0.78048780487804881</c:v>
                </c:pt>
                <c:pt idx="12">
                  <c:v>2.3255813953488372E-2</c:v>
                </c:pt>
                <c:pt idx="13">
                  <c:v>0.8354037267080745</c:v>
                </c:pt>
                <c:pt idx="25">
                  <c:v>0.59558823529411764</c:v>
                </c:pt>
                <c:pt idx="26">
                  <c:v>0.99038461538461542</c:v>
                </c:pt>
                <c:pt idx="27">
                  <c:v>3.7617554858934171E-2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6-8A48-BFE4-CC7683AF5D84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AP'!$G$52:$G$68,'double AP'!$I$52:$I$68)</c:f>
              <c:numCache>
                <c:formatCode>0</c:formatCode>
                <c:ptCount val="34"/>
              </c:numCache>
            </c:numRef>
          </c:xVal>
          <c:yVal>
            <c:numRef>
              <c:f>('double AP'!$BS$52:$BS$68,'double AP'!$BR$52:$BR$68)</c:f>
              <c:numCache>
                <c:formatCode>0.0%</c:formatCode>
                <c:ptCount val="34"/>
                <c:pt idx="7">
                  <c:v>4.230769230769231E-2</c:v>
                </c:pt>
                <c:pt idx="8">
                  <c:v>0</c:v>
                </c:pt>
                <c:pt idx="9">
                  <c:v>0</c:v>
                </c:pt>
                <c:pt idx="24">
                  <c:v>0</c:v>
                </c:pt>
                <c:pt idx="25">
                  <c:v>9.2682926829268292E-2</c:v>
                </c:pt>
                <c:pt idx="26">
                  <c:v>1.921470342522974E-2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6-8A48-BFE4-CC7683AF5D84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AP'!$G$73:$G$85,'double AP'!$I$73:$I$85)</c:f>
              <c:numCache>
                <c:formatCode>0</c:formatCode>
                <c:ptCount val="26"/>
              </c:numCache>
            </c:numRef>
          </c:xVal>
          <c:yVal>
            <c:numRef>
              <c:f>('double AP'!$BS$73:$BS$85,'double AP'!$BR$73:$BR$85)</c:f>
              <c:numCache>
                <c:formatCode>0.0%</c:formatCode>
                <c:ptCount val="26"/>
                <c:pt idx="1">
                  <c:v>1</c:v>
                </c:pt>
                <c:pt idx="3">
                  <c:v>0</c:v>
                </c:pt>
                <c:pt idx="10">
                  <c:v>0.90088105726872247</c:v>
                </c:pt>
                <c:pt idx="11">
                  <c:v>0.9692982456140351</c:v>
                </c:pt>
                <c:pt idx="12">
                  <c:v>0.97872340425531912</c:v>
                </c:pt>
                <c:pt idx="14">
                  <c:v>0</c:v>
                </c:pt>
                <c:pt idx="16">
                  <c:v>0</c:v>
                </c:pt>
                <c:pt idx="23">
                  <c:v>0.70967741935483875</c:v>
                </c:pt>
                <c:pt idx="24">
                  <c:v>0.95184135977337114</c:v>
                </c:pt>
                <c:pt idx="25">
                  <c:v>0.97508896797153022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6-8A48-BFE4-CC7683AF5D84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AP'!$G$100:$G$116,'double AP'!$I$100:$I$116)</c:f>
              <c:numCache>
                <c:formatCode>0</c:formatCode>
                <c:ptCount val="34"/>
              </c:numCache>
            </c:numRef>
          </c:xVal>
          <c:yVal>
            <c:numRef>
              <c:f>('double AP'!$BS$100:$BS$116,'double AP'!$BR$100:$BR$116)</c:f>
              <c:numCache>
                <c:formatCode>0.0%</c:formatCode>
                <c:ptCount val="34"/>
                <c:pt idx="10">
                  <c:v>1</c:v>
                </c:pt>
                <c:pt idx="11">
                  <c:v>1</c:v>
                </c:pt>
                <c:pt idx="12">
                  <c:v>0.9943820224719101</c:v>
                </c:pt>
                <c:pt idx="13">
                  <c:v>0.69827586206896552</c:v>
                </c:pt>
                <c:pt idx="15">
                  <c:v>1</c:v>
                </c:pt>
                <c:pt idx="27">
                  <c:v>0.99315068493150682</c:v>
                </c:pt>
                <c:pt idx="28">
                  <c:v>0.8238532110091743</c:v>
                </c:pt>
                <c:pt idx="29">
                  <c:v>1</c:v>
                </c:pt>
                <c:pt idx="30">
                  <c:v>0.83431952662721898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66-8A48-BFE4-CC7683AF5D84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AP'!$G$122:$G$123,'double AP'!$G$119:$G$131,'double AP'!$I$119:$I$131)</c:f>
              <c:numCache>
                <c:formatCode>General</c:formatCode>
                <c:ptCount val="28"/>
              </c:numCache>
            </c:numRef>
          </c:xVal>
          <c:yVal>
            <c:numRef>
              <c:f>('double AP'!$BS$119:$BS$131,'double AP'!$BR$119:$BR$131)</c:f>
              <c:numCache>
                <c:formatCode>0.0%</c:formatCode>
                <c:ptCount val="26"/>
                <c:pt idx="3">
                  <c:v>1</c:v>
                </c:pt>
                <c:pt idx="4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66-8A48-BFE4-CC7683AF5D84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AP'!$G$133:$G$146,'double AP'!$I$133:$I$146)</c:f>
              <c:numCache>
                <c:formatCode>0</c:formatCode>
                <c:ptCount val="28"/>
              </c:numCache>
            </c:numRef>
          </c:xVal>
          <c:yVal>
            <c:numRef>
              <c:f>('double AP'!$BS$133:$BS$146,'double AP'!$BR$133:$BR$146)</c:f>
              <c:numCache>
                <c:formatCode>0.0%</c:formatCode>
                <c:ptCount val="28"/>
                <c:pt idx="5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6-8A48-BFE4-CC7683AF5D84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('double AP'!$G$148:$G$162,'double AP'!$I$148:$I$162)</c:f>
              <c:numCache>
                <c:formatCode>0</c:formatCode>
                <c:ptCount val="30"/>
                <c:pt idx="0" formatCode="General">
                  <c:v>1304</c:v>
                </c:pt>
                <c:pt idx="1">
                  <c:v>1556</c:v>
                </c:pt>
                <c:pt idx="2">
                  <c:v>1520</c:v>
                </c:pt>
                <c:pt idx="3">
                  <c:v>1388</c:v>
                </c:pt>
                <c:pt idx="4">
                  <c:v>1566</c:v>
                </c:pt>
                <c:pt idx="5">
                  <c:v>1500</c:v>
                </c:pt>
                <c:pt idx="6">
                  <c:v>1144</c:v>
                </c:pt>
                <c:pt idx="7">
                  <c:v>1261</c:v>
                </c:pt>
                <c:pt idx="15" formatCode="General">
                  <c:v>1457</c:v>
                </c:pt>
                <c:pt idx="16">
                  <c:v>1480</c:v>
                </c:pt>
                <c:pt idx="17">
                  <c:v>1672</c:v>
                </c:pt>
                <c:pt idx="18">
                  <c:v>1554</c:v>
                </c:pt>
                <c:pt idx="19">
                  <c:v>1550</c:v>
                </c:pt>
                <c:pt idx="20">
                  <c:v>1360</c:v>
                </c:pt>
                <c:pt idx="21">
                  <c:v>1272</c:v>
                </c:pt>
                <c:pt idx="22">
                  <c:v>1677</c:v>
                </c:pt>
              </c:numCache>
            </c:numRef>
          </c:xVal>
          <c:yVal>
            <c:numRef>
              <c:f>('double AP'!$BS$148:$BS$162,'double AP'!$BR$148:$BR$162)</c:f>
              <c:numCache>
                <c:formatCode>0.0%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66-8A48-BFE4-CC7683AF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93936"/>
        <c:axId val="1"/>
      </c:scatterChart>
      <c:valAx>
        <c:axId val="700993936"/>
        <c:scaling>
          <c:orientation val="minMax"/>
          <c:max val="1800"/>
          <c:min val="0"/>
        </c:scaling>
        <c:delete val="0"/>
        <c:axPos val="b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numFmt formatCode="0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5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78787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numFmt formatCode="0.0%" sourceLinked="1"/>
        <c:majorTickMark val="out"/>
        <c:minorTickMark val="none"/>
        <c:tickLblPos val="nextTo"/>
        <c:spPr>
          <a:ln w="12700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993936"/>
        <c:crossesAt val="0"/>
        <c:crossBetween val="midCat"/>
        <c:majorUnit val="0.1"/>
        <c:minorUnit val="0.0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818465729758467"/>
          <c:y val="0.25"/>
          <c:w val="9.9155952024984284E-2"/>
          <c:h val="0.458333098987626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78787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ML'!$E$4:$E$16</c:f>
              <c:numCache>
                <c:formatCode>0</c:formatCode>
                <c:ptCount val="13"/>
                <c:pt idx="0">
                  <c:v>440</c:v>
                </c:pt>
                <c:pt idx="1">
                  <c:v>164</c:v>
                </c:pt>
                <c:pt idx="2">
                  <c:v>503</c:v>
                </c:pt>
                <c:pt idx="3">
                  <c:v>782</c:v>
                </c:pt>
                <c:pt idx="4">
                  <c:v>310</c:v>
                </c:pt>
                <c:pt idx="5">
                  <c:v>240</c:v>
                </c:pt>
                <c:pt idx="6">
                  <c:v>505</c:v>
                </c:pt>
                <c:pt idx="7">
                  <c:v>1069</c:v>
                </c:pt>
                <c:pt idx="8">
                  <c:v>470</c:v>
                </c:pt>
                <c:pt idx="9">
                  <c:v>979</c:v>
                </c:pt>
                <c:pt idx="10">
                  <c:v>1210</c:v>
                </c:pt>
              </c:numCache>
            </c:numRef>
          </c:xVal>
          <c:yVal>
            <c:numRef>
              <c:f>'double ML'!$Y$4:$Y$16</c:f>
              <c:numCache>
                <c:formatCode>0.0</c:formatCode>
                <c:ptCount val="13"/>
                <c:pt idx="0">
                  <c:v>70</c:v>
                </c:pt>
                <c:pt idx="1">
                  <c:v>53.05</c:v>
                </c:pt>
                <c:pt idx="2">
                  <c:v>76.150000000000006</c:v>
                </c:pt>
                <c:pt idx="3">
                  <c:v>82.15</c:v>
                </c:pt>
                <c:pt idx="4">
                  <c:v>61</c:v>
                </c:pt>
                <c:pt idx="5">
                  <c:v>59</c:v>
                </c:pt>
                <c:pt idx="6">
                  <c:v>83.35</c:v>
                </c:pt>
                <c:pt idx="7">
                  <c:v>87.35</c:v>
                </c:pt>
                <c:pt idx="8">
                  <c:v>70.400000000000006</c:v>
                </c:pt>
                <c:pt idx="9">
                  <c:v>93.25</c:v>
                </c:pt>
                <c:pt idx="10">
                  <c:v>94.4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3541-874E-6F294CB40FC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31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6.8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ML'!$E$17</c:f>
              <c:numCache>
                <c:formatCode>0.0</c:formatCode>
                <c:ptCount val="1"/>
                <c:pt idx="0">
                  <c:v>606.5454545454545</c:v>
                </c:pt>
              </c:numCache>
            </c:numRef>
          </c:xVal>
          <c:yVal>
            <c:numRef>
              <c:f>'double ML'!$Y$17</c:f>
              <c:numCache>
                <c:formatCode>0.0</c:formatCode>
                <c:ptCount val="1"/>
                <c:pt idx="0">
                  <c:v>75.463636363636368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7-3541-874E-6F294CB4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39600"/>
        <c:axId val="1"/>
      </c:scatterChart>
      <c:valAx>
        <c:axId val="702639600"/>
        <c:scaling>
          <c:orientation val="minMax"/>
          <c:max val="1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916726318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484848484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639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ML'!$E$37:$E$48</c:f>
              <c:numCache>
                <c:formatCode>0</c:formatCode>
                <c:ptCount val="12"/>
                <c:pt idx="0">
                  <c:v>500</c:v>
                </c:pt>
                <c:pt idx="1">
                  <c:v>390</c:v>
                </c:pt>
                <c:pt idx="2">
                  <c:v>285</c:v>
                </c:pt>
                <c:pt idx="3">
                  <c:v>480</c:v>
                </c:pt>
                <c:pt idx="4">
                  <c:v>614.4</c:v>
                </c:pt>
                <c:pt idx="5">
                  <c:v>768</c:v>
                </c:pt>
              </c:numCache>
            </c:numRef>
          </c:xVal>
          <c:yVal>
            <c:numRef>
              <c:f>'double ML'!$Y$37:$Y$48</c:f>
              <c:numCache>
                <c:formatCode>0.0</c:formatCode>
                <c:ptCount val="12"/>
                <c:pt idx="0">
                  <c:v>76.699999999999989</c:v>
                </c:pt>
                <c:pt idx="1">
                  <c:v>62</c:v>
                </c:pt>
                <c:pt idx="2">
                  <c:v>56.95</c:v>
                </c:pt>
                <c:pt idx="3">
                  <c:v>70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0943-A492-1FEBA307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69184"/>
        <c:axId val="1"/>
      </c:scatterChart>
      <c:valAx>
        <c:axId val="702669184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9079983423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736013261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66918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ML'!$E$50:$E$62</c:f>
              <c:numCache>
                <c:formatCode>0</c:formatCode>
                <c:ptCount val="13"/>
                <c:pt idx="0" formatCode="General">
                  <c:v>79</c:v>
                </c:pt>
                <c:pt idx="1">
                  <c:v>40</c:v>
                </c:pt>
                <c:pt idx="2">
                  <c:v>128</c:v>
                </c:pt>
                <c:pt idx="3">
                  <c:v>95</c:v>
                </c:pt>
                <c:pt idx="4">
                  <c:v>90</c:v>
                </c:pt>
                <c:pt idx="5">
                  <c:v>230</c:v>
                </c:pt>
              </c:numCache>
            </c:numRef>
          </c:xVal>
          <c:yVal>
            <c:numRef>
              <c:f>'double ML'!$Y$50:$Y$62</c:f>
              <c:numCache>
                <c:formatCode>0.0</c:formatCode>
                <c:ptCount val="13"/>
                <c:pt idx="0">
                  <c:v>74.400000000000006</c:v>
                </c:pt>
                <c:pt idx="1">
                  <c:v>54.3</c:v>
                </c:pt>
                <c:pt idx="2">
                  <c:v>75.3</c:v>
                </c:pt>
                <c:pt idx="3">
                  <c:v>78.349999999999994</c:v>
                </c:pt>
                <c:pt idx="4">
                  <c:v>75.3</c:v>
                </c:pt>
                <c:pt idx="5">
                  <c:v>88.4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3-1C46-9160-A8E2A09B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98784"/>
        <c:axId val="1"/>
      </c:scatterChart>
      <c:valAx>
        <c:axId val="702698784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91672631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484848484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698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ML'!$E$64:$E$76</c:f>
              <c:numCache>
                <c:formatCode>0</c:formatCode>
                <c:ptCount val="13"/>
                <c:pt idx="0">
                  <c:v>113</c:v>
                </c:pt>
                <c:pt idx="1">
                  <c:v>131</c:v>
                </c:pt>
                <c:pt idx="2">
                  <c:v>122</c:v>
                </c:pt>
                <c:pt idx="3">
                  <c:v>148</c:v>
                </c:pt>
                <c:pt idx="4">
                  <c:v>101</c:v>
                </c:pt>
                <c:pt idx="5">
                  <c:v>385</c:v>
                </c:pt>
                <c:pt idx="6">
                  <c:v>400</c:v>
                </c:pt>
                <c:pt idx="7">
                  <c:v>470</c:v>
                </c:pt>
                <c:pt idx="8">
                  <c:v>420</c:v>
                </c:pt>
              </c:numCache>
            </c:numRef>
          </c:xVal>
          <c:yVal>
            <c:numRef>
              <c:f>'double ML'!$Y$64:$Y$76</c:f>
              <c:numCache>
                <c:formatCode>0.0</c:formatCode>
                <c:ptCount val="13"/>
                <c:pt idx="0">
                  <c:v>69.55</c:v>
                </c:pt>
                <c:pt idx="1">
                  <c:v>63.35</c:v>
                </c:pt>
                <c:pt idx="2">
                  <c:v>73.849999999999994</c:v>
                </c:pt>
                <c:pt idx="3">
                  <c:v>70.949999999999989</c:v>
                </c:pt>
                <c:pt idx="4">
                  <c:v>72.099999999999994</c:v>
                </c:pt>
                <c:pt idx="5">
                  <c:v>94.4</c:v>
                </c:pt>
                <c:pt idx="6">
                  <c:v>95.3</c:v>
                </c:pt>
                <c:pt idx="7">
                  <c:v>95.65</c:v>
                </c:pt>
                <c:pt idx="8">
                  <c:v>95.25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0-7C48-A5A5-6762AB3026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1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4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ML'!$E$77</c:f>
              <c:numCache>
                <c:formatCode>0.0</c:formatCode>
                <c:ptCount val="1"/>
                <c:pt idx="0">
                  <c:v>254.44444444444446</c:v>
                </c:pt>
              </c:numCache>
            </c:numRef>
          </c:xVal>
          <c:yVal>
            <c:numRef>
              <c:f>'double ML'!$Y$77</c:f>
              <c:numCache>
                <c:formatCode>0.0</c:formatCode>
                <c:ptCount val="1"/>
                <c:pt idx="0">
                  <c:v>81.155555555555537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0-7C48-A5A5-6762AB3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18416"/>
        <c:axId val="1"/>
      </c:scatterChart>
      <c:valAx>
        <c:axId val="702718416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916726318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484848484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718416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634113663582413"/>
          <c:w val="0.65647002257293552"/>
          <c:h val="0.487803788786080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AP'!$E$18:$E$35</c:f>
              <c:numCache>
                <c:formatCode>0</c:formatCode>
                <c:ptCount val="18"/>
                <c:pt idx="0">
                  <c:v>600</c:v>
                </c:pt>
                <c:pt idx="1">
                  <c:v>650</c:v>
                </c:pt>
                <c:pt idx="2">
                  <c:v>900</c:v>
                </c:pt>
                <c:pt idx="3">
                  <c:v>1250</c:v>
                </c:pt>
                <c:pt idx="4">
                  <c:v>300</c:v>
                </c:pt>
                <c:pt idx="5">
                  <c:v>1000</c:v>
                </c:pt>
                <c:pt idx="6">
                  <c:v>1300</c:v>
                </c:pt>
                <c:pt idx="7">
                  <c:v>770</c:v>
                </c:pt>
                <c:pt idx="8">
                  <c:v>500</c:v>
                </c:pt>
                <c:pt idx="9">
                  <c:v>400</c:v>
                </c:pt>
                <c:pt idx="10">
                  <c:v>580</c:v>
                </c:pt>
                <c:pt idx="11">
                  <c:v>780</c:v>
                </c:pt>
                <c:pt idx="12">
                  <c:v>800</c:v>
                </c:pt>
                <c:pt idx="13">
                  <c:v>1120</c:v>
                </c:pt>
                <c:pt idx="14">
                  <c:v>1171</c:v>
                </c:pt>
                <c:pt idx="15">
                  <c:v>1384</c:v>
                </c:pt>
                <c:pt idx="16">
                  <c:v>1495</c:v>
                </c:pt>
                <c:pt idx="17">
                  <c:v>1622</c:v>
                </c:pt>
              </c:numCache>
            </c:numRef>
          </c:xVal>
          <c:yVal>
            <c:numRef>
              <c:f>'double AP'!$Z$18:$Z$35</c:f>
              <c:numCache>
                <c:formatCode>0.0</c:formatCode>
                <c:ptCount val="18"/>
                <c:pt idx="0">
                  <c:v>59.2</c:v>
                </c:pt>
                <c:pt idx="1">
                  <c:v>49.7</c:v>
                </c:pt>
                <c:pt idx="2">
                  <c:v>47.55</c:v>
                </c:pt>
                <c:pt idx="3">
                  <c:v>66.400000000000006</c:v>
                </c:pt>
                <c:pt idx="4">
                  <c:v>52.05</c:v>
                </c:pt>
                <c:pt idx="5">
                  <c:v>52.150000000000006</c:v>
                </c:pt>
                <c:pt idx="6">
                  <c:v>40.049999999999997</c:v>
                </c:pt>
                <c:pt idx="7">
                  <c:v>48.3</c:v>
                </c:pt>
                <c:pt idx="8">
                  <c:v>55.599999999999994</c:v>
                </c:pt>
                <c:pt idx="9">
                  <c:v>61.25</c:v>
                </c:pt>
                <c:pt idx="10">
                  <c:v>54.3</c:v>
                </c:pt>
                <c:pt idx="11">
                  <c:v>55.599999999999994</c:v>
                </c:pt>
                <c:pt idx="12">
                  <c:v>66.900000000000006</c:v>
                </c:pt>
                <c:pt idx="13">
                  <c:v>59</c:v>
                </c:pt>
                <c:pt idx="14">
                  <c:v>58.45</c:v>
                </c:pt>
                <c:pt idx="15">
                  <c:v>71.800000000000011</c:v>
                </c:pt>
                <c:pt idx="16">
                  <c:v>69.7</c:v>
                </c:pt>
                <c:pt idx="17">
                  <c:v>77.449999999999989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2-6340-A696-9972E3FEA34F}"/>
            </c:ext>
          </c:extLst>
        </c:ser>
        <c:ser>
          <c:idx val="1"/>
          <c:order val="1"/>
          <c:spPr>
            <a:ln w="38100">
              <a:solidFill>
                <a:srgbClr val="80808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errBars>
            <c:errDir val="y"/>
            <c:errBarType val="both"/>
            <c:errValType val="fixedVal"/>
            <c:noEndCap val="0"/>
            <c:val val="13.78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AP'!$E$36</c:f>
              <c:numCache>
                <c:formatCode>0</c:formatCode>
                <c:ptCount val="1"/>
                <c:pt idx="0">
                  <c:v>790</c:v>
                </c:pt>
              </c:numCache>
            </c:numRef>
          </c:xVal>
          <c:yVal>
            <c:numRef>
              <c:f>'double AP'!$Z$36</c:f>
              <c:numCache>
                <c:formatCode>0.0</c:formatCode>
                <c:ptCount val="1"/>
                <c:pt idx="0">
                  <c:v>55.599999999999994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2-6340-A696-9972E3FE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38144"/>
        <c:axId val="1"/>
      </c:scatterChart>
      <c:valAx>
        <c:axId val="700638144"/>
        <c:scaling>
          <c:orientation val="minMax"/>
          <c:max val="2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2681006337622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6584885730747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638144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ML'!$E$78:$E$95</c:f>
              <c:numCache>
                <c:formatCode>0</c:formatCode>
                <c:ptCount val="18"/>
                <c:pt idx="0">
                  <c:v>110</c:v>
                </c:pt>
                <c:pt idx="1">
                  <c:v>284</c:v>
                </c:pt>
                <c:pt idx="2">
                  <c:v>215</c:v>
                </c:pt>
                <c:pt idx="3">
                  <c:v>148</c:v>
                </c:pt>
                <c:pt idx="12" formatCode="0.0">
                  <c:v>189.25</c:v>
                </c:pt>
                <c:pt idx="14">
                  <c:v>37.215588131856791</c:v>
                </c:pt>
                <c:pt idx="15">
                  <c:v>30</c:v>
                </c:pt>
                <c:pt idx="16">
                  <c:v>53</c:v>
                </c:pt>
                <c:pt idx="17">
                  <c:v>96</c:v>
                </c:pt>
              </c:numCache>
            </c:numRef>
          </c:xVal>
          <c:yVal>
            <c:numRef>
              <c:f>'double ML'!$Y$78:$Y$89</c:f>
              <c:numCache>
                <c:formatCode>0.0</c:formatCode>
                <c:ptCount val="12"/>
                <c:pt idx="0">
                  <c:v>70.349999999999994</c:v>
                </c:pt>
                <c:pt idx="1">
                  <c:v>96.3</c:v>
                </c:pt>
                <c:pt idx="2">
                  <c:v>93.85</c:v>
                </c:pt>
                <c:pt idx="3">
                  <c:v>76.650000000000006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B-514F-861E-DD956428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30400"/>
        <c:axId val="1"/>
      </c:scatterChart>
      <c:valAx>
        <c:axId val="702730400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9079983423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736013261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730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371288999540224"/>
          <c:w val="0.65647002257293552"/>
          <c:h val="0.497007077900766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ML'!$E$18:$E$35</c:f>
              <c:numCache>
                <c:formatCode>0</c:formatCode>
                <c:ptCount val="18"/>
                <c:pt idx="1">
                  <c:v>900</c:v>
                </c:pt>
                <c:pt idx="2">
                  <c:v>800</c:v>
                </c:pt>
                <c:pt idx="3">
                  <c:v>750</c:v>
                </c:pt>
                <c:pt idx="4">
                  <c:v>600</c:v>
                </c:pt>
                <c:pt idx="5">
                  <c:v>400</c:v>
                </c:pt>
                <c:pt idx="6">
                  <c:v>300</c:v>
                </c:pt>
                <c:pt idx="7">
                  <c:v>400</c:v>
                </c:pt>
                <c:pt idx="8">
                  <c:v>400</c:v>
                </c:pt>
                <c:pt idx="9">
                  <c:v>250</c:v>
                </c:pt>
                <c:pt idx="10">
                  <c:v>200</c:v>
                </c:pt>
                <c:pt idx="11">
                  <c:v>300</c:v>
                </c:pt>
                <c:pt idx="12">
                  <c:v>300</c:v>
                </c:pt>
                <c:pt idx="13">
                  <c:v>450</c:v>
                </c:pt>
                <c:pt idx="14">
                  <c:v>500</c:v>
                </c:pt>
                <c:pt idx="15">
                  <c:v>350</c:v>
                </c:pt>
                <c:pt idx="16">
                  <c:v>850</c:v>
                </c:pt>
              </c:numCache>
            </c:numRef>
          </c:xVal>
          <c:yVal>
            <c:numRef>
              <c:f>'double ML'!$Y$18:$Y$35</c:f>
              <c:numCache>
                <c:formatCode>0.0</c:formatCode>
                <c:ptCount val="18"/>
                <c:pt idx="0">
                  <c:v>0</c:v>
                </c:pt>
                <c:pt idx="1">
                  <c:v>70</c:v>
                </c:pt>
                <c:pt idx="2">
                  <c:v>83</c:v>
                </c:pt>
                <c:pt idx="3">
                  <c:v>86.35</c:v>
                </c:pt>
                <c:pt idx="4">
                  <c:v>59.599999999999994</c:v>
                </c:pt>
                <c:pt idx="5">
                  <c:v>53.25</c:v>
                </c:pt>
                <c:pt idx="6">
                  <c:v>48.900000000000006</c:v>
                </c:pt>
                <c:pt idx="7">
                  <c:v>50.3</c:v>
                </c:pt>
                <c:pt idx="8">
                  <c:v>0</c:v>
                </c:pt>
                <c:pt idx="9">
                  <c:v>47.474999999999994</c:v>
                </c:pt>
                <c:pt idx="10">
                  <c:v>48.849999999999994</c:v>
                </c:pt>
                <c:pt idx="11">
                  <c:v>54.900000000000006</c:v>
                </c:pt>
                <c:pt idx="12">
                  <c:v>45.95</c:v>
                </c:pt>
                <c:pt idx="13">
                  <c:v>56.75</c:v>
                </c:pt>
                <c:pt idx="14">
                  <c:v>54.8</c:v>
                </c:pt>
                <c:pt idx="15">
                  <c:v>49.85</c:v>
                </c:pt>
                <c:pt idx="16">
                  <c:v>90.9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8-4844-BFD0-FF885662798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21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ML'!$E$36</c:f>
              <c:numCache>
                <c:formatCode>0.0</c:formatCode>
                <c:ptCount val="1"/>
                <c:pt idx="0">
                  <c:v>484.375</c:v>
                </c:pt>
              </c:numCache>
            </c:numRef>
          </c:xVal>
          <c:yVal>
            <c:numRef>
              <c:f>'double ML'!$Y$36</c:f>
              <c:numCache>
                <c:formatCode>0.0</c:formatCode>
                <c:ptCount val="1"/>
                <c:pt idx="0">
                  <c:v>60.05833333333333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8-4844-BFD0-FF885662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63984"/>
        <c:axId val="1"/>
      </c:scatterChart>
      <c:valAx>
        <c:axId val="702763984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6409071620538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742562119854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763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5275590551183"/>
          <c:y val="7.2156078657707054E-2"/>
          <c:w val="0.83637665585919407"/>
          <c:h val="0.731746300037102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ML'!$E$92:$E$105</c:f>
              <c:numCache>
                <c:formatCode>0</c:formatCode>
                <c:ptCount val="14"/>
                <c:pt idx="0">
                  <c:v>37.215588131856791</c:v>
                </c:pt>
                <c:pt idx="1">
                  <c:v>30</c:v>
                </c:pt>
                <c:pt idx="2">
                  <c:v>53</c:v>
                </c:pt>
                <c:pt idx="3">
                  <c:v>96</c:v>
                </c:pt>
              </c:numCache>
            </c:numRef>
          </c:xVal>
          <c:yVal>
            <c:numRef>
              <c:f>'double ML'!$Y$92:$Y$105</c:f>
              <c:numCache>
                <c:formatCode>0.0</c:formatCode>
                <c:ptCount val="14"/>
                <c:pt idx="0">
                  <c:v>59.05</c:v>
                </c:pt>
                <c:pt idx="1">
                  <c:v>0</c:v>
                </c:pt>
                <c:pt idx="2">
                  <c:v>53.6</c:v>
                </c:pt>
                <c:pt idx="3">
                  <c:v>53.95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8-3346-82C3-17D24123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17984"/>
        <c:axId val="1"/>
      </c:scatterChart>
      <c:valAx>
        <c:axId val="699217984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49647021769337657"/>
              <c:y val="0.87770870264253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5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0"/>
              <c:y val="0.28484849734097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9217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227070375640646"/>
          <c:y val="0.14634113663582413"/>
          <c:w val="0.64734337691501598"/>
          <c:h val="0.487803788786080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yVal>
            <c:numRef>
              <c:f>'double AP'!$Z$4:$Z$16</c:f>
              <c:numCache>
                <c:formatCode>0.0</c:formatCode>
                <c:ptCount val="13"/>
                <c:pt idx="0">
                  <c:v>55.349999999999994</c:v>
                </c:pt>
                <c:pt idx="1">
                  <c:v>64.400000000000006</c:v>
                </c:pt>
                <c:pt idx="2">
                  <c:v>47.1</c:v>
                </c:pt>
                <c:pt idx="3">
                  <c:v>53.3</c:v>
                </c:pt>
                <c:pt idx="4">
                  <c:v>36.25</c:v>
                </c:pt>
                <c:pt idx="5">
                  <c:v>45</c:v>
                </c:pt>
                <c:pt idx="6">
                  <c:v>42.85</c:v>
                </c:pt>
                <c:pt idx="7">
                  <c:v>53.5</c:v>
                </c:pt>
                <c:pt idx="8">
                  <c:v>52.05</c:v>
                </c:pt>
                <c:pt idx="9">
                  <c:v>48.849999999999994</c:v>
                </c:pt>
                <c:pt idx="10">
                  <c:v>52.55</c:v>
                </c:pt>
                <c:pt idx="11">
                  <c:v>51.95</c:v>
                </c:pt>
                <c:pt idx="12">
                  <c:v>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2-D54B-8615-A5E618D6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78080"/>
        <c:axId val="1"/>
      </c:scatterChart>
      <c:valAx>
        <c:axId val="700378080"/>
        <c:scaling>
          <c:orientation val="minMax"/>
          <c:max val="2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241583932443223"/>
              <c:y val="0.7926771653543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6231884057971016E-2"/>
              <c:y val="0.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37808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227070375640646"/>
          <c:y val="0.14634113663582413"/>
          <c:w val="0.64734337691501598"/>
          <c:h val="0.487803788786080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yVal>
            <c:numRef>
              <c:f>'double AP'!$Z$4:$Z$16</c:f>
              <c:numCache>
                <c:formatCode>0.0</c:formatCode>
                <c:ptCount val="13"/>
                <c:pt idx="0">
                  <c:v>55.349999999999994</c:v>
                </c:pt>
                <c:pt idx="1">
                  <c:v>64.400000000000006</c:v>
                </c:pt>
                <c:pt idx="2">
                  <c:v>47.1</c:v>
                </c:pt>
                <c:pt idx="3">
                  <c:v>53.3</c:v>
                </c:pt>
                <c:pt idx="4">
                  <c:v>36.25</c:v>
                </c:pt>
                <c:pt idx="5">
                  <c:v>45</c:v>
                </c:pt>
                <c:pt idx="6">
                  <c:v>42.85</c:v>
                </c:pt>
                <c:pt idx="7">
                  <c:v>53.5</c:v>
                </c:pt>
                <c:pt idx="8">
                  <c:v>52.05</c:v>
                </c:pt>
                <c:pt idx="9">
                  <c:v>48.849999999999994</c:v>
                </c:pt>
                <c:pt idx="10">
                  <c:v>52.55</c:v>
                </c:pt>
                <c:pt idx="11">
                  <c:v>51.95</c:v>
                </c:pt>
                <c:pt idx="12">
                  <c:v>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FB45-BCAC-D1145206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07568"/>
        <c:axId val="1"/>
      </c:scatterChart>
      <c:valAx>
        <c:axId val="700407568"/>
        <c:scaling>
          <c:orientation val="minMax"/>
          <c:max val="2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241583932443223"/>
              <c:y val="0.79268100633762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6231884057971016E-2"/>
              <c:y val="0.286584885730747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407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5836696110511"/>
          <c:y val="7.3008790405713314E-2"/>
          <c:w val="0.76190415102871711"/>
          <c:h val="0.7787604309942753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A2BFF8"/>
                </a:gs>
                <a:gs pos="100000">
                  <a:srgbClr val="3870B1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(contour!$B$3,contour!$E$3,contour!$H$3)</c:f>
              <c:numCache>
                <c:formatCode>0.0%</c:formatCode>
                <c:ptCount val="3"/>
                <c:pt idx="0">
                  <c:v>0.89392287896068978</c:v>
                </c:pt>
                <c:pt idx="1">
                  <c:v>0.6014310676399699</c:v>
                </c:pt>
                <c:pt idx="2">
                  <c:v>0.29046588932269946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F-0347-89DF-C6254911FACA}"/>
            </c:ext>
          </c:extLst>
        </c:ser>
        <c:ser>
          <c:idx val="1"/>
          <c:order val="1"/>
          <c:spPr>
            <a:gradFill rotWithShape="0">
              <a:gsLst>
                <a:gs pos="0">
                  <a:srgbClr val="FAA1A0"/>
                </a:gs>
                <a:gs pos="100000">
                  <a:srgbClr val="B43936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(contour!$B$4,contour!$E$4,contour!$H$4)</c:f>
              <c:numCache>
                <c:formatCode>0.0%</c:formatCode>
                <c:ptCount val="3"/>
                <c:pt idx="0">
                  <c:v>0.85770503434161005</c:v>
                </c:pt>
                <c:pt idx="1">
                  <c:v>0.33889074576539047</c:v>
                </c:pt>
                <c:pt idx="2">
                  <c:v>2.5652184566129929E-2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F-0347-89DF-C6254911FACA}"/>
            </c:ext>
          </c:extLst>
        </c:ser>
        <c:ser>
          <c:idx val="2"/>
          <c:order val="2"/>
          <c:spPr>
            <a:gradFill rotWithShape="0">
              <a:gsLst>
                <a:gs pos="0">
                  <a:srgbClr val="D4F4A6"/>
                </a:gs>
                <a:gs pos="100000">
                  <a:srgbClr val="8BAD44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(contour!$B$5,contour!$E$5,contour!$H$5)</c:f>
              <c:numCache>
                <c:formatCode>0.0%</c:formatCode>
                <c:ptCount val="3"/>
                <c:pt idx="0">
                  <c:v>0.7914949662241848</c:v>
                </c:pt>
                <c:pt idx="1">
                  <c:v>0.20342018328720446</c:v>
                </c:pt>
                <c:pt idx="2">
                  <c:v>3.3979312558391685E-2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F-0347-89DF-C6254911FACA}"/>
            </c:ext>
          </c:extLst>
        </c:ser>
        <c:ser>
          <c:idx val="3"/>
          <c:order val="3"/>
          <c:spPr>
            <a:gradFill rotWithShape="0">
              <a:gsLst>
                <a:gs pos="0">
                  <a:srgbClr val="C5B3E2"/>
                </a:gs>
                <a:gs pos="100000">
                  <a:srgbClr val="705194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(contour!$B$6,contour!$E$6,contour!$H$6)</c:f>
              <c:numCache>
                <c:formatCode>0.0%</c:formatCode>
                <c:ptCount val="3"/>
                <c:pt idx="0">
                  <c:v>0.37425597290266316</c:v>
                </c:pt>
                <c:pt idx="1">
                  <c:v>4.4916253663057147E-2</c:v>
                </c:pt>
                <c:pt idx="2">
                  <c:v>1.3737199230463923E-2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F-0347-89DF-C6254911FACA}"/>
            </c:ext>
          </c:extLst>
        </c:ser>
        <c:ser>
          <c:idx val="4"/>
          <c:order val="4"/>
          <c:spPr>
            <a:gradFill rotWithShape="0">
              <a:gsLst>
                <a:gs pos="0">
                  <a:srgbClr val="9DE2FF"/>
                </a:gs>
                <a:gs pos="100000">
                  <a:srgbClr val="339EBD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(contour!$B$7,contour!$E$7,contour!$H$7)</c:f>
              <c:numCache>
                <c:formatCode>0.0%</c:formatCode>
                <c:ptCount val="3"/>
                <c:pt idx="0">
                  <c:v>0.20615697643887795</c:v>
                </c:pt>
                <c:pt idx="1">
                  <c:v>2.6336124474933102E-2</c:v>
                </c:pt>
                <c:pt idx="2">
                  <c:v>8.8745585967349976E-3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F-0347-89DF-C6254911FACA}"/>
            </c:ext>
          </c:extLst>
        </c:ser>
        <c:ser>
          <c:idx val="5"/>
          <c:order val="5"/>
          <c:spPr>
            <a:gradFill rotWithShape="0">
              <a:gsLst>
                <a:gs pos="0">
                  <a:srgbClr val="FFB885"/>
                </a:gs>
                <a:gs pos="100000">
                  <a:srgbClr val="F28225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(contour!$B$8,contour!$E$8,contour!$H$8)</c:f>
              <c:numCache>
                <c:formatCode>0.0%</c:formatCode>
                <c:ptCount val="3"/>
                <c:pt idx="0">
                  <c:v>0.10078879623185798</c:v>
                </c:pt>
                <c:pt idx="1">
                  <c:v>1.8689229173474386E-2</c:v>
                </c:pt>
                <c:pt idx="2">
                  <c:v>7.1808438137300505E-3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F-0347-89DF-C6254911FACA}"/>
            </c:ext>
          </c:extLst>
        </c:ser>
        <c:ser>
          <c:idx val="6"/>
          <c:order val="6"/>
          <c:spPr>
            <a:solidFill>
              <a:srgbClr val="91A8CE"/>
            </a:soli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(contour!$B$9,contour!$E$9,contour!$H$9)</c:f>
              <c:numCache>
                <c:formatCode>0.0%</c:formatCode>
                <c:ptCount val="3"/>
                <c:pt idx="0">
                  <c:v>3.3468044142414818E-2</c:v>
                </c:pt>
                <c:pt idx="1">
                  <c:v>1.7417724895038907E-2</c:v>
                </c:pt>
                <c:pt idx="2">
                  <c:v>3.7592537409231325E-3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F-0347-89DF-C6254911FACA}"/>
            </c:ext>
          </c:extLst>
        </c:ser>
        <c:ser>
          <c:idx val="7"/>
          <c:order val="7"/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(contour!$B$10,contour!$E$10,contour!$H$10)</c:f>
              <c:numCache>
                <c:formatCode>0.0%</c:formatCode>
                <c:ptCount val="3"/>
                <c:pt idx="0">
                  <c:v>3.4546263501738853E-2</c:v>
                </c:pt>
                <c:pt idx="1">
                  <c:v>1.4155424027233411E-2</c:v>
                </c:pt>
                <c:pt idx="2">
                  <c:v>8.5974697028109986E-3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F-0347-89DF-C6254911FACA}"/>
            </c:ext>
          </c:extLst>
        </c:ser>
        <c:ser>
          <c:idx val="8"/>
          <c:order val="8"/>
          <c:spPr>
            <a:solidFill>
              <a:srgbClr val="B1CA94"/>
            </a:solidFill>
            <a:ln w="25400">
              <a:noFill/>
            </a:ln>
          </c:spPr>
          <c:invertIfNegative val="0"/>
          <c:cat>
            <c:strRef>
              <c:f>contour!$B$2:$H$2</c:f>
              <c:strCache>
                <c:ptCount val="7"/>
                <c:pt idx="0">
                  <c:v>&gt;1%</c:v>
                </c:pt>
                <c:pt idx="1">
                  <c:v>&gt;1% +/-</c:v>
                </c:pt>
                <c:pt idx="2">
                  <c:v>&gt;1% n</c:v>
                </c:pt>
                <c:pt idx="3">
                  <c:v>&gt;10%</c:v>
                </c:pt>
                <c:pt idx="4">
                  <c:v>&gt;10% +/-</c:v>
                </c:pt>
                <c:pt idx="5">
                  <c:v>&gt;10% n</c:v>
                </c:pt>
                <c:pt idx="6">
                  <c:v>&gt;20%</c:v>
                </c:pt>
              </c:strCache>
            </c:strRef>
          </c:cat>
          <c:val>
            <c:numRef>
              <c:f>(contour!$B$11,contour!$E$11,contour!$H$11)</c:f>
              <c:numCache>
                <c:formatCode>0.0%</c:formatCode>
                <c:ptCount val="3"/>
                <c:pt idx="0">
                  <c:v>3.2664180107733344E-2</c:v>
                </c:pt>
                <c:pt idx="1">
                  <c:v>8.6466242175527296E-3</c:v>
                </c:pt>
                <c:pt idx="2">
                  <c:v>2.2400885941013262E-3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F-0347-89DF-C6254911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555680"/>
        <c:axId val="1"/>
      </c:barChart>
      <c:catAx>
        <c:axId val="7025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Density of label</a:t>
                </a:r>
              </a:p>
            </c:rich>
          </c:tx>
          <c:layout>
            <c:manualLayout>
              <c:xMode val="edge"/>
              <c:yMode val="edge"/>
              <c:x val="0.43513918518805839"/>
              <c:y val="0.90929133858267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Amount of retina under contour lines</a:t>
                </a:r>
              </a:p>
            </c:rich>
          </c:tx>
          <c:layout>
            <c:manualLayout>
              <c:xMode val="edge"/>
              <c:yMode val="edge"/>
              <c:x val="6.5681444991789817E-3"/>
              <c:y val="0.4247784126541704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555680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653465730576777"/>
          <c:y val="0.11725646296425336"/>
          <c:w val="6.8965517241379337E-2"/>
          <c:h val="0.2610617726987666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2968653923796"/>
          <c:y val="5.4704565961472815E-2"/>
          <c:w val="0.79054021452198975"/>
          <c:h val="0.81181575886825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contour!$B$2</c:f>
              <c:strCache>
                <c:ptCount val="1"/>
                <c:pt idx="0">
                  <c:v>&gt;1%</c:v>
                </c:pt>
              </c:strCache>
            </c:strRef>
          </c:tx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contour!$A$3:$A$10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</c:strCache>
            </c:strRef>
          </c:cat>
          <c:val>
            <c:numRef>
              <c:f>contour!$B$3:$B$10</c:f>
              <c:numCache>
                <c:formatCode>0.0%</c:formatCode>
                <c:ptCount val="8"/>
                <c:pt idx="0">
                  <c:v>0.89392287896068978</c:v>
                </c:pt>
                <c:pt idx="1">
                  <c:v>0.85770503434161005</c:v>
                </c:pt>
                <c:pt idx="2">
                  <c:v>0.7914949662241848</c:v>
                </c:pt>
                <c:pt idx="3">
                  <c:v>0.37425597290266316</c:v>
                </c:pt>
                <c:pt idx="4">
                  <c:v>0.20615697643887795</c:v>
                </c:pt>
                <c:pt idx="5">
                  <c:v>0.10078879623185798</c:v>
                </c:pt>
                <c:pt idx="6">
                  <c:v>3.3468044142414818E-2</c:v>
                </c:pt>
                <c:pt idx="7">
                  <c:v>3.4546263501738853E-2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A-8E4E-9B4A-FA57EC345BB4}"/>
            </c:ext>
          </c:extLst>
        </c:ser>
        <c:ser>
          <c:idx val="1"/>
          <c:order val="1"/>
          <c:tx>
            <c:strRef>
              <c:f>contour!$E$2</c:f>
              <c:strCache>
                <c:ptCount val="1"/>
                <c:pt idx="0">
                  <c:v>&gt;10%</c:v>
                </c:pt>
              </c:strCache>
            </c:strRef>
          </c:tx>
          <c:spPr>
            <a:gradFill rotWithShape="0">
              <a:gsLst>
                <a:gs pos="0">
                  <a:srgbClr val="FF9A99"/>
                </a:gs>
                <a:gs pos="100000">
                  <a:srgbClr val="D1403C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contour!$A$3:$A$10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</c:strCache>
            </c:strRef>
          </c:cat>
          <c:val>
            <c:numRef>
              <c:f>contour!$E$3:$E$10</c:f>
              <c:numCache>
                <c:formatCode>0.0%</c:formatCode>
                <c:ptCount val="8"/>
                <c:pt idx="0">
                  <c:v>0.6014310676399699</c:v>
                </c:pt>
                <c:pt idx="1">
                  <c:v>0.33889074576539047</c:v>
                </c:pt>
                <c:pt idx="2">
                  <c:v>0.20342018328720446</c:v>
                </c:pt>
                <c:pt idx="3">
                  <c:v>4.4916253663057147E-2</c:v>
                </c:pt>
                <c:pt idx="4">
                  <c:v>2.6336124474933102E-2</c:v>
                </c:pt>
                <c:pt idx="5">
                  <c:v>1.8689229173474386E-2</c:v>
                </c:pt>
                <c:pt idx="6">
                  <c:v>1.7417724895038907E-2</c:v>
                </c:pt>
                <c:pt idx="7">
                  <c:v>1.4155424027233411E-2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A-8E4E-9B4A-FA57EC345BB4}"/>
            </c:ext>
          </c:extLst>
        </c:ser>
        <c:ser>
          <c:idx val="2"/>
          <c:order val="2"/>
          <c:tx>
            <c:strRef>
              <c:f>contour!$H$2</c:f>
              <c:strCache>
                <c:ptCount val="1"/>
                <c:pt idx="0">
                  <c:v>&gt;20%</c:v>
                </c:pt>
              </c:strCache>
            </c:strRef>
          </c:tx>
          <c:spPr>
            <a:gradFill rotWithShape="0">
              <a:gsLst>
                <a:gs pos="0">
                  <a:srgbClr val="DCFFA0"/>
                </a:gs>
                <a:gs pos="100000">
                  <a:srgbClr val="A0CA4A"/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contour!$A$3:$A$10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</c:strCache>
            </c:strRef>
          </c:cat>
          <c:val>
            <c:numRef>
              <c:f>contour!$H$3:$H$10</c:f>
              <c:numCache>
                <c:formatCode>0.0%</c:formatCode>
                <c:ptCount val="8"/>
                <c:pt idx="0">
                  <c:v>0.29046588932269946</c:v>
                </c:pt>
                <c:pt idx="1">
                  <c:v>2.5652184566129929E-2</c:v>
                </c:pt>
                <c:pt idx="2">
                  <c:v>3.3979312558391685E-2</c:v>
                </c:pt>
                <c:pt idx="3">
                  <c:v>1.3737199230463923E-2</c:v>
                </c:pt>
                <c:pt idx="4">
                  <c:v>8.8745585967349976E-3</c:v>
                </c:pt>
                <c:pt idx="5">
                  <c:v>7.1808438137300505E-3</c:v>
                </c:pt>
                <c:pt idx="6">
                  <c:v>3.7592537409231325E-3</c:v>
                </c:pt>
                <c:pt idx="7">
                  <c:v>8.5974697028109986E-3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A-8E4E-9B4A-FA57EC34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591552"/>
        <c:axId val="1"/>
      </c:barChart>
      <c:catAx>
        <c:axId val="70259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Postnatal age (days)</a:t>
                </a:r>
              </a:p>
            </c:rich>
          </c:tx>
          <c:layout>
            <c:manualLayout>
              <c:xMode val="edge"/>
              <c:yMode val="edge"/>
              <c:x val="0.42567554266865293"/>
              <c:y val="0.923413049845793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Amount of retina under contour lines</a:t>
                </a:r>
              </a:p>
            </c:rich>
          </c:tx>
          <c:layout>
            <c:manualLayout>
              <c:xMode val="edge"/>
              <c:yMode val="edge"/>
              <c:x val="6.7567567567567571E-3"/>
              <c:y val="0.42231930253794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591552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020230368163444"/>
          <c:y val="0.40919019969330966"/>
          <c:w val="6.0810810810810856E-2"/>
          <c:h val="8.75273522975930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retinal growth</a:t>
            </a:r>
          </a:p>
        </c:rich>
      </c:tx>
      <c:layout>
        <c:manualLayout>
          <c:xMode val="edge"/>
          <c:yMode val="edge"/>
          <c:x val="0.34453737400472001"/>
          <c:y val="3.6866359447004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502477647828"/>
          <c:y val="0.2903232339142468"/>
          <c:w val="0.59383672280297672"/>
          <c:h val="0.539171720126458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xVal>
            <c:numRef>
              <c:f>contour!$L$2:$L$10</c:f>
              <c:numCache>
                <c:formatCode>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  <c:pt idx="8">
                  <c:v>50</c:v>
                </c:pt>
              </c:numCache>
            </c:numRef>
          </c:xVal>
          <c:yVal>
            <c:numRef>
              <c:f>contour!$M$2:$M$10</c:f>
              <c:numCache>
                <c:formatCode>0%</c:formatCode>
                <c:ptCount val="9"/>
                <c:pt idx="0">
                  <c:v>10.969380000000001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C-534B-81D1-89406A07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95744"/>
        <c:axId val="1"/>
      </c:scatterChart>
      <c:valAx>
        <c:axId val="648495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495744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190365910143587"/>
          <c:y val="0.49769694110816792"/>
          <c:w val="0.22128829484549728"/>
          <c:h val="0.124424325991509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P0 A-P retinae</a:t>
            </a:r>
          </a:p>
        </c:rich>
      </c:tx>
      <c:layout>
        <c:manualLayout>
          <c:xMode val="edge"/>
          <c:yMode val="edge"/>
          <c:x val="0.34540389972144847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84122562674094"/>
          <c:y val="0.22602749175084436"/>
          <c:w val="0.52089136490250698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AP'!$B$4</c:f>
              <c:strCache>
                <c:ptCount val="1"/>
                <c:pt idx="0">
                  <c:v>gm116-2</c:v>
                </c:pt>
              </c:strCache>
            </c:strRef>
          </c:tx>
          <c:spPr>
            <a:ln w="12700">
              <a:solidFill>
                <a:srgbClr val="3870B1"/>
              </a:solidFill>
              <a:prstDash val="solid"/>
            </a:ln>
          </c:spPr>
          <c:marker>
            <c:symbol val="none"/>
          </c:marker>
          <c:xVal>
            <c:numRef>
              <c:f>('double AP'!$AV$4,'double AP'!$AX$4)</c:f>
              <c:numCache>
                <c:formatCode>0</c:formatCode>
                <c:ptCount val="2"/>
                <c:pt idx="0">
                  <c:v>400</c:v>
                </c:pt>
                <c:pt idx="1">
                  <c:v>900</c:v>
                </c:pt>
              </c:numCache>
            </c:numRef>
          </c:xVal>
          <c:yVal>
            <c:numRef>
              <c:f>('double AP'!$AW$4,'double AP'!$AY$4)</c:f>
              <c:numCache>
                <c:formatCode>0</c:formatCode>
                <c:ptCount val="2"/>
                <c:pt idx="0">
                  <c:v>-380</c:v>
                </c:pt>
                <c:pt idx="1">
                  <c:v>-710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2646-B7D8-FD7378F56FCB}"/>
            </c:ext>
          </c:extLst>
        </c:ser>
        <c:ser>
          <c:idx val="1"/>
          <c:order val="1"/>
          <c:tx>
            <c:strRef>
              <c:f>'double AP'!$B$6</c:f>
              <c:strCache>
                <c:ptCount val="1"/>
                <c:pt idx="0">
                  <c:v>gm116-5</c:v>
                </c:pt>
              </c:strCache>
            </c:strRef>
          </c:tx>
          <c:spPr>
            <a:ln w="12700">
              <a:solidFill>
                <a:srgbClr val="B43936"/>
              </a:solidFill>
              <a:prstDash val="solid"/>
            </a:ln>
          </c:spPr>
          <c:marker>
            <c:symbol val="none"/>
          </c:marker>
          <c:xVal>
            <c:numRef>
              <c:f>('double AP'!$AV$6,'double AP'!$AX$6)</c:f>
              <c:numCache>
                <c:formatCode>0</c:formatCode>
                <c:ptCount val="2"/>
                <c:pt idx="0">
                  <c:v>0</c:v>
                </c:pt>
                <c:pt idx="1">
                  <c:v>-400</c:v>
                </c:pt>
              </c:numCache>
            </c:numRef>
          </c:xVal>
          <c:yVal>
            <c:numRef>
              <c:f>('double AP'!$AW$6,'double AP'!$AY$6)</c:f>
              <c:numCache>
                <c:formatCode>0</c:formatCode>
                <c:ptCount val="2"/>
                <c:pt idx="0">
                  <c:v>-650</c:v>
                </c:pt>
                <c:pt idx="1">
                  <c:v>-950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3-2646-B7D8-FD7378F56FCB}"/>
            </c:ext>
          </c:extLst>
        </c:ser>
        <c:ser>
          <c:idx val="2"/>
          <c:order val="2"/>
          <c:tx>
            <c:strRef>
              <c:f>'double AP'!$B$7</c:f>
              <c:strCache>
                <c:ptCount val="1"/>
                <c:pt idx="0">
                  <c:v>gm119-1</c:v>
                </c:pt>
              </c:strCache>
            </c:strRef>
          </c:tx>
          <c:spPr>
            <a:ln w="12700">
              <a:solidFill>
                <a:srgbClr val="8BAD44"/>
              </a:solidFill>
              <a:prstDash val="solid"/>
            </a:ln>
          </c:spPr>
          <c:marker>
            <c:symbol val="none"/>
          </c:marker>
          <c:xVal>
            <c:numRef>
              <c:f>('double AP'!$AV$7,'double AP'!$AX$7)</c:f>
              <c:numCache>
                <c:formatCode>0</c:formatCode>
                <c:ptCount val="2"/>
                <c:pt idx="0">
                  <c:v>40</c:v>
                </c:pt>
                <c:pt idx="1">
                  <c:v>410</c:v>
                </c:pt>
              </c:numCache>
            </c:numRef>
          </c:xVal>
          <c:yVal>
            <c:numRef>
              <c:f>('double AP'!$AW$7,'double AP'!$AY$7)</c:f>
              <c:numCache>
                <c:formatCode>0</c:formatCode>
                <c:ptCount val="2"/>
                <c:pt idx="0">
                  <c:v>1180</c:v>
                </c:pt>
                <c:pt idx="1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3-2646-B7D8-FD7378F56FCB}"/>
            </c:ext>
          </c:extLst>
        </c:ser>
        <c:ser>
          <c:idx val="3"/>
          <c:order val="3"/>
          <c:tx>
            <c:strRef>
              <c:f>'double AP'!$B$8</c:f>
              <c:strCache>
                <c:ptCount val="1"/>
                <c:pt idx="0">
                  <c:v>gm119-2</c:v>
                </c:pt>
              </c:strCache>
            </c:strRef>
          </c:tx>
          <c:spPr>
            <a:ln w="12700">
              <a:solidFill>
                <a:srgbClr val="705194"/>
              </a:solidFill>
              <a:prstDash val="solid"/>
            </a:ln>
          </c:spPr>
          <c:marker>
            <c:symbol val="none"/>
          </c:marker>
          <c:xVal>
            <c:numRef>
              <c:f>('double AP'!$AV$8,'double AP'!$AX$8)</c:f>
              <c:numCache>
                <c:formatCode>0</c:formatCode>
                <c:ptCount val="2"/>
                <c:pt idx="0">
                  <c:v>0</c:v>
                </c:pt>
                <c:pt idx="1">
                  <c:v>640</c:v>
                </c:pt>
              </c:numCache>
            </c:numRef>
          </c:xVal>
          <c:yVal>
            <c:numRef>
              <c:f>('double AP'!$AW$8,'double AP'!$AY$8)</c:f>
              <c:numCache>
                <c:formatCode>0</c:formatCode>
                <c:ptCount val="2"/>
                <c:pt idx="0">
                  <c:v>-700</c:v>
                </c:pt>
                <c:pt idx="1">
                  <c:v>-400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3-2646-B7D8-FD7378F56FCB}"/>
            </c:ext>
          </c:extLst>
        </c:ser>
        <c:ser>
          <c:idx val="4"/>
          <c:order val="4"/>
          <c:tx>
            <c:strRef>
              <c:f>'double AP'!$B$9</c:f>
              <c:strCache>
                <c:ptCount val="1"/>
                <c:pt idx="0">
                  <c:v>gm119-3</c:v>
                </c:pt>
              </c:strCache>
            </c:strRef>
          </c:tx>
          <c:spPr>
            <a:ln w="12700">
              <a:solidFill>
                <a:srgbClr val="339EBD"/>
              </a:solidFill>
              <a:prstDash val="solid"/>
            </a:ln>
          </c:spPr>
          <c:marker>
            <c:symbol val="none"/>
          </c:marker>
          <c:xVal>
            <c:numRef>
              <c:f>('double AP'!$AV$9,'double AP'!$AX$9)</c:f>
              <c:numCache>
                <c:formatCode>0</c:formatCode>
                <c:ptCount val="2"/>
                <c:pt idx="0">
                  <c:v>200</c:v>
                </c:pt>
                <c:pt idx="1">
                  <c:v>760</c:v>
                </c:pt>
              </c:numCache>
            </c:numRef>
          </c:xVal>
          <c:yVal>
            <c:numRef>
              <c:f>('double AP'!$AW$9,'double AP'!$AY$9)</c:f>
              <c:numCache>
                <c:formatCode>0</c:formatCode>
                <c:ptCount val="2"/>
                <c:pt idx="0">
                  <c:v>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3-2646-B7D8-FD7378F56FCB}"/>
            </c:ext>
          </c:extLst>
        </c:ser>
        <c:ser>
          <c:idx val="5"/>
          <c:order val="5"/>
          <c:tx>
            <c:strRef>
              <c:f>'double AP'!$B$10</c:f>
              <c:strCache>
                <c:ptCount val="1"/>
                <c:pt idx="0">
                  <c:v>gm119-4</c:v>
                </c:pt>
              </c:strCache>
            </c:strRef>
          </c:tx>
          <c:spPr>
            <a:ln w="12700">
              <a:solidFill>
                <a:srgbClr val="DB8238"/>
              </a:solidFill>
              <a:prstDash val="solid"/>
            </a:ln>
          </c:spPr>
          <c:marker>
            <c:symbol val="none"/>
          </c:marker>
          <c:xVal>
            <c:numRef>
              <c:f>('double AP'!$AV$10,'double AP'!$AX$10)</c:f>
              <c:numCache>
                <c:formatCode>0</c:formatCode>
                <c:ptCount val="2"/>
                <c:pt idx="0">
                  <c:v>500</c:v>
                </c:pt>
                <c:pt idx="1">
                  <c:v>920</c:v>
                </c:pt>
              </c:numCache>
            </c:numRef>
          </c:xVal>
          <c:yVal>
            <c:numRef>
              <c:f>('double AP'!$AW$10,'double AP'!$AY$10)</c:f>
              <c:numCache>
                <c:formatCode>0</c:formatCode>
                <c:ptCount val="2"/>
                <c:pt idx="0">
                  <c:v>0</c:v>
                </c:pt>
                <c:pt idx="1">
                  <c:v>-200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3-2646-B7D8-FD7378F56FCB}"/>
            </c:ext>
          </c:extLst>
        </c:ser>
        <c:ser>
          <c:idx val="6"/>
          <c:order val="6"/>
          <c:tx>
            <c:strRef>
              <c:f>'double AP'!$B$11</c:f>
              <c:strCache>
                <c:ptCount val="1"/>
                <c:pt idx="0">
                  <c:v>gm121-1</c:v>
                </c:pt>
              </c:strCache>
            </c:strRef>
          </c:tx>
          <c:spPr>
            <a:ln w="12700">
              <a:solidFill>
                <a:srgbClr val="91A8CE"/>
              </a:solidFill>
              <a:prstDash val="solid"/>
            </a:ln>
          </c:spPr>
          <c:marker>
            <c:symbol val="none"/>
          </c:marker>
          <c:xVal>
            <c:numRef>
              <c:f>('double AP'!$AV$11,'double AP'!$AX$11)</c:f>
              <c:numCache>
                <c:formatCode>0</c:formatCode>
                <c:ptCount val="2"/>
                <c:pt idx="0">
                  <c:v>1200</c:v>
                </c:pt>
                <c:pt idx="1">
                  <c:v>-750</c:v>
                </c:pt>
              </c:numCache>
            </c:numRef>
          </c:xVal>
          <c:yVal>
            <c:numRef>
              <c:f>('double AP'!$AW$11,'double AP'!$AY$11)</c:f>
              <c:numCache>
                <c:formatCode>0</c:formatCode>
                <c:ptCount val="2"/>
                <c:pt idx="0">
                  <c:v>-100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3-2646-B7D8-FD7378F5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85312"/>
        <c:axId val="1"/>
      </c:scatterChart>
      <c:valAx>
        <c:axId val="702785312"/>
        <c:scaling>
          <c:orientation val="minMax"/>
          <c:max val="1500"/>
          <c:min val="-15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6211699164345401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621169916434540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785312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501392757660162"/>
          <c:y val="0.38356191349369001"/>
          <c:w val="0.17827298050139273"/>
          <c:h val="0.3150684931506849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P2 A-P retinae</a:t>
            </a:r>
          </a:p>
        </c:rich>
      </c:tx>
      <c:layout>
        <c:manualLayout>
          <c:xMode val="edge"/>
          <c:yMode val="edge"/>
          <c:x val="0.34540389972144847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426183844011144E-2"/>
          <c:y val="0.19178090209162552"/>
          <c:w val="0.93593314763231195"/>
          <c:h val="0.7705482673324239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812848"/>
        <c:axId val="1"/>
      </c:barChart>
      <c:catAx>
        <c:axId val="70281284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812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AP'!$E$52:$E$71</c:f>
              <c:numCache>
                <c:formatCode>0</c:formatCode>
                <c:ptCount val="20"/>
                <c:pt idx="0">
                  <c:v>200</c:v>
                </c:pt>
                <c:pt idx="1">
                  <c:v>120</c:v>
                </c:pt>
                <c:pt idx="2">
                  <c:v>50</c:v>
                </c:pt>
                <c:pt idx="3">
                  <c:v>416</c:v>
                </c:pt>
                <c:pt idx="4">
                  <c:v>100</c:v>
                </c:pt>
                <c:pt idx="5">
                  <c:v>304</c:v>
                </c:pt>
                <c:pt idx="6">
                  <c:v>334</c:v>
                </c:pt>
                <c:pt idx="7">
                  <c:v>207</c:v>
                </c:pt>
                <c:pt idx="8">
                  <c:v>114</c:v>
                </c:pt>
                <c:pt idx="9">
                  <c:v>205</c:v>
                </c:pt>
                <c:pt idx="10">
                  <c:v>50</c:v>
                </c:pt>
                <c:pt idx="11">
                  <c:v>457</c:v>
                </c:pt>
                <c:pt idx="12">
                  <c:v>400</c:v>
                </c:pt>
                <c:pt idx="13">
                  <c:v>400</c:v>
                </c:pt>
                <c:pt idx="14">
                  <c:v>300</c:v>
                </c:pt>
                <c:pt idx="15">
                  <c:v>105</c:v>
                </c:pt>
                <c:pt idx="16">
                  <c:v>940</c:v>
                </c:pt>
                <c:pt idx="17">
                  <c:v>815</c:v>
                </c:pt>
                <c:pt idx="18">
                  <c:v>950</c:v>
                </c:pt>
                <c:pt idx="19">
                  <c:v>790</c:v>
                </c:pt>
              </c:numCache>
            </c:numRef>
          </c:xVal>
          <c:yVal>
            <c:numRef>
              <c:f>'double AP'!$Z$52:$Z$71</c:f>
              <c:numCache>
                <c:formatCode>0.0</c:formatCode>
                <c:ptCount val="20"/>
                <c:pt idx="0">
                  <c:v>79.75</c:v>
                </c:pt>
                <c:pt idx="1">
                  <c:v>64.550000000000011</c:v>
                </c:pt>
                <c:pt idx="2">
                  <c:v>56.849999999999994</c:v>
                </c:pt>
                <c:pt idx="3">
                  <c:v>88.95</c:v>
                </c:pt>
                <c:pt idx="4">
                  <c:v>72.25</c:v>
                </c:pt>
                <c:pt idx="5">
                  <c:v>83.3</c:v>
                </c:pt>
                <c:pt idx="6">
                  <c:v>80.150000000000006</c:v>
                </c:pt>
                <c:pt idx="7">
                  <c:v>70.699999999999989</c:v>
                </c:pt>
                <c:pt idx="8">
                  <c:v>73</c:v>
                </c:pt>
                <c:pt idx="9">
                  <c:v>84.8</c:v>
                </c:pt>
                <c:pt idx="10">
                  <c:v>46.45</c:v>
                </c:pt>
                <c:pt idx="11">
                  <c:v>90.85</c:v>
                </c:pt>
                <c:pt idx="12">
                  <c:v>81.900000000000006</c:v>
                </c:pt>
                <c:pt idx="13">
                  <c:v>81.2</c:v>
                </c:pt>
                <c:pt idx="14">
                  <c:v>68.75</c:v>
                </c:pt>
                <c:pt idx="15">
                  <c:v>72.45</c:v>
                </c:pt>
                <c:pt idx="16">
                  <c:v>92.4</c:v>
                </c:pt>
                <c:pt idx="17">
                  <c:v>100</c:v>
                </c:pt>
                <c:pt idx="18">
                  <c:v>99.15</c:v>
                </c:pt>
                <c:pt idx="1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4E45-866C-7DFB1717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66160"/>
        <c:axId val="1"/>
      </c:scatterChart>
      <c:valAx>
        <c:axId val="700666160"/>
        <c:scaling>
          <c:orientation val="minMax"/>
          <c:max val="1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777315756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2703706980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666160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P4 A-P retinae</a:t>
            </a:r>
          </a:p>
        </c:rich>
      </c:tx>
      <c:layout>
        <c:manualLayout>
          <c:xMode val="edge"/>
          <c:yMode val="edge"/>
          <c:x val="0.34540389972144847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84122562674094"/>
          <c:y val="0.22602749175084436"/>
          <c:w val="0.52089136490250698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AP'!$B$48</c:f>
              <c:strCache>
                <c:ptCount val="1"/>
                <c:pt idx="0">
                  <c:v>gm107-2</c:v>
                </c:pt>
              </c:strCache>
            </c:strRef>
          </c:tx>
          <c:spPr>
            <a:ln w="12700">
              <a:solidFill>
                <a:srgbClr val="4A7EBB"/>
              </a:solidFill>
              <a:prstDash val="solid"/>
            </a:ln>
          </c:spPr>
          <c:marker>
            <c:symbol val="none"/>
          </c:marker>
          <c:xVal>
            <c:numRef>
              <c:f>('double AP'!$AV$48,'double AP'!$AX$48)</c:f>
              <c:numCache>
                <c:formatCode>0</c:formatCode>
                <c:ptCount val="2"/>
                <c:pt idx="0">
                  <c:v>700</c:v>
                </c:pt>
                <c:pt idx="1">
                  <c:v>0</c:v>
                </c:pt>
              </c:numCache>
            </c:numRef>
          </c:xVal>
          <c:yVal>
            <c:numRef>
              <c:f>('double AP'!$AW$48,'double AP'!$AY$48)</c:f>
              <c:numCache>
                <c:formatCode>0</c:formatCode>
                <c:ptCount val="2"/>
                <c:pt idx="0">
                  <c:v>1115</c:v>
                </c:pt>
                <c:pt idx="1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B-6B48-9AAA-F1BED43BDCDC}"/>
            </c:ext>
          </c:extLst>
        </c:ser>
        <c:ser>
          <c:idx val="1"/>
          <c:order val="1"/>
          <c:tx>
            <c:strRef>
              <c:f>'double AP'!$B$63</c:f>
              <c:strCache>
                <c:ptCount val="1"/>
                <c:pt idx="0">
                  <c:v>gm142-3</c:v>
                </c:pt>
              </c:strCache>
            </c:strRef>
          </c:tx>
          <c:spPr>
            <a:ln w="381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('double AP'!$AV$63,'double AP'!$AX$63)</c:f>
              <c:numCache>
                <c:formatCode>0</c:formatCode>
                <c:ptCount val="2"/>
                <c:pt idx="0">
                  <c:v>-650</c:v>
                </c:pt>
                <c:pt idx="1">
                  <c:v>-1300</c:v>
                </c:pt>
              </c:numCache>
            </c:numRef>
          </c:xVal>
          <c:yVal>
            <c:numRef>
              <c:f>('double AP'!$AW$63,'double AP'!$AY$63)</c:f>
              <c:numCache>
                <c:formatCode>0</c:formatCode>
                <c:ptCount val="2"/>
                <c:pt idx="0">
                  <c:v>320</c:v>
                </c:pt>
                <c:pt idx="1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B-6B48-9AAA-F1BED43BDCDC}"/>
            </c:ext>
          </c:extLst>
        </c:ser>
        <c:ser>
          <c:idx val="2"/>
          <c:order val="2"/>
          <c:tx>
            <c:strRef>
              <c:f>'double AP'!$B$50</c:f>
              <c:strCache>
                <c:ptCount val="1"/>
                <c:pt idx="0">
                  <c:v>gm142-5</c:v>
                </c:pt>
              </c:strCache>
            </c:strRef>
          </c:tx>
          <c:spPr>
            <a:ln w="38100">
              <a:solidFill>
                <a:srgbClr val="B1CA94"/>
              </a:solidFill>
              <a:prstDash val="solid"/>
            </a:ln>
          </c:spPr>
          <c:marker>
            <c:symbol val="none"/>
          </c:marker>
          <c:xVal>
            <c:numRef>
              <c:f>('double AP'!$AV$50,'double AP'!$AX$50)</c:f>
              <c:numCache>
                <c:formatCode>General</c:formatCode>
                <c:ptCount val="2"/>
                <c:pt idx="0">
                  <c:v>467</c:v>
                </c:pt>
                <c:pt idx="1">
                  <c:v>-530</c:v>
                </c:pt>
              </c:numCache>
            </c:numRef>
          </c:xVal>
          <c:yVal>
            <c:numRef>
              <c:f>('double AP'!$AW$50,'double AP'!$AY$50)</c:f>
              <c:numCache>
                <c:formatCode>General</c:formatCode>
                <c:ptCount val="2"/>
                <c:pt idx="0">
                  <c:v>200</c:v>
                </c:pt>
                <c:pt idx="1">
                  <c:v>-900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B-6B48-9AAA-F1BED43B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29264"/>
        <c:axId val="1"/>
      </c:scatterChart>
      <c:valAx>
        <c:axId val="697729264"/>
        <c:scaling>
          <c:orientation val="minMax"/>
          <c:max val="1500"/>
          <c:min val="-15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6211699164345401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500"/>
          <c:min val="-15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621169916434540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729264"/>
        <c:crossesAt val="0"/>
        <c:crossBetween val="midCat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501392757660162"/>
          <c:y val="0.47260300938410094"/>
          <c:w val="0.17827298050139273"/>
          <c:h val="0.136986301369863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P2 M-L SC</a:t>
            </a:r>
          </a:p>
        </c:rich>
      </c:tx>
      <c:layout>
        <c:manualLayout>
          <c:xMode val="edge"/>
          <c:yMode val="edge"/>
          <c:x val="0.3809521466066742"/>
          <c:y val="3.6199095022624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14272739129659E-2"/>
          <c:y val="0.24434429629662363"/>
          <c:w val="0.93154728061229863"/>
          <c:h val="0.7058835226346904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622144"/>
        <c:axId val="1"/>
      </c:barChart>
      <c:catAx>
        <c:axId val="647622144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622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P2 M-L retinae</a:t>
            </a:r>
          </a:p>
        </c:rich>
      </c:tx>
      <c:layout>
        <c:manualLayout>
          <c:xMode val="edge"/>
          <c:yMode val="edge"/>
          <c:x val="0.34072065784020761"/>
          <c:y val="3.4364261168384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41042191073773E-2"/>
          <c:y val="0.19243978181723606"/>
          <c:w val="0.93628935504857791"/>
          <c:h val="0.7697591272689442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829072"/>
        <c:axId val="1"/>
      </c:barChart>
      <c:catAx>
        <c:axId val="70282907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829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P4 M-L SC</a:t>
            </a:r>
          </a:p>
        </c:rich>
      </c:tx>
      <c:layout>
        <c:manualLayout>
          <c:xMode val="edge"/>
          <c:yMode val="edge"/>
          <c:x val="0.38023999245603279"/>
          <c:y val="3.6199095022624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28196236720264E-2"/>
          <c:y val="0.24434429629662363"/>
          <c:w val="0.93113908580166693"/>
          <c:h val="0.7058835226346904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855360"/>
        <c:axId val="1"/>
      </c:barChart>
      <c:catAx>
        <c:axId val="70285536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855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P4 M-L retinae</a:t>
            </a:r>
          </a:p>
        </c:rich>
      </c:tx>
      <c:layout>
        <c:manualLayout>
          <c:xMode val="edge"/>
          <c:yMode val="edge"/>
          <c:x val="0.33983286908077992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426183844011144E-2"/>
          <c:y val="0.19178090209162552"/>
          <c:w val="0.93593314763231195"/>
          <c:h val="0.7705482673324239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879488"/>
        <c:axId val="1"/>
      </c:barChart>
      <c:catAx>
        <c:axId val="70287948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8794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P22 A-P retinae</a:t>
            </a:r>
          </a:p>
        </c:rich>
      </c:tx>
      <c:layout>
        <c:manualLayout>
          <c:xMode val="edge"/>
          <c:yMode val="edge"/>
          <c:x val="0.33147632311977715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84122562674094"/>
          <c:y val="0.22602749175084436"/>
          <c:w val="0.52089136490250698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AP'!$B$133</c:f>
              <c:strCache>
                <c:ptCount val="1"/>
                <c:pt idx="0">
                  <c:v>gm120-1</c:v>
                </c:pt>
              </c:strCache>
            </c:strRef>
          </c:tx>
          <c:spPr>
            <a:ln w="12700">
              <a:solidFill>
                <a:srgbClr val="BE4B48"/>
              </a:solidFill>
              <a:prstDash val="solid"/>
            </a:ln>
          </c:spPr>
          <c:marker>
            <c:symbol val="none"/>
          </c:marker>
          <c:xVal>
            <c:numRef>
              <c:f>('double AP'!$AV$133,'double AP'!$AX$133)</c:f>
              <c:numCache>
                <c:formatCode>0</c:formatCode>
                <c:ptCount val="2"/>
                <c:pt idx="0">
                  <c:v>870</c:v>
                </c:pt>
                <c:pt idx="1">
                  <c:v>970</c:v>
                </c:pt>
              </c:numCache>
            </c:numRef>
          </c:xVal>
          <c:yVal>
            <c:numRef>
              <c:f>('double AP'!$AW$133,'double AP'!$AY$133)</c:f>
              <c:numCache>
                <c:formatCode>0</c:formatCode>
                <c:ptCount val="2"/>
                <c:pt idx="0">
                  <c:v>-230</c:v>
                </c:pt>
                <c:pt idx="1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1-A14A-9993-197C9E9C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00128"/>
        <c:axId val="1"/>
      </c:scatterChart>
      <c:valAx>
        <c:axId val="702900128"/>
        <c:scaling>
          <c:orientation val="minMax"/>
          <c:max val="1500"/>
          <c:min val="-15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6211699164345401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500"/>
          <c:min val="-15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621169916434540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900128"/>
        <c:crossesAt val="0"/>
        <c:crossBetween val="midCat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501392757660162"/>
          <c:y val="0.51712355732930648"/>
          <c:w val="0.17827298050139273"/>
          <c:h val="4.79452054794520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P0 A-P SC </a:t>
            </a:r>
          </a:p>
        </c:rich>
      </c:tx>
      <c:layout>
        <c:manualLayout>
          <c:xMode val="edge"/>
          <c:yMode val="edge"/>
          <c:x val="0.39130411959374645"/>
          <c:y val="3.6199095022624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82596388630696E-2"/>
          <c:y val="0.24434429629662363"/>
          <c:w val="0.93333300309492362"/>
          <c:h val="0.7058835226346904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923808"/>
        <c:axId val="1"/>
      </c:barChart>
      <c:catAx>
        <c:axId val="70292380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923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P6 A-P retinae</a:t>
            </a:r>
          </a:p>
        </c:rich>
      </c:tx>
      <c:layout>
        <c:manualLayout>
          <c:xMode val="edge"/>
          <c:yMode val="edge"/>
          <c:x val="0.34188056621127488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7337195997761"/>
          <c:y val="0.22602749175084436"/>
          <c:w val="0.52706589367007606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AP'!$B$52</c:f>
              <c:strCache>
                <c:ptCount val="1"/>
                <c:pt idx="0">
                  <c:v>gm112-4</c:v>
                </c:pt>
              </c:strCache>
            </c:strRef>
          </c:tx>
          <c:spPr>
            <a:ln w="12700">
              <a:solidFill>
                <a:srgbClr val="4A7EBB"/>
              </a:solidFill>
              <a:prstDash val="solid"/>
            </a:ln>
          </c:spPr>
          <c:marker>
            <c:symbol val="none"/>
          </c:marker>
          <c:xVal>
            <c:numRef>
              <c:f>('double AP'!$AV$52,'double AP'!$AX$52)</c:f>
              <c:numCache>
                <c:formatCode>0</c:formatCode>
                <c:ptCount val="2"/>
                <c:pt idx="0">
                  <c:v>-640</c:v>
                </c:pt>
                <c:pt idx="1">
                  <c:v>-310</c:v>
                </c:pt>
              </c:numCache>
            </c:numRef>
          </c:xVal>
          <c:yVal>
            <c:numRef>
              <c:f>('double AP'!$AW$52,'double AP'!$AY$52)</c:f>
              <c:numCache>
                <c:formatCode>0</c:formatCode>
                <c:ptCount val="2"/>
                <c:pt idx="0">
                  <c:v>-470</c:v>
                </c:pt>
                <c:pt idx="1">
                  <c:v>-250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5-4843-96B0-F9EB636FB3DC}"/>
            </c:ext>
          </c:extLst>
        </c:ser>
        <c:ser>
          <c:idx val="1"/>
          <c:order val="1"/>
          <c:tx>
            <c:strRef>
              <c:f>'double AP'!$B$53</c:f>
              <c:strCache>
                <c:ptCount val="1"/>
                <c:pt idx="0">
                  <c:v>gm122-2</c:v>
                </c:pt>
              </c:strCache>
            </c:strRef>
          </c:tx>
          <c:spPr>
            <a:ln w="12700">
              <a:solidFill>
                <a:srgbClr val="BE4B48"/>
              </a:solidFill>
              <a:prstDash val="solid"/>
            </a:ln>
          </c:spPr>
          <c:marker>
            <c:symbol val="none"/>
          </c:marker>
          <c:xVal>
            <c:numRef>
              <c:f>('double AP'!$AV$53,'double AP'!$AX$53)</c:f>
              <c:numCache>
                <c:formatCode>0</c:formatCode>
                <c:ptCount val="2"/>
                <c:pt idx="0">
                  <c:v>-350</c:v>
                </c:pt>
                <c:pt idx="1">
                  <c:v>-670</c:v>
                </c:pt>
              </c:numCache>
            </c:numRef>
          </c:xVal>
          <c:yVal>
            <c:numRef>
              <c:f>('double AP'!$AW$53,'double AP'!$AY$53)</c:f>
              <c:numCache>
                <c:formatCode>0</c:formatCode>
                <c:ptCount val="2"/>
                <c:pt idx="0">
                  <c:v>-620</c:v>
                </c:pt>
                <c:pt idx="1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5-4843-96B0-F9EB636FB3DC}"/>
            </c:ext>
          </c:extLst>
        </c:ser>
        <c:ser>
          <c:idx val="2"/>
          <c:order val="2"/>
          <c:tx>
            <c:strRef>
              <c:f>'double AP'!$B$54</c:f>
              <c:strCache>
                <c:ptCount val="1"/>
                <c:pt idx="0">
                  <c:v>gm122-4</c:v>
                </c:pt>
              </c:strCache>
            </c:strRef>
          </c:tx>
          <c:spPr>
            <a:ln w="12700">
              <a:solidFill>
                <a:srgbClr val="98B855"/>
              </a:solidFill>
              <a:prstDash val="solid"/>
            </a:ln>
          </c:spPr>
          <c:marker>
            <c:symbol val="none"/>
          </c:marker>
          <c:xVal>
            <c:numRef>
              <c:f>('double AP'!$AV$54,'double AP'!$AX$54)</c:f>
              <c:numCache>
                <c:formatCode>0</c:formatCode>
                <c:ptCount val="2"/>
                <c:pt idx="0">
                  <c:v>-1317</c:v>
                </c:pt>
                <c:pt idx="1">
                  <c:v>-1180</c:v>
                </c:pt>
              </c:numCache>
            </c:numRef>
          </c:xVal>
          <c:yVal>
            <c:numRef>
              <c:f>('double AP'!$AW$54,'double AP'!$AY$54)</c:f>
              <c:numCache>
                <c:formatCode>0</c:formatCode>
                <c:ptCount val="2"/>
                <c:pt idx="0">
                  <c:v>-200</c:v>
                </c:pt>
                <c:pt idx="1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5-4843-96B0-F9EB636FB3DC}"/>
            </c:ext>
          </c:extLst>
        </c:ser>
        <c:ser>
          <c:idx val="3"/>
          <c:order val="3"/>
          <c:tx>
            <c:strRef>
              <c:f>'double AP'!$B$56</c:f>
              <c:strCache>
                <c:ptCount val="1"/>
                <c:pt idx="0">
                  <c:v>gm125-3</c:v>
                </c:pt>
              </c:strCache>
            </c:strRef>
          </c:tx>
          <c:spPr>
            <a:ln w="12700">
              <a:solidFill>
                <a:srgbClr val="7D5FA0"/>
              </a:solidFill>
              <a:prstDash val="solid"/>
            </a:ln>
          </c:spPr>
          <c:marker>
            <c:symbol val="none"/>
          </c:marker>
          <c:xVal>
            <c:numRef>
              <c:f>('double AP'!$AV$56,'double AP'!$AX$56)</c:f>
              <c:numCache>
                <c:formatCode>0</c:formatCode>
                <c:ptCount val="2"/>
                <c:pt idx="0">
                  <c:v>-500</c:v>
                </c:pt>
                <c:pt idx="1">
                  <c:v>-251</c:v>
                </c:pt>
              </c:numCache>
            </c:numRef>
          </c:xVal>
          <c:yVal>
            <c:numRef>
              <c:f>('double AP'!$AW$56,'double AP'!$AY$56)</c:f>
              <c:numCache>
                <c:formatCode>0</c:formatCode>
                <c:ptCount val="2"/>
                <c:pt idx="0">
                  <c:v>-333</c:v>
                </c:pt>
                <c:pt idx="1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5-4843-96B0-F9EB636FB3DC}"/>
            </c:ext>
          </c:extLst>
        </c:ser>
        <c:ser>
          <c:idx val="4"/>
          <c:order val="4"/>
          <c:tx>
            <c:strRef>
              <c:f>'double AP'!$B$57</c:f>
              <c:strCache>
                <c:ptCount val="1"/>
                <c:pt idx="0">
                  <c:v>gm125-4</c:v>
                </c:pt>
              </c:strCache>
            </c:strRef>
          </c:tx>
          <c:spPr>
            <a:ln w="12700">
              <a:solidFill>
                <a:srgbClr val="46AAC4"/>
              </a:solidFill>
              <a:prstDash val="solid"/>
            </a:ln>
          </c:spPr>
          <c:marker>
            <c:symbol val="none"/>
          </c:marker>
          <c:xVal>
            <c:numRef>
              <c:f>('double AP'!$AV$57,'double AP'!$AX$57)</c:f>
              <c:numCache>
                <c:formatCode>0</c:formatCode>
                <c:ptCount val="2"/>
                <c:pt idx="0">
                  <c:v>-400</c:v>
                </c:pt>
                <c:pt idx="1">
                  <c:v>-940</c:v>
                </c:pt>
              </c:numCache>
            </c:numRef>
          </c:xVal>
          <c:yVal>
            <c:numRef>
              <c:f>('double AP'!$AW$57,'double AP'!$AY$57)</c:f>
              <c:numCache>
                <c:formatCode>0</c:formatCode>
                <c:ptCount val="2"/>
                <c:pt idx="0">
                  <c:v>-1060</c:v>
                </c:pt>
                <c:pt idx="1">
                  <c:v>-1380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5-4843-96B0-F9EB636FB3DC}"/>
            </c:ext>
          </c:extLst>
        </c:ser>
        <c:ser>
          <c:idx val="5"/>
          <c:order val="5"/>
          <c:tx>
            <c:strRef>
              <c:f>'double AP'!$B$58</c:f>
              <c:strCache>
                <c:ptCount val="1"/>
                <c:pt idx="0">
                  <c:v>gm125-5</c:v>
                </c:pt>
              </c:strCache>
            </c:strRef>
          </c:tx>
          <c:spPr>
            <a:ln w="12700">
              <a:solidFill>
                <a:srgbClr val="F59240"/>
              </a:solidFill>
              <a:prstDash val="solid"/>
            </a:ln>
          </c:spPr>
          <c:marker>
            <c:symbol val="none"/>
          </c:marker>
          <c:xVal>
            <c:numRef>
              <c:f>('double AP'!$AV$58,'double AP'!$AX$58)</c:f>
              <c:numCache>
                <c:formatCode>0</c:formatCode>
                <c:ptCount val="2"/>
                <c:pt idx="0">
                  <c:v>-1300</c:v>
                </c:pt>
                <c:pt idx="1">
                  <c:v>-2040</c:v>
                </c:pt>
              </c:numCache>
            </c:numRef>
          </c:xVal>
          <c:yVal>
            <c:numRef>
              <c:f>('double AP'!$AW$58,'double AP'!$AY$58)</c:f>
              <c:numCache>
                <c:formatCode>0</c:formatCode>
                <c:ptCount val="2"/>
                <c:pt idx="0">
                  <c:v>-160</c:v>
                </c:pt>
                <c:pt idx="1">
                  <c:v>-700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5-4843-96B0-F9EB636F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53200"/>
        <c:axId val="1"/>
      </c:scatterChart>
      <c:valAx>
        <c:axId val="702953200"/>
        <c:scaling>
          <c:orientation val="minMax"/>
          <c:max val="2000"/>
          <c:min val="-2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5897458330529197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500"/>
      </c:valAx>
      <c:valAx>
        <c:axId val="1"/>
        <c:scaling>
          <c:orientation val="minMax"/>
          <c:max val="2000"/>
          <c:min val="-20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703703703703703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2953200"/>
        <c:crossesAt val="0"/>
        <c:crossBetween val="midCat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057024923166653"/>
          <c:y val="0.40753451623341602"/>
          <c:w val="0.18233640666711526"/>
          <c:h val="0.270547945205479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P8 A-P retinae</a:t>
            </a:r>
          </a:p>
        </c:rich>
      </c:tx>
      <c:layout>
        <c:manualLayout>
          <c:xMode val="edge"/>
          <c:yMode val="edge"/>
          <c:x val="0.34540389972144847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48467966573817"/>
          <c:y val="0.22602749175084436"/>
          <c:w val="0.53760445682451252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AP'!$B$73</c:f>
              <c:strCache>
                <c:ptCount val="1"/>
                <c:pt idx="0">
                  <c:v>gm138-4</c:v>
                </c:pt>
              </c:strCache>
            </c:strRef>
          </c:tx>
          <c:spPr>
            <a:ln w="12700">
              <a:solidFill>
                <a:srgbClr val="4A7EBB"/>
              </a:solidFill>
              <a:prstDash val="solid"/>
            </a:ln>
          </c:spPr>
          <c:marker>
            <c:symbol val="none"/>
          </c:marker>
          <c:xVal>
            <c:numRef>
              <c:f>('double AP'!$AV$73,'double AP'!$AX$73)</c:f>
              <c:numCache>
                <c:formatCode>0</c:formatCode>
                <c:ptCount val="2"/>
                <c:pt idx="0">
                  <c:v>-1200</c:v>
                </c:pt>
                <c:pt idx="1">
                  <c:v>-1350</c:v>
                </c:pt>
              </c:numCache>
            </c:numRef>
          </c:xVal>
          <c:yVal>
            <c:numRef>
              <c:f>('double AP'!$AW$73,'double AP'!$AY$73)</c:f>
              <c:numCache>
                <c:formatCode>0</c:formatCode>
                <c:ptCount val="2"/>
                <c:pt idx="0">
                  <c:v>-1117</c:v>
                </c:pt>
                <c:pt idx="1">
                  <c:v>-1067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BE46-AA28-4359114532C8}"/>
            </c:ext>
          </c:extLst>
        </c:ser>
        <c:ser>
          <c:idx val="1"/>
          <c:order val="1"/>
          <c:tx>
            <c:strRef>
              <c:f>'double AP'!$B$74</c:f>
              <c:strCache>
                <c:ptCount val="1"/>
                <c:pt idx="0">
                  <c:v>gm138-5</c:v>
                </c:pt>
              </c:strCache>
            </c:strRef>
          </c:tx>
          <c:spPr>
            <a:ln w="12700">
              <a:solidFill>
                <a:srgbClr val="BE4B48"/>
              </a:solidFill>
              <a:prstDash val="solid"/>
            </a:ln>
          </c:spPr>
          <c:marker>
            <c:symbol val="none"/>
          </c:marker>
          <c:xVal>
            <c:numRef>
              <c:f>('double AP'!$AV$74,'double AP'!$AX$74)</c:f>
              <c:numCache>
                <c:formatCode>0</c:formatCode>
                <c:ptCount val="2"/>
                <c:pt idx="0">
                  <c:v>-1317</c:v>
                </c:pt>
                <c:pt idx="1">
                  <c:v>-483</c:v>
                </c:pt>
              </c:numCache>
            </c:numRef>
          </c:xVal>
          <c:yVal>
            <c:numRef>
              <c:f>('double AP'!$AW$74,'double AP'!$AY$74)</c:f>
              <c:numCache>
                <c:formatCode>0</c:formatCode>
                <c:ptCount val="2"/>
                <c:pt idx="0">
                  <c:v>-133</c:v>
                </c:pt>
                <c:pt idx="1">
                  <c:v>-167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BE46-AA28-4359114532C8}"/>
            </c:ext>
          </c:extLst>
        </c:ser>
        <c:ser>
          <c:idx val="2"/>
          <c:order val="2"/>
          <c:tx>
            <c:strRef>
              <c:f>'double AP'!$B$75</c:f>
              <c:strCache>
                <c:ptCount val="1"/>
                <c:pt idx="0">
                  <c:v>gm138-6</c:v>
                </c:pt>
              </c:strCache>
            </c:strRef>
          </c:tx>
          <c:spPr>
            <a:ln w="12700">
              <a:solidFill>
                <a:srgbClr val="98B855"/>
              </a:solidFill>
              <a:prstDash val="solid"/>
            </a:ln>
          </c:spPr>
          <c:marker>
            <c:symbol val="none"/>
          </c:marker>
          <c:xVal>
            <c:numRef>
              <c:f>('double AP'!$AV$75,'double AP'!$AX$75)</c:f>
              <c:numCache>
                <c:formatCode>0</c:formatCode>
                <c:ptCount val="2"/>
                <c:pt idx="0">
                  <c:v>-1000</c:v>
                </c:pt>
                <c:pt idx="1">
                  <c:v>-780</c:v>
                </c:pt>
              </c:numCache>
            </c:numRef>
          </c:xVal>
          <c:yVal>
            <c:numRef>
              <c:f>('double AP'!$AW$75,'double AP'!$AY$75)</c:f>
              <c:numCache>
                <c:formatCode>0</c:formatCode>
                <c:ptCount val="2"/>
                <c:pt idx="0">
                  <c:v>200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5-BE46-AA28-4359114532C8}"/>
            </c:ext>
          </c:extLst>
        </c:ser>
        <c:ser>
          <c:idx val="3"/>
          <c:order val="3"/>
          <c:tx>
            <c:strRef>
              <c:f>'double AP'!$B$76</c:f>
              <c:strCache>
                <c:ptCount val="1"/>
                <c:pt idx="0">
                  <c:v>gm141-6</c:v>
                </c:pt>
              </c:strCache>
            </c:strRef>
          </c:tx>
          <c:spPr>
            <a:ln w="12700">
              <a:solidFill>
                <a:srgbClr val="7D5FA0"/>
              </a:solidFill>
              <a:prstDash val="solid"/>
            </a:ln>
          </c:spPr>
          <c:marker>
            <c:symbol val="none"/>
          </c:marker>
          <c:xVal>
            <c:numRef>
              <c:f>('double AP'!$AV$76,'double AP'!$AX$76)</c:f>
              <c:numCache>
                <c:formatCode>0</c:formatCode>
                <c:ptCount val="2"/>
                <c:pt idx="0">
                  <c:v>-1183</c:v>
                </c:pt>
                <c:pt idx="1">
                  <c:v>-1320</c:v>
                </c:pt>
              </c:numCache>
            </c:numRef>
          </c:xVal>
          <c:yVal>
            <c:numRef>
              <c:f>('double AP'!$AW$76,'double AP'!$AY$76)</c:f>
              <c:numCache>
                <c:formatCode>0</c:formatCode>
                <c:ptCount val="2"/>
                <c:pt idx="0">
                  <c:v>-1150</c:v>
                </c:pt>
                <c:pt idx="1">
                  <c:v>-1160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5-BE46-AA28-43591145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07344"/>
        <c:axId val="1"/>
      </c:scatterChart>
      <c:valAx>
        <c:axId val="697807344"/>
        <c:scaling>
          <c:orientation val="minMax"/>
          <c:max val="2000"/>
          <c:min val="-2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6211699164345401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500"/>
      </c:valAx>
      <c:valAx>
        <c:axId val="1"/>
        <c:scaling>
          <c:orientation val="minMax"/>
          <c:max val="2000"/>
          <c:min val="-20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621169916434540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807344"/>
        <c:crossesAt val="0"/>
        <c:crossBetween val="midCat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501392757660162"/>
          <c:y val="0.45205506417862151"/>
          <c:w val="0.17827298050139273"/>
          <c:h val="0.181506849315068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P12 A-P retinae</a:t>
            </a:r>
          </a:p>
        </c:rich>
      </c:tx>
      <c:layout>
        <c:manualLayout>
          <c:xMode val="edge"/>
          <c:yMode val="edge"/>
          <c:x val="0.33147632311977715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84122562674094"/>
          <c:y val="0.22602749175084436"/>
          <c:w val="0.52089136490250698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AP'!$B$133</c:f>
              <c:strCache>
                <c:ptCount val="1"/>
                <c:pt idx="0">
                  <c:v>gm120-1</c:v>
                </c:pt>
              </c:strCache>
            </c:strRef>
          </c:tx>
          <c:spPr>
            <a:ln w="12700">
              <a:solidFill>
                <a:srgbClr val="BE4B48"/>
              </a:solidFill>
              <a:prstDash val="solid"/>
            </a:ln>
          </c:spPr>
          <c:marker>
            <c:symbol val="none"/>
          </c:marker>
          <c:xVal>
            <c:numRef>
              <c:f>('double AP'!$AV$133,'double AP'!$AX$133)</c:f>
              <c:numCache>
                <c:formatCode>0</c:formatCode>
                <c:ptCount val="2"/>
                <c:pt idx="0">
                  <c:v>870</c:v>
                </c:pt>
                <c:pt idx="1">
                  <c:v>970</c:v>
                </c:pt>
              </c:numCache>
            </c:numRef>
          </c:xVal>
          <c:yVal>
            <c:numRef>
              <c:f>('double AP'!$AW$133,'double AP'!$AY$133)</c:f>
              <c:numCache>
                <c:formatCode>0</c:formatCode>
                <c:ptCount val="2"/>
                <c:pt idx="0">
                  <c:v>-230</c:v>
                </c:pt>
                <c:pt idx="1">
                  <c:v>-300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E-6F44-A9B4-A7AEE11A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42864"/>
        <c:axId val="1"/>
      </c:scatterChart>
      <c:valAx>
        <c:axId val="697842864"/>
        <c:scaling>
          <c:orientation val="minMax"/>
          <c:max val="1500"/>
          <c:min val="-15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6211699164345401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500"/>
          <c:min val="-15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621169916434540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842864"/>
        <c:crossesAt val="0"/>
        <c:crossBetween val="midCat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501392757660162"/>
          <c:y val="0.51712355732930648"/>
          <c:w val="0.17827298050139273"/>
          <c:h val="4.79452054794520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371288999540224"/>
          <c:w val="0.65647002257293552"/>
          <c:h val="0.497007077900766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AP'!$E$73:$E$95</c:f>
              <c:numCache>
                <c:formatCode>0</c:formatCode>
                <c:ptCount val="23"/>
                <c:pt idx="0">
                  <c:v>80</c:v>
                </c:pt>
                <c:pt idx="1">
                  <c:v>281</c:v>
                </c:pt>
                <c:pt idx="2">
                  <c:v>101</c:v>
                </c:pt>
                <c:pt idx="3">
                  <c:v>40</c:v>
                </c:pt>
                <c:pt idx="4">
                  <c:v>195</c:v>
                </c:pt>
                <c:pt idx="5">
                  <c:v>79</c:v>
                </c:pt>
                <c:pt idx="6">
                  <c:v>154</c:v>
                </c:pt>
                <c:pt idx="7">
                  <c:v>124</c:v>
                </c:pt>
                <c:pt idx="8">
                  <c:v>157</c:v>
                </c:pt>
                <c:pt idx="9">
                  <c:v>156</c:v>
                </c:pt>
                <c:pt idx="10">
                  <c:v>209</c:v>
                </c:pt>
                <c:pt idx="11">
                  <c:v>258</c:v>
                </c:pt>
                <c:pt idx="12">
                  <c:v>156</c:v>
                </c:pt>
                <c:pt idx="13">
                  <c:v>300</c:v>
                </c:pt>
                <c:pt idx="14">
                  <c:v>500</c:v>
                </c:pt>
                <c:pt idx="15">
                  <c:v>350</c:v>
                </c:pt>
                <c:pt idx="16">
                  <c:v>200</c:v>
                </c:pt>
                <c:pt idx="17">
                  <c:v>200</c:v>
                </c:pt>
                <c:pt idx="18">
                  <c:v>90</c:v>
                </c:pt>
                <c:pt idx="19">
                  <c:v>300</c:v>
                </c:pt>
                <c:pt idx="20">
                  <c:v>190</c:v>
                </c:pt>
                <c:pt idx="21">
                  <c:v>532</c:v>
                </c:pt>
                <c:pt idx="22">
                  <c:v>100</c:v>
                </c:pt>
              </c:numCache>
            </c:numRef>
          </c:xVal>
          <c:yVal>
            <c:numRef>
              <c:f>'double AP'!$Z$73:$Z$95</c:f>
              <c:numCache>
                <c:formatCode>0.0</c:formatCode>
                <c:ptCount val="23"/>
                <c:pt idx="0">
                  <c:v>55.25</c:v>
                </c:pt>
                <c:pt idx="1">
                  <c:v>85.5</c:v>
                </c:pt>
                <c:pt idx="2">
                  <c:v>73.650000000000006</c:v>
                </c:pt>
                <c:pt idx="3">
                  <c:v>56.55</c:v>
                </c:pt>
                <c:pt idx="4">
                  <c:v>79.699999999999989</c:v>
                </c:pt>
                <c:pt idx="5">
                  <c:v>66.3</c:v>
                </c:pt>
                <c:pt idx="6">
                  <c:v>58.85</c:v>
                </c:pt>
                <c:pt idx="7">
                  <c:v>52.55</c:v>
                </c:pt>
                <c:pt idx="8">
                  <c:v>55.9</c:v>
                </c:pt>
                <c:pt idx="9">
                  <c:v>62.4</c:v>
                </c:pt>
                <c:pt idx="10">
                  <c:v>61.699999999999996</c:v>
                </c:pt>
                <c:pt idx="11">
                  <c:v>64.400000000000006</c:v>
                </c:pt>
                <c:pt idx="12">
                  <c:v>65.599999999999994</c:v>
                </c:pt>
                <c:pt idx="13">
                  <c:v>86.1</c:v>
                </c:pt>
                <c:pt idx="14">
                  <c:v>95.55</c:v>
                </c:pt>
                <c:pt idx="15">
                  <c:v>81.349999999999994</c:v>
                </c:pt>
                <c:pt idx="16">
                  <c:v>80.7</c:v>
                </c:pt>
                <c:pt idx="17">
                  <c:v>73.75</c:v>
                </c:pt>
                <c:pt idx="18">
                  <c:v>52</c:v>
                </c:pt>
                <c:pt idx="19">
                  <c:v>81.25</c:v>
                </c:pt>
                <c:pt idx="20">
                  <c:v>77.099999999999994</c:v>
                </c:pt>
                <c:pt idx="21">
                  <c:v>98.4</c:v>
                </c:pt>
                <c:pt idx="22">
                  <c:v>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4-0D45-8F67-41512EAB67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136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3.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AP'!$E$99</c:f>
              <c:numCache>
                <c:formatCode>0</c:formatCode>
                <c:ptCount val="1"/>
                <c:pt idx="0">
                  <c:v>190</c:v>
                </c:pt>
              </c:numCache>
            </c:numRef>
          </c:xVal>
          <c:yVal>
            <c:numRef>
              <c:f>'double AP'!$Z$99</c:f>
              <c:numCache>
                <c:formatCode>0.0</c:formatCode>
                <c:ptCount val="1"/>
                <c:pt idx="0">
                  <c:v>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4-0D45-8F67-41512EAB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99840"/>
        <c:axId val="1"/>
      </c:scatterChart>
      <c:valAx>
        <c:axId val="700699840"/>
        <c:scaling>
          <c:orientation val="minMax"/>
          <c:max val="1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6409071620538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742562119854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699840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Adult A-P retinae</a:t>
            </a:r>
          </a:p>
        </c:rich>
      </c:tx>
      <c:layout>
        <c:manualLayout>
          <c:xMode val="edge"/>
          <c:yMode val="edge"/>
          <c:x val="0.31476323119777161"/>
          <c:y val="3.4246575342465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84122562674094"/>
          <c:y val="0.22602749175084436"/>
          <c:w val="0.52089136490250698"/>
          <c:h val="0.630137249729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'double AP'!$B$148</c:f>
              <c:strCache>
                <c:ptCount val="1"/>
                <c:pt idx="0">
                  <c:v>gm119-5</c:v>
                </c:pt>
              </c:strCache>
            </c:strRef>
          </c:tx>
          <c:spPr>
            <a:ln w="12700">
              <a:solidFill>
                <a:srgbClr val="4A7EBB"/>
              </a:solidFill>
              <a:prstDash val="solid"/>
            </a:ln>
          </c:spPr>
          <c:marker>
            <c:symbol val="none"/>
          </c:marker>
          <c:xVal>
            <c:numRef>
              <c:f>('double AP'!$AV$148,'double AP'!$AX$148)</c:f>
              <c:numCache>
                <c:formatCode>General</c:formatCode>
                <c:ptCount val="2"/>
                <c:pt idx="0">
                  <c:v>750</c:v>
                </c:pt>
                <c:pt idx="1">
                  <c:v>1175</c:v>
                </c:pt>
              </c:numCache>
            </c:numRef>
          </c:xVal>
          <c:yVal>
            <c:numRef>
              <c:f>('double AP'!$AW$148,'double AP'!$AY$148)</c:f>
              <c:numCache>
                <c:formatCode>General</c:formatCode>
                <c:ptCount val="2"/>
                <c:pt idx="0">
                  <c:v>640</c:v>
                </c:pt>
                <c:pt idx="1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4-404E-89DE-53D83FBACE98}"/>
            </c:ext>
          </c:extLst>
        </c:ser>
        <c:ser>
          <c:idx val="1"/>
          <c:order val="1"/>
          <c:tx>
            <c:strRef>
              <c:f>'double AP'!$B$149</c:f>
              <c:strCache>
                <c:ptCount val="1"/>
                <c:pt idx="0">
                  <c:v>gm122</c:v>
                </c:pt>
              </c:strCache>
            </c:strRef>
          </c:tx>
          <c:spPr>
            <a:ln w="12700">
              <a:solidFill>
                <a:srgbClr val="BE4B48"/>
              </a:solidFill>
              <a:prstDash val="solid"/>
            </a:ln>
          </c:spPr>
          <c:marker>
            <c:symbol val="none"/>
          </c:marker>
          <c:xVal>
            <c:numRef>
              <c:f>('double AP'!$AV$149,'double AP'!$AX$149)</c:f>
              <c:numCache>
                <c:formatCode>0</c:formatCode>
                <c:ptCount val="2"/>
                <c:pt idx="0">
                  <c:v>950</c:v>
                </c:pt>
                <c:pt idx="1">
                  <c:v>680</c:v>
                </c:pt>
              </c:numCache>
            </c:numRef>
          </c:xVal>
          <c:yVal>
            <c:numRef>
              <c:f>('double AP'!$AW$149,'double AP'!$AY$149)</c:f>
              <c:numCache>
                <c:formatCode>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4-404E-89DE-53D83FBACE98}"/>
            </c:ext>
          </c:extLst>
        </c:ser>
        <c:ser>
          <c:idx val="2"/>
          <c:order val="2"/>
          <c:tx>
            <c:strRef>
              <c:f>'double AP'!$B$150</c:f>
              <c:strCache>
                <c:ptCount val="1"/>
                <c:pt idx="0">
                  <c:v>gm126</c:v>
                </c:pt>
              </c:strCache>
            </c:strRef>
          </c:tx>
          <c:spPr>
            <a:ln w="12700">
              <a:solidFill>
                <a:srgbClr val="98B855"/>
              </a:solidFill>
              <a:prstDash val="solid"/>
            </a:ln>
          </c:spPr>
          <c:marker>
            <c:symbol val="none"/>
          </c:marker>
          <c:xVal>
            <c:numRef>
              <c:f>('double AP'!$AV$150,'double AP'!$AX$150)</c:f>
              <c:numCache>
                <c:formatCode>0</c:formatCode>
                <c:ptCount val="2"/>
                <c:pt idx="0">
                  <c:v>1233</c:v>
                </c:pt>
                <c:pt idx="1">
                  <c:v>1633</c:v>
                </c:pt>
              </c:numCache>
            </c:numRef>
          </c:xVal>
          <c:yVal>
            <c:numRef>
              <c:f>('double AP'!$AW$150,'double AP'!$AY$150)</c:f>
              <c:numCache>
                <c:formatCode>0</c:formatCode>
                <c:ptCount val="2"/>
                <c:pt idx="0">
                  <c:v>180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4-404E-89DE-53D83FBACE98}"/>
            </c:ext>
          </c:extLst>
        </c:ser>
        <c:ser>
          <c:idx val="3"/>
          <c:order val="3"/>
          <c:tx>
            <c:strRef>
              <c:f>'double AP'!$B$151</c:f>
              <c:strCache>
                <c:ptCount val="1"/>
                <c:pt idx="0">
                  <c:v>gm133</c:v>
                </c:pt>
              </c:strCache>
            </c:strRef>
          </c:tx>
          <c:spPr>
            <a:ln w="12700">
              <a:solidFill>
                <a:srgbClr val="7D5FA0"/>
              </a:solidFill>
              <a:prstDash val="solid"/>
            </a:ln>
          </c:spPr>
          <c:marker>
            <c:symbol val="none"/>
          </c:marker>
          <c:xVal>
            <c:numRef>
              <c:f>('double AP'!$AV$151,'double AP'!$AX$151)</c:f>
              <c:numCache>
                <c:formatCode>0</c:formatCode>
                <c:ptCount val="2"/>
                <c:pt idx="0">
                  <c:v>600</c:v>
                </c:pt>
                <c:pt idx="1">
                  <c:v>1220</c:v>
                </c:pt>
              </c:numCache>
            </c:numRef>
          </c:xVal>
          <c:yVal>
            <c:numRef>
              <c:f>('double AP'!$AW$151,'double AP'!$AY$151)</c:f>
              <c:numCache>
                <c:formatCode>0</c:formatCode>
                <c:ptCount val="2"/>
                <c:pt idx="0">
                  <c:v>920</c:v>
                </c:pt>
                <c:pt idx="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4-404E-89DE-53D83FBACE98}"/>
            </c:ext>
          </c:extLst>
        </c:ser>
        <c:ser>
          <c:idx val="4"/>
          <c:order val="4"/>
          <c:tx>
            <c:strRef>
              <c:f>'double AP'!$B$153</c:f>
              <c:strCache>
                <c:ptCount val="1"/>
                <c:pt idx="0">
                  <c:v>gm136</c:v>
                </c:pt>
              </c:strCache>
            </c:strRef>
          </c:tx>
          <c:spPr>
            <a:ln w="12700">
              <a:solidFill>
                <a:srgbClr val="46AAC4"/>
              </a:solidFill>
              <a:prstDash val="solid"/>
            </a:ln>
          </c:spPr>
          <c:marker>
            <c:symbol val="none"/>
          </c:marker>
          <c:xVal>
            <c:numRef>
              <c:f>('double AP'!$AV$153,'double AP'!$AX$153)</c:f>
              <c:numCache>
                <c:formatCode>0</c:formatCode>
                <c:ptCount val="2"/>
                <c:pt idx="0">
                  <c:v>710</c:v>
                </c:pt>
                <c:pt idx="1">
                  <c:v>530</c:v>
                </c:pt>
              </c:numCache>
            </c:numRef>
          </c:xVal>
          <c:yVal>
            <c:numRef>
              <c:f>('double AP'!$AW$153,'double AP'!$AY$153)</c:f>
              <c:numCache>
                <c:formatCode>0</c:formatCode>
                <c:ptCount val="2"/>
                <c:pt idx="0">
                  <c:v>50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4-404E-89DE-53D83FBA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8704"/>
        <c:axId val="1"/>
      </c:scatterChart>
      <c:valAx>
        <c:axId val="697888704"/>
        <c:scaling>
          <c:orientation val="minMax"/>
          <c:max val="1500"/>
          <c:min val="-15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Nasal &lt;--&gt; Temporal</a:t>
                </a:r>
              </a:p>
            </c:rich>
          </c:tx>
          <c:layout>
            <c:manualLayout>
              <c:xMode val="edge"/>
              <c:yMode val="edge"/>
              <c:x val="0.36211699164345401"/>
              <c:y val="0.89041122856218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500"/>
          <c:min val="-150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Ventral &lt;--&gt; Dorsal</a:t>
                </a:r>
              </a:p>
            </c:rich>
          </c:tx>
          <c:layout>
            <c:manualLayout>
              <c:xMode val="edge"/>
              <c:yMode val="edge"/>
              <c:x val="3.6211699164345405E-2"/>
              <c:y val="0.482876981986840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888704"/>
        <c:crossesAt val="0"/>
        <c:crossBetween val="midCat"/>
        <c:majorUnit val="5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501392757660162"/>
          <c:y val="0.42808246143889545"/>
          <c:w val="0.17827298050139273"/>
          <c:h val="0.2260273972602739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AP'!$E$100:$E$115</c:f>
              <c:numCache>
                <c:formatCode>0</c:formatCode>
                <c:ptCount val="16"/>
                <c:pt idx="0">
                  <c:v>200</c:v>
                </c:pt>
                <c:pt idx="1">
                  <c:v>280</c:v>
                </c:pt>
                <c:pt idx="2">
                  <c:v>280</c:v>
                </c:pt>
                <c:pt idx="3">
                  <c:v>250</c:v>
                </c:pt>
                <c:pt idx="4">
                  <c:v>415</c:v>
                </c:pt>
                <c:pt idx="5">
                  <c:v>119</c:v>
                </c:pt>
                <c:pt idx="6">
                  <c:v>100</c:v>
                </c:pt>
                <c:pt idx="7">
                  <c:v>85</c:v>
                </c:pt>
                <c:pt idx="8">
                  <c:v>80</c:v>
                </c:pt>
                <c:pt idx="9">
                  <c:v>176</c:v>
                </c:pt>
                <c:pt idx="10">
                  <c:v>250</c:v>
                </c:pt>
                <c:pt idx="11">
                  <c:v>240</c:v>
                </c:pt>
                <c:pt idx="12">
                  <c:v>366</c:v>
                </c:pt>
                <c:pt idx="13">
                  <c:v>55</c:v>
                </c:pt>
                <c:pt idx="14">
                  <c:v>26</c:v>
                </c:pt>
                <c:pt idx="15">
                  <c:v>268.8</c:v>
                </c:pt>
              </c:numCache>
            </c:numRef>
          </c:xVal>
          <c:yVal>
            <c:numRef>
              <c:f>'double AP'!$Z$100:$Z$115</c:f>
              <c:numCache>
                <c:formatCode>0.0</c:formatCode>
                <c:ptCount val="16"/>
                <c:pt idx="0">
                  <c:v>86.550000000000011</c:v>
                </c:pt>
                <c:pt idx="1">
                  <c:v>91.35</c:v>
                </c:pt>
                <c:pt idx="2">
                  <c:v>100</c:v>
                </c:pt>
                <c:pt idx="3">
                  <c:v>87.4</c:v>
                </c:pt>
                <c:pt idx="4">
                  <c:v>93.85</c:v>
                </c:pt>
                <c:pt idx="5">
                  <c:v>70.449999999999989</c:v>
                </c:pt>
                <c:pt idx="6">
                  <c:v>54.5</c:v>
                </c:pt>
                <c:pt idx="7">
                  <c:v>56.8</c:v>
                </c:pt>
                <c:pt idx="8">
                  <c:v>60.75</c:v>
                </c:pt>
                <c:pt idx="9">
                  <c:v>91.550000000000011</c:v>
                </c:pt>
                <c:pt idx="10">
                  <c:v>92.85</c:v>
                </c:pt>
                <c:pt idx="11">
                  <c:v>90.05</c:v>
                </c:pt>
                <c:pt idx="12">
                  <c:v>99.050000000000011</c:v>
                </c:pt>
                <c:pt idx="13">
                  <c:v>50.15</c:v>
                </c:pt>
                <c:pt idx="14">
                  <c:v>49.65</c:v>
                </c:pt>
                <c:pt idx="15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E-3B4B-AD91-D5C072FDFEB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91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9.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AP'!$E$118</c:f>
              <c:numCache>
                <c:formatCode>0</c:formatCode>
                <c:ptCount val="1"/>
                <c:pt idx="0">
                  <c:v>220</c:v>
                </c:pt>
              </c:numCache>
            </c:numRef>
          </c:xVal>
          <c:yVal>
            <c:numRef>
              <c:f>'double AP'!$Z$118</c:f>
              <c:numCache>
                <c:formatCode>0.0</c:formatCode>
                <c:ptCount val="1"/>
                <c:pt idx="0">
                  <c:v>90.05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E-3B4B-AD91-D5C072FD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19760"/>
        <c:axId val="1"/>
      </c:scatterChart>
      <c:valAx>
        <c:axId val="700719760"/>
        <c:scaling>
          <c:orientation val="minMax"/>
          <c:max val="1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916726318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484848484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719760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AP'!$E$119:$E$131</c:f>
              <c:numCache>
                <c:formatCode>0</c:formatCode>
                <c:ptCount val="13"/>
                <c:pt idx="0">
                  <c:v>195</c:v>
                </c:pt>
                <c:pt idx="1">
                  <c:v>150</c:v>
                </c:pt>
                <c:pt idx="2">
                  <c:v>160</c:v>
                </c:pt>
                <c:pt idx="3">
                  <c:v>212</c:v>
                </c:pt>
                <c:pt idx="4">
                  <c:v>91</c:v>
                </c:pt>
                <c:pt idx="5">
                  <c:v>250</c:v>
                </c:pt>
                <c:pt idx="6">
                  <c:v>400</c:v>
                </c:pt>
                <c:pt idx="7">
                  <c:v>119</c:v>
                </c:pt>
                <c:pt idx="8">
                  <c:v>100</c:v>
                </c:pt>
                <c:pt idx="9">
                  <c:v>85</c:v>
                </c:pt>
              </c:numCache>
            </c:numRef>
          </c:xVal>
          <c:yVal>
            <c:numRef>
              <c:f>'double AP'!$Z$119:$Z$131</c:f>
              <c:numCache>
                <c:formatCode>0.0</c:formatCode>
                <c:ptCount val="13"/>
                <c:pt idx="0">
                  <c:v>82.1</c:v>
                </c:pt>
                <c:pt idx="1">
                  <c:v>72.75</c:v>
                </c:pt>
                <c:pt idx="2">
                  <c:v>63.8</c:v>
                </c:pt>
                <c:pt idx="3">
                  <c:v>97.75</c:v>
                </c:pt>
                <c:pt idx="4">
                  <c:v>53.5</c:v>
                </c:pt>
                <c:pt idx="5">
                  <c:v>87.4</c:v>
                </c:pt>
                <c:pt idx="6">
                  <c:v>93.85</c:v>
                </c:pt>
                <c:pt idx="7">
                  <c:v>70.449999999999989</c:v>
                </c:pt>
                <c:pt idx="8">
                  <c:v>54.5</c:v>
                </c:pt>
                <c:pt idx="9">
                  <c:v>56.8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A-D444-9177-BA98CDD80F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errBars>
            <c:errDir val="x"/>
            <c:errBarType val="both"/>
            <c:errValType val="fixedVal"/>
            <c:noEndCap val="0"/>
            <c:val val="36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fixedVal"/>
            <c:noEndCap val="0"/>
            <c:val val="14.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'double AP'!$E$132</c:f>
              <c:numCache>
                <c:formatCode>0</c:formatCode>
                <c:ptCount val="1"/>
                <c:pt idx="0">
                  <c:v>155</c:v>
                </c:pt>
              </c:numCache>
            </c:numRef>
          </c:xVal>
          <c:yVal>
            <c:numRef>
              <c:f>'double AP'!$Z$132</c:f>
              <c:numCache>
                <c:formatCode>0.0</c:formatCode>
                <c:ptCount val="1"/>
                <c:pt idx="0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A-D444-9177-BA98CDD8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9904"/>
        <c:axId val="1"/>
      </c:scatterChart>
      <c:valAx>
        <c:axId val="700749904"/>
        <c:scaling>
          <c:orientation val="minMax"/>
          <c:max val="1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916726318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484848484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749904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70563702983942"/>
          <c:y val="0.14545443784443224"/>
          <c:w val="0.65647002257293552"/>
          <c:h val="0.4909087277249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AP'!$E$133:$E$146</c:f>
              <c:numCache>
                <c:formatCode>0</c:formatCode>
                <c:ptCount val="14"/>
                <c:pt idx="0">
                  <c:v>60</c:v>
                </c:pt>
                <c:pt idx="1">
                  <c:v>150</c:v>
                </c:pt>
                <c:pt idx="2">
                  <c:v>47</c:v>
                </c:pt>
                <c:pt idx="3">
                  <c:v>56</c:v>
                </c:pt>
                <c:pt idx="4">
                  <c:v>89</c:v>
                </c:pt>
                <c:pt idx="5">
                  <c:v>388</c:v>
                </c:pt>
                <c:pt idx="6">
                  <c:v>110</c:v>
                </c:pt>
                <c:pt idx="7">
                  <c:v>198</c:v>
                </c:pt>
                <c:pt idx="8">
                  <c:v>510</c:v>
                </c:pt>
              </c:numCache>
            </c:numRef>
          </c:xVal>
          <c:yVal>
            <c:numRef>
              <c:f>'double AP'!$Z$133:$Z$146</c:f>
              <c:numCache>
                <c:formatCode>0.0</c:formatCode>
                <c:ptCount val="14"/>
                <c:pt idx="0">
                  <c:v>62.4</c:v>
                </c:pt>
                <c:pt idx="1">
                  <c:v>89.4</c:v>
                </c:pt>
                <c:pt idx="2">
                  <c:v>55.15</c:v>
                </c:pt>
                <c:pt idx="3">
                  <c:v>63.900000000000006</c:v>
                </c:pt>
                <c:pt idx="4">
                  <c:v>69.95</c:v>
                </c:pt>
                <c:pt idx="5">
                  <c:v>100</c:v>
                </c:pt>
                <c:pt idx="6">
                  <c:v>70.349999999999994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F040-80F5-CD409F2FB5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AP'!$E$147</c:f>
              <c:numCache>
                <c:formatCode>0</c:formatCode>
                <c:ptCount val="1"/>
                <c:pt idx="0">
                  <c:v>110</c:v>
                </c:pt>
              </c:numCache>
            </c:numRef>
          </c:xVal>
          <c:yVal>
            <c:numRef>
              <c:f>'double AP'!$Z$147</c:f>
              <c:numCache>
                <c:formatCode>0.0</c:formatCode>
                <c:ptCount val="1"/>
                <c:pt idx="0">
                  <c:v>70.349999999999994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F040-80F5-CD409F2F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73872"/>
        <c:axId val="1"/>
      </c:scatterChart>
      <c:valAx>
        <c:axId val="700773872"/>
        <c:scaling>
          <c:orientation val="minMax"/>
          <c:max val="10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Separation in SC (um)</a:t>
                </a:r>
              </a:p>
            </c:rich>
          </c:tx>
          <c:layout>
            <c:manualLayout>
              <c:xMode val="edge"/>
              <c:yMode val="edge"/>
              <c:x val="0.50117610004631774"/>
              <c:y val="0.793938777315756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200"/>
        <c:minorUnit val="100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segregation in retina</a:t>
                </a:r>
              </a:p>
            </c:rich>
          </c:tx>
          <c:layout>
            <c:manualLayout>
              <c:xMode val="edge"/>
              <c:yMode val="edge"/>
              <c:x val="3.5294117647058823E-2"/>
              <c:y val="0.2848482703706980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773872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292264937471"/>
          <c:y val="6.8626871245837356E-2"/>
          <c:w val="0.85520018527095876"/>
          <c:h val="0.799329930596620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B7DEE8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AP'!$E$148:$E$169</c:f>
              <c:numCache>
                <c:formatCode>0</c:formatCode>
                <c:ptCount val="22"/>
                <c:pt idx="0">
                  <c:v>180</c:v>
                </c:pt>
                <c:pt idx="1">
                  <c:v>83</c:v>
                </c:pt>
                <c:pt idx="2">
                  <c:v>150</c:v>
                </c:pt>
                <c:pt idx="3">
                  <c:v>185</c:v>
                </c:pt>
                <c:pt idx="4">
                  <c:v>37.215588131856791</c:v>
                </c:pt>
                <c:pt idx="5">
                  <c:v>64</c:v>
                </c:pt>
                <c:pt idx="6">
                  <c:v>128</c:v>
                </c:pt>
                <c:pt idx="7">
                  <c:v>345</c:v>
                </c:pt>
                <c:pt idx="8">
                  <c:v>30</c:v>
                </c:pt>
                <c:pt idx="9">
                  <c:v>53</c:v>
                </c:pt>
                <c:pt idx="10">
                  <c:v>90</c:v>
                </c:pt>
                <c:pt idx="11">
                  <c:v>599</c:v>
                </c:pt>
                <c:pt idx="12">
                  <c:v>140</c:v>
                </c:pt>
                <c:pt idx="13">
                  <c:v>166</c:v>
                </c:pt>
                <c:pt idx="14">
                  <c:v>189</c:v>
                </c:pt>
                <c:pt idx="15">
                  <c:v>64</c:v>
                </c:pt>
                <c:pt idx="16">
                  <c:v>288</c:v>
                </c:pt>
                <c:pt idx="17">
                  <c:v>163</c:v>
                </c:pt>
                <c:pt idx="18">
                  <c:v>96</c:v>
                </c:pt>
                <c:pt idx="19">
                  <c:v>230.39999999999998</c:v>
                </c:pt>
                <c:pt idx="20">
                  <c:v>192</c:v>
                </c:pt>
                <c:pt idx="21">
                  <c:v>134.4</c:v>
                </c:pt>
              </c:numCache>
            </c:numRef>
          </c:xVal>
          <c:yVal>
            <c:numRef>
              <c:f>'double AP'!$Z$148:$Z$169</c:f>
              <c:numCache>
                <c:formatCode>0.0</c:formatCode>
                <c:ptCount val="22"/>
                <c:pt idx="0">
                  <c:v>100</c:v>
                </c:pt>
                <c:pt idx="1">
                  <c:v>70.849999999999994</c:v>
                </c:pt>
                <c:pt idx="2">
                  <c:v>93.7</c:v>
                </c:pt>
                <c:pt idx="3">
                  <c:v>96.949999999999989</c:v>
                </c:pt>
                <c:pt idx="4">
                  <c:v>59.05</c:v>
                </c:pt>
                <c:pt idx="5">
                  <c:v>60.3</c:v>
                </c:pt>
                <c:pt idx="6">
                  <c:v>89.35</c:v>
                </c:pt>
                <c:pt idx="7">
                  <c:v>100</c:v>
                </c:pt>
                <c:pt idx="8">
                  <c:v>0</c:v>
                </c:pt>
                <c:pt idx="9">
                  <c:v>53.6</c:v>
                </c:pt>
                <c:pt idx="10">
                  <c:v>82.05</c:v>
                </c:pt>
                <c:pt idx="11">
                  <c:v>100</c:v>
                </c:pt>
                <c:pt idx="12">
                  <c:v>97.8</c:v>
                </c:pt>
                <c:pt idx="13">
                  <c:v>93.3</c:v>
                </c:pt>
                <c:pt idx="14">
                  <c:v>97.8</c:v>
                </c:pt>
                <c:pt idx="15">
                  <c:v>53.95</c:v>
                </c:pt>
                <c:pt idx="16">
                  <c:v>100</c:v>
                </c:pt>
                <c:pt idx="17">
                  <c:v>89.15</c:v>
                </c:pt>
                <c:pt idx="18">
                  <c:v>78.900000000000006</c:v>
                </c:pt>
                <c:pt idx="19">
                  <c:v>96.449999999999989</c:v>
                </c:pt>
                <c:pt idx="20">
                  <c:v>100</c:v>
                </c:pt>
                <c:pt idx="21">
                  <c:v>83.4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2-FE49-8AE8-AE23BEC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89040"/>
        <c:axId val="1"/>
      </c:scatterChart>
      <c:valAx>
        <c:axId val="700789040"/>
        <c:scaling>
          <c:orientation val="minMax"/>
          <c:max val="600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25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789040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73992491444886E-2"/>
          <c:y val="4.6815040977020717E-2"/>
          <c:w val="0.88009867437456391"/>
          <c:h val="0.861657025014730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'double AP'!$E$171:$E$188</c:f>
              <c:numCache>
                <c:formatCode>0</c:formatCode>
                <c:ptCount val="18"/>
                <c:pt idx="0">
                  <c:v>135</c:v>
                </c:pt>
                <c:pt idx="1">
                  <c:v>100</c:v>
                </c:pt>
                <c:pt idx="2">
                  <c:v>134</c:v>
                </c:pt>
                <c:pt idx="3">
                  <c:v>150</c:v>
                </c:pt>
                <c:pt idx="4">
                  <c:v>140</c:v>
                </c:pt>
                <c:pt idx="5">
                  <c:v>280</c:v>
                </c:pt>
                <c:pt idx="6">
                  <c:v>110</c:v>
                </c:pt>
                <c:pt idx="7">
                  <c:v>165</c:v>
                </c:pt>
                <c:pt idx="8">
                  <c:v>385</c:v>
                </c:pt>
                <c:pt idx="9">
                  <c:v>300</c:v>
                </c:pt>
                <c:pt idx="10">
                  <c:v>96</c:v>
                </c:pt>
                <c:pt idx="11">
                  <c:v>134.4</c:v>
                </c:pt>
                <c:pt idx="12">
                  <c:v>96</c:v>
                </c:pt>
                <c:pt idx="13">
                  <c:v>57.599999999999994</c:v>
                </c:pt>
                <c:pt idx="14">
                  <c:v>23.799999999999997</c:v>
                </c:pt>
                <c:pt idx="15">
                  <c:v>73.5</c:v>
                </c:pt>
                <c:pt idx="16">
                  <c:v>96</c:v>
                </c:pt>
                <c:pt idx="17">
                  <c:v>76.8</c:v>
                </c:pt>
              </c:numCache>
            </c:numRef>
          </c:xVal>
          <c:yVal>
            <c:numRef>
              <c:f>'double AP'!$Z$171:$Z$188</c:f>
              <c:numCache>
                <c:formatCode>0.0</c:formatCode>
                <c:ptCount val="18"/>
                <c:pt idx="0">
                  <c:v>74.099999999999994</c:v>
                </c:pt>
                <c:pt idx="1">
                  <c:v>76.3</c:v>
                </c:pt>
                <c:pt idx="2">
                  <c:v>97.2</c:v>
                </c:pt>
                <c:pt idx="3">
                  <c:v>64.349999999999994</c:v>
                </c:pt>
                <c:pt idx="4">
                  <c:v>76.099999999999994</c:v>
                </c:pt>
                <c:pt idx="5">
                  <c:v>97.1</c:v>
                </c:pt>
                <c:pt idx="6">
                  <c:v>84.85</c:v>
                </c:pt>
                <c:pt idx="7">
                  <c:v>86.9</c:v>
                </c:pt>
                <c:pt idx="8">
                  <c:v>99.6</c:v>
                </c:pt>
                <c:pt idx="9">
                  <c:v>100</c:v>
                </c:pt>
                <c:pt idx="10">
                  <c:v>80.150000000000006</c:v>
                </c:pt>
                <c:pt idx="11">
                  <c:v>84.75</c:v>
                </c:pt>
                <c:pt idx="12">
                  <c:v>92.6</c:v>
                </c:pt>
                <c:pt idx="13">
                  <c:v>44.85</c:v>
                </c:pt>
                <c:pt idx="14">
                  <c:v>43.45</c:v>
                </c:pt>
                <c:pt idx="15">
                  <c:v>0</c:v>
                </c:pt>
                <c:pt idx="16">
                  <c:v>0</c:v>
                </c:pt>
                <c:pt idx="17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C-EF45-B9AC-5AA348C7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14592"/>
        <c:axId val="1"/>
      </c:scatterChart>
      <c:valAx>
        <c:axId val="700814592"/>
        <c:scaling>
          <c:orientation val="minMax"/>
          <c:max val="60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B7B7B7"/>
              </a:solidFill>
              <a:prstDash val="solid"/>
            </a:ln>
          </c:spPr>
        </c:minorGridlines>
        <c:numFmt formatCode="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00"/>
        <c:minorUnit val="25"/>
      </c:valAx>
      <c:valAx>
        <c:axId val="1"/>
        <c:scaling>
          <c:orientation val="minMax"/>
          <c:max val="100"/>
          <c:min val="4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minorGridlines>
          <c:spPr>
            <a:ln w="12700">
              <a:solidFill>
                <a:srgbClr val="C0C0C0"/>
              </a:solidFill>
              <a:prstDash val="solid"/>
            </a:ln>
          </c:spPr>
        </c:minorGridlines>
        <c:numFmt formatCode="0.0" sourceLinked="1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814592"/>
        <c:crossesAt val="0"/>
        <c:crossBetween val="midCat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1180555555555607" footer="0.51180555555555607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50800</xdr:colOff>
      <xdr:row>2</xdr:row>
      <xdr:rowOff>152400</xdr:rowOff>
    </xdr:from>
    <xdr:to>
      <xdr:col>31</xdr:col>
      <xdr:colOff>749300</xdr:colOff>
      <xdr:row>15</xdr:row>
      <xdr:rowOff>88900</xdr:rowOff>
    </xdr:to>
    <xdr:graphicFrame macro="">
      <xdr:nvGraphicFramePr>
        <xdr:cNvPr id="14280901" name="Chart 5">
          <a:extLst>
            <a:ext uri="{FF2B5EF4-FFF2-40B4-BE49-F238E27FC236}">
              <a16:creationId xmlns:a16="http://schemas.microsoft.com/office/drawing/2014/main" id="{646ADEA8-2D0C-2A41-BCD0-76C43318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38100</xdr:colOff>
      <xdr:row>17</xdr:row>
      <xdr:rowOff>0</xdr:rowOff>
    </xdr:from>
    <xdr:to>
      <xdr:col>31</xdr:col>
      <xdr:colOff>736600</xdr:colOff>
      <xdr:row>29</xdr:row>
      <xdr:rowOff>101600</xdr:rowOff>
    </xdr:to>
    <xdr:graphicFrame macro="">
      <xdr:nvGraphicFramePr>
        <xdr:cNvPr id="14280902" name="Chart 6">
          <a:extLst>
            <a:ext uri="{FF2B5EF4-FFF2-40B4-BE49-F238E27FC236}">
              <a16:creationId xmlns:a16="http://schemas.microsoft.com/office/drawing/2014/main" id="{F913497E-AA48-1A40-BC8B-1BFE91F22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25400</xdr:colOff>
      <xdr:row>50</xdr:row>
      <xdr:rowOff>152400</xdr:rowOff>
    </xdr:from>
    <xdr:to>
      <xdr:col>31</xdr:col>
      <xdr:colOff>723900</xdr:colOff>
      <xdr:row>64</xdr:row>
      <xdr:rowOff>101600</xdr:rowOff>
    </xdr:to>
    <xdr:graphicFrame macro="">
      <xdr:nvGraphicFramePr>
        <xdr:cNvPr id="14280903" name="Chart 7">
          <a:extLst>
            <a:ext uri="{FF2B5EF4-FFF2-40B4-BE49-F238E27FC236}">
              <a16:creationId xmlns:a16="http://schemas.microsoft.com/office/drawing/2014/main" id="{47C8A601-BF45-2A44-9133-962554CDE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25400</xdr:colOff>
      <xdr:row>71</xdr:row>
      <xdr:rowOff>152400</xdr:rowOff>
    </xdr:from>
    <xdr:to>
      <xdr:col>31</xdr:col>
      <xdr:colOff>723900</xdr:colOff>
      <xdr:row>84</xdr:row>
      <xdr:rowOff>127000</xdr:rowOff>
    </xdr:to>
    <xdr:graphicFrame macro="">
      <xdr:nvGraphicFramePr>
        <xdr:cNvPr id="14280904" name="Chart 8">
          <a:extLst>
            <a:ext uri="{FF2B5EF4-FFF2-40B4-BE49-F238E27FC236}">
              <a16:creationId xmlns:a16="http://schemas.microsoft.com/office/drawing/2014/main" id="{EE9CDE72-7C34-5C47-BA76-AF4D16D6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25400</xdr:colOff>
      <xdr:row>98</xdr:row>
      <xdr:rowOff>152400</xdr:rowOff>
    </xdr:from>
    <xdr:to>
      <xdr:col>31</xdr:col>
      <xdr:colOff>723900</xdr:colOff>
      <xdr:row>111</xdr:row>
      <xdr:rowOff>101600</xdr:rowOff>
    </xdr:to>
    <xdr:graphicFrame macro="">
      <xdr:nvGraphicFramePr>
        <xdr:cNvPr id="14280905" name="Chart 9">
          <a:extLst>
            <a:ext uri="{FF2B5EF4-FFF2-40B4-BE49-F238E27FC236}">
              <a16:creationId xmlns:a16="http://schemas.microsoft.com/office/drawing/2014/main" id="{68C31F99-BF0B-B443-86B7-DA181BE99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101600</xdr:colOff>
      <xdr:row>117</xdr:row>
      <xdr:rowOff>152400</xdr:rowOff>
    </xdr:from>
    <xdr:to>
      <xdr:col>31</xdr:col>
      <xdr:colOff>800100</xdr:colOff>
      <xdr:row>130</xdr:row>
      <xdr:rowOff>101600</xdr:rowOff>
    </xdr:to>
    <xdr:graphicFrame macro="">
      <xdr:nvGraphicFramePr>
        <xdr:cNvPr id="14280906" name="Chart 10">
          <a:extLst>
            <a:ext uri="{FF2B5EF4-FFF2-40B4-BE49-F238E27FC236}">
              <a16:creationId xmlns:a16="http://schemas.microsoft.com/office/drawing/2014/main" id="{510F7A89-B5AB-1F43-8827-70DBA78EA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25400</xdr:colOff>
      <xdr:row>131</xdr:row>
      <xdr:rowOff>152400</xdr:rowOff>
    </xdr:from>
    <xdr:to>
      <xdr:col>31</xdr:col>
      <xdr:colOff>723900</xdr:colOff>
      <xdr:row>145</xdr:row>
      <xdr:rowOff>101600</xdr:rowOff>
    </xdr:to>
    <xdr:graphicFrame macro="">
      <xdr:nvGraphicFramePr>
        <xdr:cNvPr id="14280907" name="Chart 11">
          <a:extLst>
            <a:ext uri="{FF2B5EF4-FFF2-40B4-BE49-F238E27FC236}">
              <a16:creationId xmlns:a16="http://schemas.microsoft.com/office/drawing/2014/main" id="{E4E372FA-820F-BF41-9142-BDC5733CE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114300</xdr:colOff>
      <xdr:row>147</xdr:row>
      <xdr:rowOff>25400</xdr:rowOff>
    </xdr:from>
    <xdr:to>
      <xdr:col>32</xdr:col>
      <xdr:colOff>368300</xdr:colOff>
      <xdr:row>168</xdr:row>
      <xdr:rowOff>76200</xdr:rowOff>
    </xdr:to>
    <xdr:graphicFrame macro="">
      <xdr:nvGraphicFramePr>
        <xdr:cNvPr id="14280908" name="Chart 12">
          <a:extLst>
            <a:ext uri="{FF2B5EF4-FFF2-40B4-BE49-F238E27FC236}">
              <a16:creationId xmlns:a16="http://schemas.microsoft.com/office/drawing/2014/main" id="{6645B847-1CA7-3543-9E08-DF2680FE7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25400</xdr:colOff>
      <xdr:row>170</xdr:row>
      <xdr:rowOff>25400</xdr:rowOff>
    </xdr:from>
    <xdr:to>
      <xdr:col>32</xdr:col>
      <xdr:colOff>406400</xdr:colOff>
      <xdr:row>194</xdr:row>
      <xdr:rowOff>127000</xdr:rowOff>
    </xdr:to>
    <xdr:graphicFrame macro="">
      <xdr:nvGraphicFramePr>
        <xdr:cNvPr id="14280909" name="Chart 13">
          <a:extLst>
            <a:ext uri="{FF2B5EF4-FFF2-40B4-BE49-F238E27FC236}">
              <a16:creationId xmlns:a16="http://schemas.microsoft.com/office/drawing/2014/main" id="{D81D6373-BF80-AD4C-A7DE-32F5445E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25400</xdr:colOff>
      <xdr:row>36</xdr:row>
      <xdr:rowOff>0</xdr:rowOff>
    </xdr:from>
    <xdr:to>
      <xdr:col>31</xdr:col>
      <xdr:colOff>685800</xdr:colOff>
      <xdr:row>48</xdr:row>
      <xdr:rowOff>0</xdr:rowOff>
    </xdr:to>
    <xdr:graphicFrame macro="">
      <xdr:nvGraphicFramePr>
        <xdr:cNvPr id="14280910" name="Chart 14">
          <a:extLst>
            <a:ext uri="{FF2B5EF4-FFF2-40B4-BE49-F238E27FC236}">
              <a16:creationId xmlns:a16="http://schemas.microsoft.com/office/drawing/2014/main" id="{533BA617-1CFD-EB4A-8B76-110A5FF5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25400</xdr:colOff>
      <xdr:row>199</xdr:row>
      <xdr:rowOff>152400</xdr:rowOff>
    </xdr:from>
    <xdr:to>
      <xdr:col>31</xdr:col>
      <xdr:colOff>698500</xdr:colOff>
      <xdr:row>217</xdr:row>
      <xdr:rowOff>50800</xdr:rowOff>
    </xdr:to>
    <xdr:graphicFrame macro="">
      <xdr:nvGraphicFramePr>
        <xdr:cNvPr id="14280911" name="Chart 15">
          <a:extLst>
            <a:ext uri="{FF2B5EF4-FFF2-40B4-BE49-F238E27FC236}">
              <a16:creationId xmlns:a16="http://schemas.microsoft.com/office/drawing/2014/main" id="{2D62F665-A0D0-EA4A-9AE4-B52ACDF2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520700</xdr:colOff>
      <xdr:row>207</xdr:row>
      <xdr:rowOff>50800</xdr:rowOff>
    </xdr:from>
    <xdr:to>
      <xdr:col>13</xdr:col>
      <xdr:colOff>12700</xdr:colOff>
      <xdr:row>228</xdr:row>
      <xdr:rowOff>88900</xdr:rowOff>
    </xdr:to>
    <xdr:graphicFrame macro="">
      <xdr:nvGraphicFramePr>
        <xdr:cNvPr id="14280912" name="Chart 16">
          <a:extLst>
            <a:ext uri="{FF2B5EF4-FFF2-40B4-BE49-F238E27FC236}">
              <a16:creationId xmlns:a16="http://schemas.microsoft.com/office/drawing/2014/main" id="{E1EE8F7C-9EB6-3F42-94A6-DCB91A68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139700</xdr:colOff>
      <xdr:row>207</xdr:row>
      <xdr:rowOff>50800</xdr:rowOff>
    </xdr:from>
    <xdr:to>
      <xdr:col>18</xdr:col>
      <xdr:colOff>584200</xdr:colOff>
      <xdr:row>228</xdr:row>
      <xdr:rowOff>88900</xdr:rowOff>
    </xdr:to>
    <xdr:graphicFrame macro="">
      <xdr:nvGraphicFramePr>
        <xdr:cNvPr id="14280913" name="Chart 17">
          <a:extLst>
            <a:ext uri="{FF2B5EF4-FFF2-40B4-BE49-F238E27FC236}">
              <a16:creationId xmlns:a16="http://schemas.microsoft.com/office/drawing/2014/main" id="{F0CE9D0B-8108-BA42-9DDD-646569BB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622300</xdr:colOff>
      <xdr:row>230</xdr:row>
      <xdr:rowOff>101600</xdr:rowOff>
    </xdr:from>
    <xdr:to>
      <xdr:col>15</xdr:col>
      <xdr:colOff>419100</xdr:colOff>
      <xdr:row>247</xdr:row>
      <xdr:rowOff>25400</xdr:rowOff>
    </xdr:to>
    <xdr:graphicFrame macro="">
      <xdr:nvGraphicFramePr>
        <xdr:cNvPr id="14280914" name="Chart 18">
          <a:extLst>
            <a:ext uri="{FF2B5EF4-FFF2-40B4-BE49-F238E27FC236}">
              <a16:creationId xmlns:a16="http://schemas.microsoft.com/office/drawing/2014/main" id="{7C332273-E75C-3F4E-A149-F3F89256B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723900</xdr:colOff>
      <xdr:row>3</xdr:row>
      <xdr:rowOff>101600</xdr:rowOff>
    </xdr:from>
    <xdr:to>
      <xdr:col>79</xdr:col>
      <xdr:colOff>165100</xdr:colOff>
      <xdr:row>29</xdr:row>
      <xdr:rowOff>76200</xdr:rowOff>
    </xdr:to>
    <xdr:graphicFrame macro="">
      <xdr:nvGraphicFramePr>
        <xdr:cNvPr id="14280915" name="Chart 19">
          <a:extLst>
            <a:ext uri="{FF2B5EF4-FFF2-40B4-BE49-F238E27FC236}">
              <a16:creationId xmlns:a16="http://schemas.microsoft.com/office/drawing/2014/main" id="{D8AE4B4C-5B1A-6541-9851-2B39D8ED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2</xdr:row>
      <xdr:rowOff>152400</xdr:rowOff>
    </xdr:from>
    <xdr:to>
      <xdr:col>30</xdr:col>
      <xdr:colOff>723900</xdr:colOff>
      <xdr:row>15</xdr:row>
      <xdr:rowOff>101600</xdr:rowOff>
    </xdr:to>
    <xdr:graphicFrame macro="">
      <xdr:nvGraphicFramePr>
        <xdr:cNvPr id="13256977" name="Chart 1">
          <a:extLst>
            <a:ext uri="{FF2B5EF4-FFF2-40B4-BE49-F238E27FC236}">
              <a16:creationId xmlns:a16="http://schemas.microsoft.com/office/drawing/2014/main" id="{321E7F7F-C66A-2A4C-8CF4-978E23EBD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35</xdr:row>
      <xdr:rowOff>152400</xdr:rowOff>
    </xdr:from>
    <xdr:to>
      <xdr:col>30</xdr:col>
      <xdr:colOff>723900</xdr:colOff>
      <xdr:row>47</xdr:row>
      <xdr:rowOff>101600</xdr:rowOff>
    </xdr:to>
    <xdr:graphicFrame macro="">
      <xdr:nvGraphicFramePr>
        <xdr:cNvPr id="13256978" name="Chart 2">
          <a:extLst>
            <a:ext uri="{FF2B5EF4-FFF2-40B4-BE49-F238E27FC236}">
              <a16:creationId xmlns:a16="http://schemas.microsoft.com/office/drawing/2014/main" id="{EF0A23E1-0863-E740-A005-94414ED5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25400</xdr:colOff>
      <xdr:row>48</xdr:row>
      <xdr:rowOff>152400</xdr:rowOff>
    </xdr:from>
    <xdr:to>
      <xdr:col>30</xdr:col>
      <xdr:colOff>723900</xdr:colOff>
      <xdr:row>61</xdr:row>
      <xdr:rowOff>101600</xdr:rowOff>
    </xdr:to>
    <xdr:graphicFrame macro="">
      <xdr:nvGraphicFramePr>
        <xdr:cNvPr id="13256979" name="Chart 3">
          <a:extLst>
            <a:ext uri="{FF2B5EF4-FFF2-40B4-BE49-F238E27FC236}">
              <a16:creationId xmlns:a16="http://schemas.microsoft.com/office/drawing/2014/main" id="{EA1D8E2B-EB60-2748-917C-6DAE0359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25400</xdr:colOff>
      <xdr:row>62</xdr:row>
      <xdr:rowOff>152400</xdr:rowOff>
    </xdr:from>
    <xdr:to>
      <xdr:col>30</xdr:col>
      <xdr:colOff>723900</xdr:colOff>
      <xdr:row>75</xdr:row>
      <xdr:rowOff>101600</xdr:rowOff>
    </xdr:to>
    <xdr:graphicFrame macro="">
      <xdr:nvGraphicFramePr>
        <xdr:cNvPr id="13256980" name="Chart 4">
          <a:extLst>
            <a:ext uri="{FF2B5EF4-FFF2-40B4-BE49-F238E27FC236}">
              <a16:creationId xmlns:a16="http://schemas.microsoft.com/office/drawing/2014/main" id="{EEA3D2F1-AF68-3D4C-9FD1-D9A499A5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25400</xdr:colOff>
      <xdr:row>76</xdr:row>
      <xdr:rowOff>152400</xdr:rowOff>
    </xdr:from>
    <xdr:to>
      <xdr:col>30</xdr:col>
      <xdr:colOff>723900</xdr:colOff>
      <xdr:row>88</xdr:row>
      <xdr:rowOff>101600</xdr:rowOff>
    </xdr:to>
    <xdr:graphicFrame macro="">
      <xdr:nvGraphicFramePr>
        <xdr:cNvPr id="13256981" name="Chart 5">
          <a:extLst>
            <a:ext uri="{FF2B5EF4-FFF2-40B4-BE49-F238E27FC236}">
              <a16:creationId xmlns:a16="http://schemas.microsoft.com/office/drawing/2014/main" id="{FA7910FA-6B5E-1F4B-B0D5-5C1062DEF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25400</xdr:colOff>
      <xdr:row>16</xdr:row>
      <xdr:rowOff>152400</xdr:rowOff>
    </xdr:from>
    <xdr:to>
      <xdr:col>30</xdr:col>
      <xdr:colOff>723900</xdr:colOff>
      <xdr:row>29</xdr:row>
      <xdr:rowOff>127000</xdr:rowOff>
    </xdr:to>
    <xdr:graphicFrame macro="">
      <xdr:nvGraphicFramePr>
        <xdr:cNvPr id="13256982" name="Chart 6">
          <a:extLst>
            <a:ext uri="{FF2B5EF4-FFF2-40B4-BE49-F238E27FC236}">
              <a16:creationId xmlns:a16="http://schemas.microsoft.com/office/drawing/2014/main" id="{94F473B0-8AD4-1A44-82A1-415E45C20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89</xdr:row>
      <xdr:rowOff>152400</xdr:rowOff>
    </xdr:from>
    <xdr:to>
      <xdr:col>30</xdr:col>
      <xdr:colOff>723900</xdr:colOff>
      <xdr:row>104</xdr:row>
      <xdr:rowOff>101600</xdr:rowOff>
    </xdr:to>
    <xdr:graphicFrame macro="">
      <xdr:nvGraphicFramePr>
        <xdr:cNvPr id="13256983" name="Chart 5">
          <a:extLst>
            <a:ext uri="{FF2B5EF4-FFF2-40B4-BE49-F238E27FC236}">
              <a16:creationId xmlns:a16="http://schemas.microsoft.com/office/drawing/2014/main" id="{AF761B37-879E-7240-926F-579E32282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63500</xdr:colOff>
      <xdr:row>2</xdr:row>
      <xdr:rowOff>152400</xdr:rowOff>
    </xdr:from>
    <xdr:to>
      <xdr:col>30</xdr:col>
      <xdr:colOff>749300</xdr:colOff>
      <xdr:row>3</xdr:row>
      <xdr:rowOff>0</xdr:rowOff>
    </xdr:to>
    <xdr:graphicFrame macro="">
      <xdr:nvGraphicFramePr>
        <xdr:cNvPr id="7877" name="Chart 1">
          <a:extLst>
            <a:ext uri="{FF2B5EF4-FFF2-40B4-BE49-F238E27FC236}">
              <a16:creationId xmlns:a16="http://schemas.microsoft.com/office/drawing/2014/main" id="{C26FA6F0-5EA0-FD4F-915F-F822A91EF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63500</xdr:colOff>
      <xdr:row>3</xdr:row>
      <xdr:rowOff>152400</xdr:rowOff>
    </xdr:from>
    <xdr:to>
      <xdr:col>30</xdr:col>
      <xdr:colOff>749300</xdr:colOff>
      <xdr:row>16</xdr:row>
      <xdr:rowOff>88900</xdr:rowOff>
    </xdr:to>
    <xdr:graphicFrame macro="">
      <xdr:nvGraphicFramePr>
        <xdr:cNvPr id="7878" name="Chart 2">
          <a:extLst>
            <a:ext uri="{FF2B5EF4-FFF2-40B4-BE49-F238E27FC236}">
              <a16:creationId xmlns:a16="http://schemas.microsoft.com/office/drawing/2014/main" id="{1A7FA911-F481-494C-87C0-A613BE6F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152400</xdr:rowOff>
    </xdr:from>
    <xdr:to>
      <xdr:col>9</xdr:col>
      <xdr:colOff>469900</xdr:colOff>
      <xdr:row>47</xdr:row>
      <xdr:rowOff>114300</xdr:rowOff>
    </xdr:to>
    <xdr:graphicFrame macro="">
      <xdr:nvGraphicFramePr>
        <xdr:cNvPr id="14333991" name="Chart 1">
          <a:extLst>
            <a:ext uri="{FF2B5EF4-FFF2-40B4-BE49-F238E27FC236}">
              <a16:creationId xmlns:a16="http://schemas.microsoft.com/office/drawing/2014/main" id="{0FFEE999-F2C7-3842-9889-EF9EB5020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10</xdr:row>
      <xdr:rowOff>114300</xdr:rowOff>
    </xdr:from>
    <xdr:to>
      <xdr:col>23</xdr:col>
      <xdr:colOff>685800</xdr:colOff>
      <xdr:row>45</xdr:row>
      <xdr:rowOff>139700</xdr:rowOff>
    </xdr:to>
    <xdr:graphicFrame macro="">
      <xdr:nvGraphicFramePr>
        <xdr:cNvPr id="14333992" name="Chart 2">
          <a:extLst>
            <a:ext uri="{FF2B5EF4-FFF2-40B4-BE49-F238E27FC236}">
              <a16:creationId xmlns:a16="http://schemas.microsoft.com/office/drawing/2014/main" id="{2FB8243A-6348-324D-B71C-9D2DFF33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165100</xdr:colOff>
      <xdr:row>0</xdr:row>
      <xdr:rowOff>0</xdr:rowOff>
    </xdr:from>
    <xdr:to>
      <xdr:col>23</xdr:col>
      <xdr:colOff>381000</xdr:colOff>
      <xdr:row>16</xdr:row>
      <xdr:rowOff>114300</xdr:rowOff>
    </xdr:to>
    <xdr:graphicFrame macro="">
      <xdr:nvGraphicFramePr>
        <xdr:cNvPr id="14333993" name="Chart 3">
          <a:extLst>
            <a:ext uri="{FF2B5EF4-FFF2-40B4-BE49-F238E27FC236}">
              <a16:creationId xmlns:a16="http://schemas.microsoft.com/office/drawing/2014/main" id="{34220617-C18C-EA4D-8E16-B8E7EDE0F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0.89707</cdr:x>
      <cdr:y>0.35901</cdr:y>
    </cdr:from>
    <cdr:to>
      <cdr:x>0.98413</cdr:x>
      <cdr:y>0.57123</cdr:y>
    </cdr:to>
    <cdr:sp macro="" textlink="" fLocksText="0">
      <cdr:nvSpPr>
        <cdr:cNvPr id="9217" name="TextBox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55924" y="2088198"/>
          <a:ext cx="655653" cy="1234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360">
          <a:solidFill>
            <a:srgbClr val="808080"/>
          </a:solidFill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90000" tIns="45000" rIns="90000" bIns="45000" anchor="t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Label density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152400</xdr:rowOff>
    </xdr:from>
    <xdr:to>
      <xdr:col>5</xdr:col>
      <xdr:colOff>825500</xdr:colOff>
      <xdr:row>24</xdr:row>
      <xdr:rowOff>63500</xdr:rowOff>
    </xdr:to>
    <xdr:graphicFrame macro="">
      <xdr:nvGraphicFramePr>
        <xdr:cNvPr id="13270523" name="Chart 1">
          <a:extLst>
            <a:ext uri="{FF2B5EF4-FFF2-40B4-BE49-F238E27FC236}">
              <a16:creationId xmlns:a16="http://schemas.microsoft.com/office/drawing/2014/main" id="{60B5BF71-2BD4-374A-A5A7-46CBB4E64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152400</xdr:rowOff>
    </xdr:from>
    <xdr:to>
      <xdr:col>12</xdr:col>
      <xdr:colOff>838200</xdr:colOff>
      <xdr:row>24</xdr:row>
      <xdr:rowOff>63500</xdr:rowOff>
    </xdr:to>
    <xdr:graphicFrame macro="">
      <xdr:nvGraphicFramePr>
        <xdr:cNvPr id="13270524" name="Chart 2">
          <a:extLst>
            <a:ext uri="{FF2B5EF4-FFF2-40B4-BE49-F238E27FC236}">
              <a16:creationId xmlns:a16="http://schemas.microsoft.com/office/drawing/2014/main" id="{92A486C6-C446-F04A-87C6-3AD983A60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25400</xdr:colOff>
      <xdr:row>1</xdr:row>
      <xdr:rowOff>152400</xdr:rowOff>
    </xdr:from>
    <xdr:to>
      <xdr:col>19</xdr:col>
      <xdr:colOff>825500</xdr:colOff>
      <xdr:row>24</xdr:row>
      <xdr:rowOff>63500</xdr:rowOff>
    </xdr:to>
    <xdr:graphicFrame macro="">
      <xdr:nvGraphicFramePr>
        <xdr:cNvPr id="13270525" name="Chart 3">
          <a:extLst>
            <a:ext uri="{FF2B5EF4-FFF2-40B4-BE49-F238E27FC236}">
              <a16:creationId xmlns:a16="http://schemas.microsoft.com/office/drawing/2014/main" id="{45DC7F4B-5C51-3743-A291-1858825F4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87</xdr:row>
      <xdr:rowOff>114300</xdr:rowOff>
    </xdr:from>
    <xdr:to>
      <xdr:col>13</xdr:col>
      <xdr:colOff>25400</xdr:colOff>
      <xdr:row>104</xdr:row>
      <xdr:rowOff>114300</xdr:rowOff>
    </xdr:to>
    <xdr:graphicFrame macro="">
      <xdr:nvGraphicFramePr>
        <xdr:cNvPr id="13270526" name="Chart 4">
          <a:extLst>
            <a:ext uri="{FF2B5EF4-FFF2-40B4-BE49-F238E27FC236}">
              <a16:creationId xmlns:a16="http://schemas.microsoft.com/office/drawing/2014/main" id="{1C58A361-0336-B140-8C99-A3953D6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139700</xdr:colOff>
      <xdr:row>59</xdr:row>
      <xdr:rowOff>38100</xdr:rowOff>
    </xdr:from>
    <xdr:to>
      <xdr:col>13</xdr:col>
      <xdr:colOff>25400</xdr:colOff>
      <xdr:row>81</xdr:row>
      <xdr:rowOff>101600</xdr:rowOff>
    </xdr:to>
    <xdr:graphicFrame macro="">
      <xdr:nvGraphicFramePr>
        <xdr:cNvPr id="13270527" name="Chart 5">
          <a:extLst>
            <a:ext uri="{FF2B5EF4-FFF2-40B4-BE49-F238E27FC236}">
              <a16:creationId xmlns:a16="http://schemas.microsoft.com/office/drawing/2014/main" id="{3D8468D3-7BED-E14D-8738-9771D83F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342900</xdr:colOff>
      <xdr:row>87</xdr:row>
      <xdr:rowOff>76200</xdr:rowOff>
    </xdr:from>
    <xdr:to>
      <xdr:col>19</xdr:col>
      <xdr:colOff>825500</xdr:colOff>
      <xdr:row>104</xdr:row>
      <xdr:rowOff>76200</xdr:rowOff>
    </xdr:to>
    <xdr:graphicFrame macro="">
      <xdr:nvGraphicFramePr>
        <xdr:cNvPr id="13270528" name="Chart 6">
          <a:extLst>
            <a:ext uri="{FF2B5EF4-FFF2-40B4-BE49-F238E27FC236}">
              <a16:creationId xmlns:a16="http://schemas.microsoft.com/office/drawing/2014/main" id="{80D5C7A6-7E38-1E4B-97CF-587939FF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25400</xdr:colOff>
      <xdr:row>58</xdr:row>
      <xdr:rowOff>152400</xdr:rowOff>
    </xdr:from>
    <xdr:to>
      <xdr:col>19</xdr:col>
      <xdr:colOff>825500</xdr:colOff>
      <xdr:row>81</xdr:row>
      <xdr:rowOff>63500</xdr:rowOff>
    </xdr:to>
    <xdr:graphicFrame macro="">
      <xdr:nvGraphicFramePr>
        <xdr:cNvPr id="13270529" name="Chart 7">
          <a:extLst>
            <a:ext uri="{FF2B5EF4-FFF2-40B4-BE49-F238E27FC236}">
              <a16:creationId xmlns:a16="http://schemas.microsoft.com/office/drawing/2014/main" id="{C23D9ED0-BD98-564D-8595-6424FEAFC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25400</xdr:colOff>
      <xdr:row>0</xdr:row>
      <xdr:rowOff>152400</xdr:rowOff>
    </xdr:from>
    <xdr:to>
      <xdr:col>45</xdr:col>
      <xdr:colOff>825500</xdr:colOff>
      <xdr:row>23</xdr:row>
      <xdr:rowOff>63500</xdr:rowOff>
    </xdr:to>
    <xdr:graphicFrame macro="">
      <xdr:nvGraphicFramePr>
        <xdr:cNvPr id="13270530" name="Chart 8">
          <a:extLst>
            <a:ext uri="{FF2B5EF4-FFF2-40B4-BE49-F238E27FC236}">
              <a16:creationId xmlns:a16="http://schemas.microsoft.com/office/drawing/2014/main" id="{1B991939-6CDE-9940-89B8-4EF095E69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</xdr:colOff>
      <xdr:row>25</xdr:row>
      <xdr:rowOff>152400</xdr:rowOff>
    </xdr:from>
    <xdr:to>
      <xdr:col>5</xdr:col>
      <xdr:colOff>673100</xdr:colOff>
      <xdr:row>42</xdr:row>
      <xdr:rowOff>152400</xdr:rowOff>
    </xdr:to>
    <xdr:graphicFrame macro="">
      <xdr:nvGraphicFramePr>
        <xdr:cNvPr id="13270531" name="Chart 9">
          <a:extLst>
            <a:ext uri="{FF2B5EF4-FFF2-40B4-BE49-F238E27FC236}">
              <a16:creationId xmlns:a16="http://schemas.microsoft.com/office/drawing/2014/main" id="{01A7D6CA-A6E3-3148-A9C5-0786D620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114300</xdr:colOff>
      <xdr:row>1</xdr:row>
      <xdr:rowOff>12700</xdr:rowOff>
    </xdr:from>
    <xdr:to>
      <xdr:col>26</xdr:col>
      <xdr:colOff>812800</xdr:colOff>
      <xdr:row>23</xdr:row>
      <xdr:rowOff>88900</xdr:rowOff>
    </xdr:to>
    <xdr:graphicFrame macro="">
      <xdr:nvGraphicFramePr>
        <xdr:cNvPr id="13270532" name="Chart 10">
          <a:extLst>
            <a:ext uri="{FF2B5EF4-FFF2-40B4-BE49-F238E27FC236}">
              <a16:creationId xmlns:a16="http://schemas.microsoft.com/office/drawing/2014/main" id="{E4AD289A-E821-D544-80AC-2BEDAEEC3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25400</xdr:colOff>
      <xdr:row>0</xdr:row>
      <xdr:rowOff>152400</xdr:rowOff>
    </xdr:from>
    <xdr:to>
      <xdr:col>33</xdr:col>
      <xdr:colOff>825500</xdr:colOff>
      <xdr:row>23</xdr:row>
      <xdr:rowOff>63500</xdr:rowOff>
    </xdr:to>
    <xdr:graphicFrame macro="">
      <xdr:nvGraphicFramePr>
        <xdr:cNvPr id="13270533" name="Chart 11">
          <a:extLst>
            <a:ext uri="{FF2B5EF4-FFF2-40B4-BE49-F238E27FC236}">
              <a16:creationId xmlns:a16="http://schemas.microsoft.com/office/drawing/2014/main" id="{2B931302-E02A-9E49-9B72-7D3BE8C7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25400</xdr:colOff>
      <xdr:row>0</xdr:row>
      <xdr:rowOff>152400</xdr:rowOff>
    </xdr:from>
    <xdr:to>
      <xdr:col>39</xdr:col>
      <xdr:colOff>825500</xdr:colOff>
      <xdr:row>23</xdr:row>
      <xdr:rowOff>63500</xdr:rowOff>
    </xdr:to>
    <xdr:graphicFrame macro="">
      <xdr:nvGraphicFramePr>
        <xdr:cNvPr id="13270534" name="Chart 12">
          <a:extLst>
            <a:ext uri="{FF2B5EF4-FFF2-40B4-BE49-F238E27FC236}">
              <a16:creationId xmlns:a16="http://schemas.microsoft.com/office/drawing/2014/main" id="{9AAEDD22-67DF-494F-A746-90D978C90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25400</xdr:colOff>
      <xdr:row>0</xdr:row>
      <xdr:rowOff>152400</xdr:rowOff>
    </xdr:from>
    <xdr:to>
      <xdr:col>51</xdr:col>
      <xdr:colOff>825500</xdr:colOff>
      <xdr:row>23</xdr:row>
      <xdr:rowOff>63500</xdr:rowOff>
    </xdr:to>
    <xdr:graphicFrame macro="">
      <xdr:nvGraphicFramePr>
        <xdr:cNvPr id="13270535" name="Chart 13">
          <a:extLst>
            <a:ext uri="{FF2B5EF4-FFF2-40B4-BE49-F238E27FC236}">
              <a16:creationId xmlns:a16="http://schemas.microsoft.com/office/drawing/2014/main" id="{E92B7454-D94A-2245-8E96-EEFA6268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38"/>
  <sheetViews>
    <sheetView tabSelected="1" zoomScaleNormal="100" workbookViewId="0">
      <pane xSplit="5" ySplit="2" topLeftCell="F3" activePane="bottomRight" state="frozenSplit"/>
      <selection activeCell="B1" sqref="B1"/>
      <selection pane="topRight" activeCell="AE1" sqref="AE1"/>
      <selection pane="bottomLeft" activeCell="A3" sqref="A3"/>
      <selection pane="bottomRight" activeCell="J4" sqref="J4"/>
    </sheetView>
  </sheetViews>
  <sheetFormatPr baseColWidth="10" defaultColWidth="12.33203125" defaultRowHeight="13" x14ac:dyDescent="0.15"/>
  <cols>
    <col min="1" max="1" width="11.33203125" style="2" customWidth="1"/>
    <col min="2" max="2" width="11.1640625" style="3" customWidth="1"/>
    <col min="3" max="3" width="3.83203125" style="4" customWidth="1"/>
    <col min="4" max="4" width="6" style="5" customWidth="1"/>
    <col min="5" max="5" width="8" style="4" customWidth="1"/>
    <col min="6" max="7" width="12.33203125" style="6"/>
    <col min="8" max="13" width="12.33203125" style="7"/>
    <col min="14" max="16" width="12.33203125" style="6"/>
    <col min="17" max="17" width="12.33203125" style="7"/>
    <col min="18" max="18" width="12.33203125" style="6"/>
    <col min="19" max="19" width="12.33203125" style="7"/>
    <col min="20" max="20" width="12.33203125" style="6"/>
    <col min="21" max="21" width="12.33203125" style="2"/>
    <col min="22" max="22" width="12.33203125" style="8"/>
    <col min="23" max="23" width="12.33203125" style="2"/>
    <col min="24" max="24" width="12.33203125" style="9"/>
    <col min="25" max="25" width="12.33203125" style="10"/>
    <col min="26" max="26" width="12.33203125" style="11"/>
    <col min="27" max="32" width="12.33203125" style="2"/>
    <col min="33" max="33" width="19.5" style="2" customWidth="1"/>
    <col min="34" max="34" width="12.1640625" style="2" customWidth="1"/>
    <col min="35" max="41" width="12.33203125" style="2"/>
    <col min="42" max="44" width="12.33203125" style="12"/>
    <col min="45" max="47" width="12.33203125" style="13"/>
    <col min="48" max="49" width="12.33203125" style="6"/>
    <col min="50" max="52" width="12.33203125" style="7"/>
    <col min="53" max="57" width="12.33203125" style="4"/>
    <col min="58" max="59" width="12.33203125" style="14"/>
    <col min="60" max="61" width="12.33203125" style="15"/>
    <col min="62" max="63" width="12.33203125" style="16"/>
    <col min="64" max="65" width="12.33203125" style="13"/>
    <col min="66" max="67" width="12.33203125" style="12"/>
    <col min="68" max="69" width="12.33203125" style="17"/>
    <col min="70" max="72" width="12.33203125" style="18"/>
    <col min="73" max="16384" width="12.33203125" style="2"/>
  </cols>
  <sheetData>
    <row r="1" spans="1:82" x14ac:dyDescent="0.15">
      <c r="A1" s="19" t="s">
        <v>0</v>
      </c>
      <c r="B1" s="3" t="s">
        <v>1</v>
      </c>
      <c r="E1" s="20" t="s">
        <v>2</v>
      </c>
      <c r="F1" s="21" t="s">
        <v>3</v>
      </c>
      <c r="G1" s="21"/>
      <c r="H1" s="22"/>
      <c r="I1" s="22"/>
      <c r="J1" s="22" t="s">
        <v>388</v>
      </c>
      <c r="K1" s="23" t="s">
        <v>4</v>
      </c>
      <c r="L1" s="23"/>
      <c r="M1" s="23"/>
      <c r="N1" s="24"/>
      <c r="O1" s="24"/>
      <c r="P1" s="24"/>
      <c r="Q1" s="25" t="s">
        <v>5</v>
      </c>
      <c r="R1" s="26"/>
      <c r="S1" s="27"/>
      <c r="T1" s="28"/>
      <c r="U1" s="29"/>
      <c r="V1" s="30"/>
      <c r="W1" s="31"/>
      <c r="X1" s="509" t="s">
        <v>6</v>
      </c>
      <c r="Y1" s="509"/>
      <c r="Z1" s="509"/>
      <c r="AA1" s="33"/>
      <c r="AB1" s="33"/>
      <c r="AC1" s="33"/>
      <c r="AD1" s="34"/>
      <c r="AE1" s="34"/>
      <c r="AF1" s="34"/>
      <c r="AG1" s="35" t="s">
        <v>7</v>
      </c>
      <c r="AH1" s="35"/>
      <c r="AI1" s="35"/>
      <c r="AJ1" s="36" t="s">
        <v>8</v>
      </c>
      <c r="AK1" s="36"/>
      <c r="AL1" s="36"/>
      <c r="AM1" s="37"/>
      <c r="AN1" s="37"/>
      <c r="AO1" s="37"/>
      <c r="AP1" s="36" t="s">
        <v>8</v>
      </c>
      <c r="AQ1" s="36"/>
      <c r="AR1" s="36"/>
      <c r="AS1" s="37"/>
      <c r="AT1" s="37"/>
      <c r="AU1" s="37"/>
      <c r="AV1" s="38" t="s">
        <v>9</v>
      </c>
      <c r="AW1" s="38"/>
      <c r="AX1" s="39"/>
      <c r="AY1" s="39"/>
      <c r="AZ1" s="39" t="s">
        <v>387</v>
      </c>
      <c r="BA1" s="40" t="s">
        <v>10</v>
      </c>
      <c r="BB1" s="40"/>
      <c r="BC1" s="40"/>
      <c r="BD1" s="40"/>
      <c r="BE1" s="40"/>
      <c r="BF1" s="22" t="s">
        <v>11</v>
      </c>
      <c r="BG1" s="22"/>
      <c r="BH1" s="21"/>
      <c r="BI1" s="21"/>
      <c r="BJ1" s="41"/>
      <c r="BK1" s="41"/>
      <c r="BL1" s="42"/>
      <c r="BM1" s="42"/>
      <c r="BN1" s="43"/>
      <c r="BO1" s="43"/>
      <c r="BP1" s="44"/>
      <c r="BQ1" s="44"/>
      <c r="BR1" s="45"/>
      <c r="BS1" s="45"/>
      <c r="BT1" s="45"/>
      <c r="BU1" s="46" t="s">
        <v>12</v>
      </c>
      <c r="BV1" s="46" t="s">
        <v>13</v>
      </c>
      <c r="BW1" s="46" t="s">
        <v>14</v>
      </c>
      <c r="BX1" s="46" t="s">
        <v>15</v>
      </c>
      <c r="BY1" s="46" t="s">
        <v>16</v>
      </c>
      <c r="BZ1" s="46" t="s">
        <v>17</v>
      </c>
      <c r="CA1" s="46" t="s">
        <v>18</v>
      </c>
      <c r="CB1" s="46" t="s">
        <v>19</v>
      </c>
      <c r="CC1" s="46" t="s">
        <v>20</v>
      </c>
      <c r="CD1" s="46" t="s">
        <v>21</v>
      </c>
    </row>
    <row r="2" spans="1:82" x14ac:dyDescent="0.15">
      <c r="A2" s="19"/>
      <c r="B2" s="3" t="s">
        <v>22</v>
      </c>
      <c r="C2" s="4" t="s">
        <v>23</v>
      </c>
      <c r="D2" s="5" t="s">
        <v>24</v>
      </c>
      <c r="E2" s="20" t="s">
        <v>25</v>
      </c>
      <c r="F2" s="21" t="s">
        <v>26</v>
      </c>
      <c r="G2" s="21" t="s">
        <v>27</v>
      </c>
      <c r="H2" s="22" t="s">
        <v>28</v>
      </c>
      <c r="I2" s="22" t="s">
        <v>29</v>
      </c>
      <c r="J2" s="22"/>
      <c r="K2" s="23" t="s">
        <v>30</v>
      </c>
      <c r="L2" s="23" t="s">
        <v>31</v>
      </c>
      <c r="M2" s="23" t="s">
        <v>32</v>
      </c>
      <c r="N2" s="47" t="s">
        <v>33</v>
      </c>
      <c r="O2" s="47" t="s">
        <v>34</v>
      </c>
      <c r="P2" s="24" t="s">
        <v>35</v>
      </c>
      <c r="Q2" s="48" t="s">
        <v>36</v>
      </c>
      <c r="R2" s="49" t="s">
        <v>37</v>
      </c>
      <c r="S2" s="50" t="s">
        <v>38</v>
      </c>
      <c r="T2" s="51" t="s">
        <v>39</v>
      </c>
      <c r="U2" s="52" t="s">
        <v>40</v>
      </c>
      <c r="V2" s="53" t="s">
        <v>41</v>
      </c>
      <c r="W2" s="54" t="s">
        <v>42</v>
      </c>
      <c r="X2" s="55" t="s">
        <v>43</v>
      </c>
      <c r="Y2" s="32" t="s">
        <v>44</v>
      </c>
      <c r="Z2" s="56" t="s">
        <v>45</v>
      </c>
      <c r="AA2" s="33"/>
      <c r="AB2" s="33"/>
      <c r="AC2" s="33"/>
      <c r="AD2" s="57"/>
      <c r="AE2" s="58"/>
      <c r="AF2" s="59"/>
      <c r="AG2" s="35" t="s">
        <v>46</v>
      </c>
      <c r="AH2" s="35"/>
      <c r="AI2" s="35" t="s">
        <v>47</v>
      </c>
      <c r="AJ2" s="36" t="s">
        <v>48</v>
      </c>
      <c r="AK2" s="36" t="s">
        <v>49</v>
      </c>
      <c r="AL2" s="36" t="s">
        <v>50</v>
      </c>
      <c r="AM2" s="37" t="s">
        <v>51</v>
      </c>
      <c r="AN2" s="37" t="s">
        <v>52</v>
      </c>
      <c r="AO2" s="37" t="s">
        <v>53</v>
      </c>
      <c r="AP2" s="36" t="s">
        <v>48</v>
      </c>
      <c r="AQ2" s="36" t="s">
        <v>49</v>
      </c>
      <c r="AR2" s="36" t="s">
        <v>50</v>
      </c>
      <c r="AS2" s="37" t="s">
        <v>51</v>
      </c>
      <c r="AT2" s="37" t="s">
        <v>52</v>
      </c>
      <c r="AU2" s="37" t="s">
        <v>53</v>
      </c>
      <c r="AV2" s="60" t="s">
        <v>54</v>
      </c>
      <c r="AW2" s="60" t="s">
        <v>55</v>
      </c>
      <c r="AX2" s="61" t="s">
        <v>56</v>
      </c>
      <c r="AY2" s="61" t="s">
        <v>57</v>
      </c>
      <c r="AZ2" s="61"/>
      <c r="BA2" s="20" t="s">
        <v>12</v>
      </c>
      <c r="BB2" s="20" t="s">
        <v>395</v>
      </c>
      <c r="BC2" s="20" t="s">
        <v>13</v>
      </c>
      <c r="BD2" s="20" t="s">
        <v>14</v>
      </c>
      <c r="BE2" s="20" t="s">
        <v>15</v>
      </c>
      <c r="BF2" s="22" t="s">
        <v>17</v>
      </c>
      <c r="BG2" s="22" t="s">
        <v>16</v>
      </c>
      <c r="BH2" s="21" t="s">
        <v>19</v>
      </c>
      <c r="BI2" s="21" t="s">
        <v>18</v>
      </c>
      <c r="BJ2" s="62" t="s">
        <v>21</v>
      </c>
      <c r="BK2" s="62" t="s">
        <v>20</v>
      </c>
      <c r="BL2" s="63" t="s">
        <v>58</v>
      </c>
      <c r="BM2" s="63" t="s">
        <v>59</v>
      </c>
      <c r="BN2" s="64" t="s">
        <v>60</v>
      </c>
      <c r="BO2" s="64" t="s">
        <v>61</v>
      </c>
      <c r="BP2" s="65" t="s">
        <v>62</v>
      </c>
      <c r="BQ2" s="65" t="s">
        <v>63</v>
      </c>
      <c r="BR2" s="63" t="s">
        <v>58</v>
      </c>
      <c r="BS2" s="64" t="s">
        <v>60</v>
      </c>
      <c r="BT2" s="65" t="s">
        <v>62</v>
      </c>
      <c r="BU2" s="66">
        <f>AVERAGE(BL:BL)</f>
        <v>0.57298621275129957</v>
      </c>
      <c r="BV2" s="67">
        <f>SMALL(BJ:BJ,1)</f>
        <v>0</v>
      </c>
      <c r="BW2" s="67">
        <f>LARGE(BJ:BJ,1)</f>
        <v>55</v>
      </c>
      <c r="BX2" s="68">
        <f>IF(BV2&lt;0,(BV2+BW2)/2,(BW2-BV2)/2)</f>
        <v>27.5</v>
      </c>
      <c r="BY2" s="69" t="e">
        <f>SUM(BP10:BP982)</f>
        <v>#DIV/0!</v>
      </c>
      <c r="BZ2" s="67">
        <f>SUM(BP982:BP5018)</f>
        <v>0</v>
      </c>
      <c r="CA2" s="69" t="e">
        <f>SUM(BQ10:BQ982)</f>
        <v>#DIV/0!</v>
      </c>
      <c r="CB2" s="67">
        <f>SUM(BQ982:BQ5018)</f>
        <v>0</v>
      </c>
      <c r="CC2" s="69">
        <f>SUM(BR10:BR982)</f>
        <v>13.8193549654256</v>
      </c>
      <c r="CD2" s="67">
        <f>SUM(BR982:BR5018)</f>
        <v>0</v>
      </c>
    </row>
    <row r="3" spans="1:82" s="83" customFormat="1" x14ac:dyDescent="0.15">
      <c r="A3" s="70"/>
      <c r="B3" s="70"/>
      <c r="C3" s="71"/>
      <c r="D3" s="72"/>
      <c r="E3" s="73"/>
      <c r="F3" s="74"/>
      <c r="G3" s="74"/>
      <c r="H3" s="75"/>
      <c r="I3" s="75"/>
      <c r="J3" s="75"/>
      <c r="K3" s="76"/>
      <c r="L3" s="76"/>
      <c r="M3" s="76"/>
      <c r="N3" s="77"/>
      <c r="O3" s="77"/>
      <c r="P3" s="77"/>
      <c r="Q3" s="75"/>
      <c r="R3" s="74"/>
      <c r="S3" s="75"/>
      <c r="T3" s="74"/>
      <c r="U3" s="71"/>
      <c r="V3" s="78"/>
      <c r="W3" s="79"/>
      <c r="X3" s="80"/>
      <c r="Y3" s="81"/>
      <c r="Z3" s="82"/>
      <c r="AG3" s="84"/>
      <c r="AH3" s="84"/>
      <c r="AI3" s="84"/>
      <c r="AJ3" s="84"/>
      <c r="AK3" s="84"/>
      <c r="AL3" s="84"/>
      <c r="AM3" s="84"/>
      <c r="AN3" s="84"/>
      <c r="AO3" s="84"/>
      <c r="AP3" s="85"/>
      <c r="AQ3" s="85"/>
      <c r="AR3" s="85"/>
      <c r="AS3" s="86"/>
      <c r="AT3" s="86"/>
      <c r="AU3" s="86"/>
      <c r="AV3" s="77"/>
      <c r="AW3" s="77"/>
      <c r="AX3" s="76"/>
      <c r="AY3" s="76"/>
      <c r="AZ3" s="76"/>
      <c r="BA3" s="87"/>
      <c r="BB3" s="87"/>
      <c r="BC3" s="87"/>
      <c r="BD3" s="87"/>
      <c r="BE3" s="87"/>
      <c r="BF3" s="75"/>
      <c r="BG3" s="75"/>
      <c r="BH3" s="74"/>
      <c r="BI3" s="74"/>
      <c r="BJ3" s="88"/>
      <c r="BK3" s="88"/>
      <c r="BL3" s="86"/>
      <c r="BM3" s="86"/>
      <c r="BN3" s="85"/>
      <c r="BO3" s="85"/>
      <c r="BP3" s="89"/>
      <c r="BQ3" s="89"/>
      <c r="BR3" s="90"/>
      <c r="BS3" s="90"/>
      <c r="BT3" s="90"/>
    </row>
    <row r="4" spans="1:82" s="105" customFormat="1" x14ac:dyDescent="0.15">
      <c r="A4" s="91" t="s">
        <v>64</v>
      </c>
      <c r="B4" s="92" t="s">
        <v>65</v>
      </c>
      <c r="C4" s="93">
        <v>0</v>
      </c>
      <c r="D4" s="94">
        <v>1.3</v>
      </c>
      <c r="E4" s="95">
        <v>620</v>
      </c>
      <c r="F4" s="96">
        <v>496</v>
      </c>
      <c r="G4" s="96">
        <v>1569</v>
      </c>
      <c r="H4" s="97">
        <v>448</v>
      </c>
      <c r="I4" s="97">
        <v>2184</v>
      </c>
      <c r="J4" s="97" t="str">
        <f>IF(G4&gt;I4,"green","red")</f>
        <v>red</v>
      </c>
      <c r="K4" s="98"/>
      <c r="L4" s="98"/>
      <c r="M4" s="98"/>
      <c r="N4" s="99"/>
      <c r="O4" s="99"/>
      <c r="P4" s="99"/>
      <c r="Q4" s="97">
        <v>32</v>
      </c>
      <c r="R4" s="96">
        <v>18</v>
      </c>
      <c r="S4" s="97">
        <f>283+V4</f>
        <v>284</v>
      </c>
      <c r="T4" s="96">
        <f>189+V4</f>
        <v>190</v>
      </c>
      <c r="U4" s="93">
        <f>IF(S4&gt;0.9,SUM(S4:T4)-V4,"")</f>
        <v>473</v>
      </c>
      <c r="V4" s="100">
        <v>1</v>
      </c>
      <c r="W4" s="101">
        <f t="shared" ref="W4:W12" si="0">IF(V4&gt;0.9,(IF(S4&gt;T4,V4/T4,V4/S4)),"")</f>
        <v>5.263157894736842E-3</v>
      </c>
      <c r="X4" s="102">
        <v>62.3</v>
      </c>
      <c r="Y4" s="103">
        <v>48.4</v>
      </c>
      <c r="Z4" s="104">
        <f>IF(A4="x","x",IF(X4&gt;1,(IF(S4&gt;1,(IF(S4&gt;T4,(IF((S4/T4)&lt;5,AVERAGE(X4:Y4),"")),IF(S4&lt;T4,(IF((T4/S4)&lt;5,AVERAGE(X4:Y4),""))))),"")),""))</f>
        <v>55.349999999999994</v>
      </c>
      <c r="AD4" s="99"/>
      <c r="AE4" s="98"/>
      <c r="AF4" s="99"/>
      <c r="AG4" s="106">
        <v>30.507400000000001</v>
      </c>
      <c r="AH4" s="106">
        <f>AI4/AG4</f>
        <v>0.54930934789592034</v>
      </c>
      <c r="AI4" s="106">
        <v>16.757999999999999</v>
      </c>
      <c r="AJ4" s="106">
        <v>12.813000000000001</v>
      </c>
      <c r="AK4" s="106">
        <v>8.0570000000000004</v>
      </c>
      <c r="AL4" s="106">
        <v>5.327</v>
      </c>
      <c r="AM4" s="106">
        <v>13.696</v>
      </c>
      <c r="AN4" s="106">
        <v>9.4870000000000001</v>
      </c>
      <c r="AO4" s="106">
        <v>4.3449999999999998</v>
      </c>
      <c r="AP4" s="107">
        <f>AJ4/$AI4</f>
        <v>0.76459004654493379</v>
      </c>
      <c r="AQ4" s="107">
        <f t="shared" ref="AP4:AU5" si="1">AK4/$AI4</f>
        <v>0.48078529657477032</v>
      </c>
      <c r="AR4" s="107">
        <f t="shared" si="1"/>
        <v>0.3178780284043442</v>
      </c>
      <c r="AS4" s="107">
        <f t="shared" si="1"/>
        <v>0.81728129848430608</v>
      </c>
      <c r="AT4" s="107">
        <f t="shared" si="1"/>
        <v>0.56611767514023159</v>
      </c>
      <c r="AU4" s="107">
        <f t="shared" si="1"/>
        <v>0.25927915025659387</v>
      </c>
      <c r="AV4" s="96">
        <v>400</v>
      </c>
      <c r="AW4" s="96">
        <v>-380</v>
      </c>
      <c r="AX4" s="97">
        <v>900</v>
      </c>
      <c r="AY4" s="97">
        <v>-710</v>
      </c>
      <c r="AZ4" s="97" t="str">
        <f>IF(AV4&gt;AX4,"green","red")</f>
        <v>red</v>
      </c>
      <c r="BA4" s="93">
        <v>160</v>
      </c>
      <c r="BB4" s="312">
        <f>IF(BA4&gt;1,(200/BA4)*0.0475*1000,"")</f>
        <v>59.375</v>
      </c>
      <c r="BC4" s="93">
        <v>-2710</v>
      </c>
      <c r="BD4" s="93">
        <v>2410</v>
      </c>
      <c r="BE4" s="109">
        <v>-750</v>
      </c>
      <c r="BF4" s="97">
        <v>143</v>
      </c>
      <c r="BG4" s="97">
        <v>140</v>
      </c>
      <c r="BH4" s="96">
        <v>79</v>
      </c>
      <c r="BI4" s="96">
        <v>110</v>
      </c>
      <c r="BJ4" s="110">
        <v>1</v>
      </c>
      <c r="BK4" s="110">
        <v>0</v>
      </c>
      <c r="BL4" s="108">
        <f>BF4/($S4-$V4)</f>
        <v>0.5053003533568905</v>
      </c>
      <c r="BM4" s="108">
        <f>BG4/($S4-$V4)</f>
        <v>0.49469964664310956</v>
      </c>
      <c r="BN4" s="107">
        <f>BH4/($T4-$V4)</f>
        <v>0.41798941798941797</v>
      </c>
      <c r="BO4" s="107">
        <f>BI4/($T4-$V4)</f>
        <v>0.58201058201058198</v>
      </c>
      <c r="BP4" s="111">
        <f>BJ4/$V4</f>
        <v>1</v>
      </c>
      <c r="BQ4" s="111">
        <f>BK4/$V4</f>
        <v>0</v>
      </c>
      <c r="BR4" s="112">
        <f>IF((BL4+BM4)=1,BL4,"CHECK red")</f>
        <v>0.5053003533568905</v>
      </c>
      <c r="BS4" s="112">
        <f>IF((BN4+BO4)=1,BN4,"CHECK gre")</f>
        <v>0.41798941798941797</v>
      </c>
      <c r="BT4" s="112">
        <f>IF((BP4+BQ4)=1,BP4,"CHECK dou")</f>
        <v>1</v>
      </c>
    </row>
    <row r="5" spans="1:82" s="106" customFormat="1" x14ac:dyDescent="0.15">
      <c r="A5" s="91"/>
      <c r="B5" s="92" t="s">
        <v>66</v>
      </c>
      <c r="C5" s="93">
        <v>0</v>
      </c>
      <c r="D5" s="94">
        <v>1.3</v>
      </c>
      <c r="E5" s="95">
        <v>1305</v>
      </c>
      <c r="F5" s="99"/>
      <c r="G5" s="99"/>
      <c r="H5" s="98"/>
      <c r="I5" s="98"/>
      <c r="J5" s="97"/>
      <c r="K5" s="98"/>
      <c r="L5" s="98"/>
      <c r="M5" s="98"/>
      <c r="N5" s="99"/>
      <c r="O5" s="99"/>
      <c r="P5" s="99"/>
      <c r="Q5" s="97">
        <v>22</v>
      </c>
      <c r="R5" s="96">
        <v>48</v>
      </c>
      <c r="S5" s="97">
        <v>244</v>
      </c>
      <c r="T5" s="96">
        <v>732</v>
      </c>
      <c r="U5" s="93">
        <f t="shared" ref="U5:U35" si="2">IF(S5&gt;0.9,SUM(S5:T5)-V5,"")</f>
        <v>976</v>
      </c>
      <c r="V5" s="100">
        <v>0</v>
      </c>
      <c r="W5" s="101" t="str">
        <f t="shared" si="0"/>
        <v/>
      </c>
      <c r="X5" s="102">
        <v>45.9</v>
      </c>
      <c r="Y5" s="103">
        <v>82.9</v>
      </c>
      <c r="Z5" s="104">
        <f t="shared" ref="Z5:Z35" si="3">IF(A5="x","x",IF(X5&gt;1,(IF(S5&gt;1,(IF(S5&gt;T5,(IF((S5/T5)&lt;5,AVERAGE(X5:Y5),"")),IF(S5&lt;T5,(IF((T5/S5)&lt;5,AVERAGE(X5:Y5),""))))),"")),""))</f>
        <v>64.400000000000006</v>
      </c>
      <c r="AG5" s="106">
        <v>30.507400000000001</v>
      </c>
      <c r="AH5" s="106">
        <f>AI5/AG5</f>
        <v>0.57336908422218869</v>
      </c>
      <c r="AI5" s="106">
        <v>17.492000000000001</v>
      </c>
      <c r="AJ5" s="106">
        <v>15.82</v>
      </c>
      <c r="AK5" s="106">
        <v>12.582000000000001</v>
      </c>
      <c r="AL5" s="106">
        <v>6.851</v>
      </c>
      <c r="AM5" s="106">
        <v>14.96</v>
      </c>
      <c r="AN5" s="106">
        <v>8.5749999999999993</v>
      </c>
      <c r="AO5" s="106">
        <v>5.4290000000000003</v>
      </c>
      <c r="AP5" s="107">
        <f t="shared" si="1"/>
        <v>0.90441344614680996</v>
      </c>
      <c r="AQ5" s="107">
        <f t="shared" si="1"/>
        <v>0.71930025154356281</v>
      </c>
      <c r="AR5" s="107">
        <f t="shared" si="1"/>
        <v>0.39166476103361536</v>
      </c>
      <c r="AS5" s="107">
        <f t="shared" si="1"/>
        <v>0.85524811342327922</v>
      </c>
      <c r="AT5" s="107">
        <f t="shared" si="1"/>
        <v>0.49022410244683279</v>
      </c>
      <c r="AU5" s="107">
        <f t="shared" si="1"/>
        <v>0.31037045506517263</v>
      </c>
      <c r="AV5" s="96"/>
      <c r="AW5" s="96"/>
      <c r="AX5" s="97"/>
      <c r="AY5" s="97"/>
      <c r="AZ5" s="97"/>
      <c r="BA5" s="93"/>
      <c r="BB5" s="312" t="str">
        <f t="shared" ref="BB5:BB16" si="4">IF(BA5&gt;1,(200/BA5)*0.0475*1000,"")</f>
        <v/>
      </c>
      <c r="BC5" s="93"/>
      <c r="BD5" s="93"/>
      <c r="BE5" s="93"/>
      <c r="BF5" s="97"/>
      <c r="BG5" s="97"/>
      <c r="BH5" s="96"/>
      <c r="BI5" s="96"/>
      <c r="BJ5" s="110"/>
      <c r="BK5" s="110"/>
      <c r="BL5" s="108"/>
      <c r="BM5" s="108"/>
      <c r="BN5" s="107"/>
      <c r="BO5" s="107"/>
      <c r="BP5" s="111"/>
      <c r="BQ5" s="111"/>
      <c r="BR5" s="112"/>
      <c r="BS5" s="112"/>
      <c r="BT5" s="112"/>
    </row>
    <row r="6" spans="1:82" s="106" customFormat="1" x14ac:dyDescent="0.15">
      <c r="A6" s="91"/>
      <c r="B6" s="92" t="s">
        <v>67</v>
      </c>
      <c r="C6" s="93">
        <v>0</v>
      </c>
      <c r="D6" s="94">
        <v>1.3</v>
      </c>
      <c r="E6" s="95">
        <v>980</v>
      </c>
      <c r="F6" s="96">
        <v>361</v>
      </c>
      <c r="G6" s="96">
        <v>1720</v>
      </c>
      <c r="H6" s="97">
        <v>448</v>
      </c>
      <c r="I6" s="97">
        <v>2770</v>
      </c>
      <c r="J6" s="97" t="str">
        <f t="shared" ref="J6:J11" si="5">IF(G6&gt;I6,"green","red")</f>
        <v>red</v>
      </c>
      <c r="K6" s="98"/>
      <c r="L6" s="98"/>
      <c r="M6" s="98"/>
      <c r="N6" s="99"/>
      <c r="O6" s="99"/>
      <c r="P6" s="99"/>
      <c r="Q6" s="97">
        <v>7</v>
      </c>
      <c r="R6" s="96">
        <v>7</v>
      </c>
      <c r="S6" s="97">
        <v>63</v>
      </c>
      <c r="T6" s="96">
        <v>58</v>
      </c>
      <c r="U6" s="93">
        <f t="shared" si="2"/>
        <v>121</v>
      </c>
      <c r="V6" s="100">
        <v>0</v>
      </c>
      <c r="W6" s="101" t="str">
        <f t="shared" si="0"/>
        <v/>
      </c>
      <c r="X6" s="102">
        <v>47.6</v>
      </c>
      <c r="Y6" s="103">
        <v>46.6</v>
      </c>
      <c r="Z6" s="104">
        <f t="shared" si="3"/>
        <v>47.1</v>
      </c>
      <c r="AG6" s="106">
        <v>30.507400000000001</v>
      </c>
      <c r="AH6" s="106">
        <f>AI6/AG6</f>
        <v>0.176806283065748</v>
      </c>
      <c r="AI6" s="106">
        <v>5.3939000000000004</v>
      </c>
      <c r="AP6" s="107">
        <f>(AI6-0.2397)/AI6</f>
        <v>0.95556091139991473</v>
      </c>
      <c r="AQ6" s="107">
        <f>3.7474/AI6</f>
        <v>0.69474777062978543</v>
      </c>
      <c r="AR6" s="107"/>
      <c r="AS6" s="108">
        <v>1</v>
      </c>
      <c r="AT6" s="108">
        <f>4.2575/AI6</f>
        <v>0.78931756243163576</v>
      </c>
      <c r="AU6" s="108"/>
      <c r="AV6" s="96">
        <v>0</v>
      </c>
      <c r="AW6" s="96">
        <v>-650</v>
      </c>
      <c r="AX6" s="97">
        <v>-400</v>
      </c>
      <c r="AY6" s="97">
        <v>-950</v>
      </c>
      <c r="AZ6" s="97" t="str">
        <f t="shared" ref="AZ6:AZ11" si="6">IF(AV6&gt;AX6,"green","red")</f>
        <v>green</v>
      </c>
      <c r="BA6" s="93"/>
      <c r="BB6" s="312" t="str">
        <f t="shared" si="4"/>
        <v/>
      </c>
      <c r="BC6" s="93"/>
      <c r="BD6" s="93"/>
      <c r="BE6" s="93"/>
      <c r="BF6" s="97"/>
      <c r="BG6" s="97"/>
      <c r="BH6" s="96"/>
      <c r="BI6" s="96"/>
      <c r="BJ6" s="110"/>
      <c r="BK6" s="110"/>
      <c r="BL6" s="108"/>
      <c r="BM6" s="108"/>
      <c r="BN6" s="107"/>
      <c r="BO6" s="107"/>
      <c r="BP6" s="111"/>
      <c r="BQ6" s="111"/>
      <c r="BR6" s="112"/>
      <c r="BS6" s="112"/>
      <c r="BT6" s="112"/>
    </row>
    <row r="7" spans="1:82" s="106" customFormat="1" x14ac:dyDescent="0.15">
      <c r="A7" s="91"/>
      <c r="B7" s="92" t="s">
        <v>68</v>
      </c>
      <c r="C7" s="93">
        <v>0</v>
      </c>
      <c r="D7" s="94">
        <v>1.5</v>
      </c>
      <c r="E7" s="95">
        <v>445</v>
      </c>
      <c r="F7" s="96">
        <v>696</v>
      </c>
      <c r="G7" s="96">
        <v>2696</v>
      </c>
      <c r="H7" s="97">
        <v>776</v>
      </c>
      <c r="I7" s="97">
        <v>2264</v>
      </c>
      <c r="J7" s="97" t="str">
        <f t="shared" si="5"/>
        <v>green</v>
      </c>
      <c r="K7" s="98"/>
      <c r="L7" s="98"/>
      <c r="M7" s="98"/>
      <c r="N7" s="99"/>
      <c r="O7" s="99"/>
      <c r="P7" s="99"/>
      <c r="Q7" s="97">
        <v>44</v>
      </c>
      <c r="R7" s="96">
        <v>14</v>
      </c>
      <c r="S7" s="97">
        <f>620+V7</f>
        <v>630</v>
      </c>
      <c r="T7" s="96">
        <f>189+V7</f>
        <v>199</v>
      </c>
      <c r="U7" s="93">
        <f t="shared" si="2"/>
        <v>819</v>
      </c>
      <c r="V7" s="100">
        <v>10</v>
      </c>
      <c r="W7" s="101">
        <f t="shared" si="0"/>
        <v>5.0251256281407038E-2</v>
      </c>
      <c r="X7" s="102">
        <v>59.3</v>
      </c>
      <c r="Y7" s="103">
        <v>47.3</v>
      </c>
      <c r="Z7" s="104">
        <f t="shared" si="3"/>
        <v>53.3</v>
      </c>
      <c r="AG7" s="106">
        <v>30.396999999999998</v>
      </c>
      <c r="AH7" s="106">
        <f>AI7/AG7</f>
        <v>0.23170049675954865</v>
      </c>
      <c r="AI7" s="106">
        <v>7.0430000000000001</v>
      </c>
      <c r="AP7" s="107"/>
      <c r="AQ7" s="107"/>
      <c r="AR7" s="107"/>
      <c r="AS7" s="108"/>
      <c r="AT7" s="108"/>
      <c r="AU7" s="108"/>
      <c r="AV7" s="96">
        <v>40</v>
      </c>
      <c r="AW7" s="96">
        <v>1180</v>
      </c>
      <c r="AX7" s="97">
        <v>410</v>
      </c>
      <c r="AY7" s="97">
        <v>450</v>
      </c>
      <c r="AZ7" s="97" t="str">
        <f t="shared" si="6"/>
        <v>red</v>
      </c>
      <c r="BA7" s="93"/>
      <c r="BB7" s="312" t="str">
        <f t="shared" si="4"/>
        <v/>
      </c>
      <c r="BC7" s="93"/>
      <c r="BD7" s="93"/>
      <c r="BE7" s="93"/>
      <c r="BF7" s="97"/>
      <c r="BG7" s="97"/>
      <c r="BH7" s="96"/>
      <c r="BI7" s="96"/>
      <c r="BJ7" s="110"/>
      <c r="BK7" s="110"/>
      <c r="BL7" s="108"/>
      <c r="BM7" s="108"/>
      <c r="BN7" s="107"/>
      <c r="BO7" s="107"/>
      <c r="BP7" s="111"/>
      <c r="BQ7" s="111"/>
      <c r="BR7" s="112"/>
      <c r="BS7" s="112"/>
      <c r="BT7" s="112"/>
    </row>
    <row r="8" spans="1:82" s="106" customFormat="1" x14ac:dyDescent="0.15">
      <c r="A8" s="91"/>
      <c r="B8" s="92" t="s">
        <v>69</v>
      </c>
      <c r="C8" s="93">
        <v>0</v>
      </c>
      <c r="D8" s="94">
        <v>1.4</v>
      </c>
      <c r="E8" s="95">
        <v>770</v>
      </c>
      <c r="F8" s="96">
        <v>306</v>
      </c>
      <c r="G8" s="96">
        <v>2864</v>
      </c>
      <c r="H8" s="97">
        <v>314</v>
      </c>
      <c r="I8" s="97">
        <v>2096</v>
      </c>
      <c r="J8" s="97" t="str">
        <f t="shared" si="5"/>
        <v>green</v>
      </c>
      <c r="K8" s="98"/>
      <c r="L8" s="98"/>
      <c r="M8" s="98"/>
      <c r="N8" s="99"/>
      <c r="O8" s="99"/>
      <c r="P8" s="99"/>
      <c r="Q8" s="97">
        <v>17</v>
      </c>
      <c r="R8" s="96">
        <v>9</v>
      </c>
      <c r="S8" s="97">
        <v>242</v>
      </c>
      <c r="T8" s="96">
        <v>91</v>
      </c>
      <c r="U8" s="93">
        <f t="shared" si="2"/>
        <v>333</v>
      </c>
      <c r="V8" s="100">
        <v>0</v>
      </c>
      <c r="W8" s="101" t="str">
        <f t="shared" si="0"/>
        <v/>
      </c>
      <c r="X8" s="102">
        <v>54.9</v>
      </c>
      <c r="Y8" s="103">
        <v>17.600000000000001</v>
      </c>
      <c r="Z8" s="104">
        <f t="shared" si="3"/>
        <v>36.25</v>
      </c>
      <c r="AP8" s="107"/>
      <c r="AQ8" s="107"/>
      <c r="AR8" s="107"/>
      <c r="AS8" s="108"/>
      <c r="AT8" s="108"/>
      <c r="AU8" s="108"/>
      <c r="AV8" s="96">
        <v>0</v>
      </c>
      <c r="AW8" s="96">
        <v>-700</v>
      </c>
      <c r="AX8" s="97">
        <v>640</v>
      </c>
      <c r="AY8" s="97">
        <v>-400</v>
      </c>
      <c r="AZ8" s="97" t="str">
        <f t="shared" si="6"/>
        <v>red</v>
      </c>
      <c r="BA8" s="93"/>
      <c r="BB8" s="312" t="str">
        <f t="shared" si="4"/>
        <v/>
      </c>
      <c r="BC8" s="93"/>
      <c r="BD8" s="93"/>
      <c r="BE8" s="93"/>
      <c r="BF8" s="97"/>
      <c r="BG8" s="97"/>
      <c r="BH8" s="96"/>
      <c r="BI8" s="96"/>
      <c r="BJ8" s="110"/>
      <c r="BK8" s="110"/>
      <c r="BL8" s="108"/>
      <c r="BM8" s="108"/>
      <c r="BN8" s="107"/>
      <c r="BO8" s="107"/>
      <c r="BP8" s="111"/>
      <c r="BQ8" s="111"/>
      <c r="BR8" s="112"/>
      <c r="BS8" s="112"/>
      <c r="BT8" s="112"/>
    </row>
    <row r="9" spans="1:82" s="106" customFormat="1" x14ac:dyDescent="0.15">
      <c r="A9" s="91"/>
      <c r="B9" s="92" t="s">
        <v>70</v>
      </c>
      <c r="C9" s="93">
        <v>0</v>
      </c>
      <c r="D9" s="94">
        <v>1.4</v>
      </c>
      <c r="E9" s="95">
        <v>575</v>
      </c>
      <c r="F9" s="96">
        <v>608</v>
      </c>
      <c r="G9" s="96">
        <v>2320</v>
      </c>
      <c r="H9" s="97">
        <v>480</v>
      </c>
      <c r="I9" s="97">
        <v>2920</v>
      </c>
      <c r="J9" s="97" t="str">
        <f t="shared" si="5"/>
        <v>red</v>
      </c>
      <c r="K9" s="98"/>
      <c r="L9" s="98"/>
      <c r="M9" s="98"/>
      <c r="N9" s="99"/>
      <c r="O9" s="99"/>
      <c r="P9" s="99"/>
      <c r="Q9" s="97">
        <v>14</v>
      </c>
      <c r="R9" s="96">
        <v>42</v>
      </c>
      <c r="S9" s="97">
        <f>167+V9</f>
        <v>169</v>
      </c>
      <c r="T9" s="96">
        <f>592+V9</f>
        <v>594</v>
      </c>
      <c r="U9" s="93">
        <f t="shared" si="2"/>
        <v>761</v>
      </c>
      <c r="V9" s="100">
        <v>2</v>
      </c>
      <c r="W9" s="101">
        <f t="shared" si="0"/>
        <v>1.1834319526627219E-2</v>
      </c>
      <c r="X9" s="102">
        <v>15.4</v>
      </c>
      <c r="Y9" s="103">
        <v>74.599999999999994</v>
      </c>
      <c r="Z9" s="104">
        <f t="shared" si="3"/>
        <v>45</v>
      </c>
      <c r="AP9" s="107"/>
      <c r="AQ9" s="107"/>
      <c r="AR9" s="107"/>
      <c r="AS9" s="108"/>
      <c r="AT9" s="108"/>
      <c r="AU9" s="108"/>
      <c r="AV9" s="96">
        <v>200</v>
      </c>
      <c r="AW9" s="96">
        <v>0</v>
      </c>
      <c r="AX9" s="97">
        <v>760</v>
      </c>
      <c r="AY9" s="97">
        <v>-900</v>
      </c>
      <c r="AZ9" s="97" t="str">
        <f t="shared" si="6"/>
        <v>red</v>
      </c>
      <c r="BA9" s="93"/>
      <c r="BB9" s="312" t="str">
        <f t="shared" si="4"/>
        <v/>
      </c>
      <c r="BC9" s="93"/>
      <c r="BD9" s="93"/>
      <c r="BE9" s="93"/>
      <c r="BF9" s="97"/>
      <c r="BG9" s="97"/>
      <c r="BH9" s="96"/>
      <c r="BI9" s="96"/>
      <c r="BJ9" s="110"/>
      <c r="BK9" s="110"/>
      <c r="BL9" s="108"/>
      <c r="BM9" s="108"/>
      <c r="BN9" s="107"/>
      <c r="BO9" s="107"/>
      <c r="BP9" s="111"/>
      <c r="BQ9" s="111"/>
      <c r="BR9" s="112"/>
      <c r="BS9" s="112"/>
      <c r="BT9" s="112"/>
    </row>
    <row r="10" spans="1:82" s="106" customFormat="1" x14ac:dyDescent="0.15">
      <c r="A10" s="91"/>
      <c r="B10" s="92" t="s">
        <v>71</v>
      </c>
      <c r="C10" s="93">
        <v>0</v>
      </c>
      <c r="D10" s="94">
        <v>1.5</v>
      </c>
      <c r="E10" s="95">
        <v>400</v>
      </c>
      <c r="F10" s="96">
        <v>529</v>
      </c>
      <c r="G10" s="96">
        <v>2448</v>
      </c>
      <c r="H10" s="97">
        <v>490</v>
      </c>
      <c r="I10" s="97">
        <v>2832</v>
      </c>
      <c r="J10" s="97" t="str">
        <f t="shared" si="5"/>
        <v>red</v>
      </c>
      <c r="K10" s="98"/>
      <c r="L10" s="98"/>
      <c r="M10" s="98"/>
      <c r="N10" s="99"/>
      <c r="O10" s="99"/>
      <c r="P10" s="99"/>
      <c r="Q10" s="97">
        <v>23</v>
      </c>
      <c r="R10" s="96">
        <v>11</v>
      </c>
      <c r="S10" s="97">
        <v>210</v>
      </c>
      <c r="T10" s="96">
        <v>159</v>
      </c>
      <c r="U10" s="93">
        <f t="shared" si="2"/>
        <v>369</v>
      </c>
      <c r="V10" s="100">
        <v>0</v>
      </c>
      <c r="W10" s="101" t="str">
        <f t="shared" si="0"/>
        <v/>
      </c>
      <c r="X10" s="102">
        <v>48.6</v>
      </c>
      <c r="Y10" s="103">
        <v>37.1</v>
      </c>
      <c r="Z10" s="104">
        <f t="shared" si="3"/>
        <v>42.85</v>
      </c>
      <c r="AP10" s="107"/>
      <c r="AQ10" s="107"/>
      <c r="AR10" s="107"/>
      <c r="AS10" s="108"/>
      <c r="AT10" s="108"/>
      <c r="AU10" s="108"/>
      <c r="AV10" s="96">
        <v>500</v>
      </c>
      <c r="AW10" s="96">
        <v>0</v>
      </c>
      <c r="AX10" s="97">
        <v>920</v>
      </c>
      <c r="AY10" s="97">
        <v>-200</v>
      </c>
      <c r="AZ10" s="97" t="str">
        <f t="shared" si="6"/>
        <v>red</v>
      </c>
      <c r="BA10" s="93"/>
      <c r="BB10" s="312" t="str">
        <f t="shared" si="4"/>
        <v/>
      </c>
      <c r="BC10" s="93"/>
      <c r="BD10" s="93"/>
      <c r="BE10" s="93"/>
      <c r="BF10" s="97"/>
      <c r="BG10" s="97"/>
      <c r="BH10" s="96"/>
      <c r="BI10" s="96"/>
      <c r="BJ10" s="110"/>
      <c r="BK10" s="110"/>
      <c r="BL10" s="108"/>
      <c r="BM10" s="108"/>
      <c r="BN10" s="107"/>
      <c r="BO10" s="107"/>
      <c r="BP10" s="111"/>
      <c r="BQ10" s="111"/>
      <c r="BR10" s="112"/>
      <c r="BS10" s="112"/>
      <c r="BT10" s="112"/>
    </row>
    <row r="11" spans="1:82" s="499" customFormat="1" x14ac:dyDescent="0.15">
      <c r="A11" s="485"/>
      <c r="B11" s="486" t="s">
        <v>72</v>
      </c>
      <c r="C11" s="487">
        <v>0</v>
      </c>
      <c r="D11" s="488">
        <v>1.5</v>
      </c>
      <c r="E11" s="489">
        <v>650</v>
      </c>
      <c r="F11" s="490">
        <v>792</v>
      </c>
      <c r="G11" s="490">
        <v>2288</v>
      </c>
      <c r="H11" s="491">
        <v>784</v>
      </c>
      <c r="I11" s="491">
        <v>1632</v>
      </c>
      <c r="J11" s="491" t="str">
        <f t="shared" si="5"/>
        <v>green</v>
      </c>
      <c r="K11" s="492"/>
      <c r="L11" s="492"/>
      <c r="M11" s="492"/>
      <c r="N11" s="493"/>
      <c r="O11" s="493"/>
      <c r="P11" s="493"/>
      <c r="Q11" s="491">
        <v>10</v>
      </c>
      <c r="R11" s="490">
        <v>24</v>
      </c>
      <c r="S11" s="491">
        <f>127+V11</f>
        <v>127</v>
      </c>
      <c r="T11" s="490">
        <f>216+V11</f>
        <v>216</v>
      </c>
      <c r="U11" s="487">
        <f t="shared" si="2"/>
        <v>343</v>
      </c>
      <c r="V11" s="494">
        <v>0</v>
      </c>
      <c r="W11" s="495" t="str">
        <f t="shared" si="0"/>
        <v/>
      </c>
      <c r="X11" s="496">
        <v>45.7</v>
      </c>
      <c r="Y11" s="497">
        <v>61.3</v>
      </c>
      <c r="Z11" s="498">
        <f t="shared" si="3"/>
        <v>53.5</v>
      </c>
      <c r="AP11" s="500"/>
      <c r="AQ11" s="500"/>
      <c r="AR11" s="500"/>
      <c r="AS11" s="501"/>
      <c r="AT11" s="501"/>
      <c r="AU11" s="501"/>
      <c r="AV11" s="490">
        <v>1200</v>
      </c>
      <c r="AW11" s="490">
        <v>-100</v>
      </c>
      <c r="AX11" s="491">
        <v>-750</v>
      </c>
      <c r="AY11" s="491">
        <v>1000</v>
      </c>
      <c r="AZ11" s="491" t="str">
        <f t="shared" si="6"/>
        <v>green</v>
      </c>
      <c r="BA11" s="487"/>
      <c r="BB11" s="502" t="str">
        <f t="shared" si="4"/>
        <v/>
      </c>
      <c r="BC11" s="487"/>
      <c r="BD11" s="487"/>
      <c r="BE11" s="487"/>
      <c r="BF11" s="491"/>
      <c r="BG11" s="491"/>
      <c r="BH11" s="490"/>
      <c r="BI11" s="490"/>
      <c r="BJ11" s="503"/>
      <c r="BK11" s="503"/>
      <c r="BL11" s="501"/>
      <c r="BM11" s="501"/>
      <c r="BN11" s="500"/>
      <c r="BO11" s="500"/>
      <c r="BP11" s="504"/>
      <c r="BQ11" s="504"/>
      <c r="BR11" s="505"/>
      <c r="BS11" s="505"/>
      <c r="BT11" s="505"/>
    </row>
    <row r="12" spans="1:82" s="106" customFormat="1" x14ac:dyDescent="0.15">
      <c r="A12" s="91"/>
      <c r="B12" s="92" t="s">
        <v>73</v>
      </c>
      <c r="C12" s="93">
        <v>0</v>
      </c>
      <c r="D12" s="94">
        <v>1.7000000000000002</v>
      </c>
      <c r="E12" s="95">
        <v>1200</v>
      </c>
      <c r="F12" s="96"/>
      <c r="G12" s="96"/>
      <c r="H12" s="97"/>
      <c r="I12" s="97"/>
      <c r="J12" s="97"/>
      <c r="K12" s="98"/>
      <c r="L12" s="98"/>
      <c r="M12" s="98"/>
      <c r="N12" s="99"/>
      <c r="O12" s="99"/>
      <c r="P12" s="99"/>
      <c r="Q12" s="97">
        <v>57</v>
      </c>
      <c r="R12" s="96">
        <v>77</v>
      </c>
      <c r="S12" s="97">
        <v>530</v>
      </c>
      <c r="T12" s="96">
        <v>655</v>
      </c>
      <c r="U12" s="93">
        <f t="shared" si="2"/>
        <v>1170</v>
      </c>
      <c r="V12" s="100">
        <v>15</v>
      </c>
      <c r="W12" s="101">
        <f t="shared" si="0"/>
        <v>2.8301886792452831E-2</v>
      </c>
      <c r="X12" s="102">
        <v>43</v>
      </c>
      <c r="Y12" s="103">
        <v>61.1</v>
      </c>
      <c r="Z12" s="104">
        <f t="shared" si="3"/>
        <v>52.05</v>
      </c>
      <c r="AP12" s="107"/>
      <c r="AQ12" s="107"/>
      <c r="AR12" s="107"/>
      <c r="AS12" s="108"/>
      <c r="AT12" s="108"/>
      <c r="AU12" s="108"/>
      <c r="AV12" s="96"/>
      <c r="AW12" s="96"/>
      <c r="AX12" s="97"/>
      <c r="AY12" s="97"/>
      <c r="AZ12" s="97"/>
      <c r="BA12" s="93"/>
      <c r="BB12" s="312" t="str">
        <f t="shared" si="4"/>
        <v/>
      </c>
      <c r="BC12" s="93"/>
      <c r="BD12" s="93"/>
      <c r="BE12" s="93"/>
      <c r="BF12" s="97"/>
      <c r="BG12" s="97"/>
      <c r="BH12" s="96"/>
      <c r="BI12" s="96"/>
      <c r="BJ12" s="110"/>
      <c r="BK12" s="110"/>
      <c r="BL12" s="108"/>
      <c r="BM12" s="108"/>
      <c r="BN12" s="107"/>
      <c r="BO12" s="107"/>
      <c r="BP12" s="111"/>
      <c r="BQ12" s="111"/>
      <c r="BR12" s="112"/>
      <c r="BS12" s="112"/>
      <c r="BT12" s="112"/>
    </row>
    <row r="13" spans="1:82" s="106" customFormat="1" x14ac:dyDescent="0.15">
      <c r="A13" s="91"/>
      <c r="B13" s="92" t="s">
        <v>74</v>
      </c>
      <c r="C13" s="93">
        <v>0</v>
      </c>
      <c r="D13" s="94">
        <v>1.4</v>
      </c>
      <c r="E13" s="95">
        <v>1070</v>
      </c>
      <c r="F13" s="96">
        <v>473</v>
      </c>
      <c r="G13" s="96"/>
      <c r="H13" s="97">
        <v>510</v>
      </c>
      <c r="I13" s="97"/>
      <c r="J13" s="97"/>
      <c r="K13" s="98"/>
      <c r="L13" s="98"/>
      <c r="M13" s="98"/>
      <c r="N13" s="99"/>
      <c r="O13" s="99"/>
      <c r="P13" s="99"/>
      <c r="Q13" s="97">
        <v>60</v>
      </c>
      <c r="R13" s="96">
        <v>24</v>
      </c>
      <c r="S13" s="97">
        <f>923+V13</f>
        <v>941</v>
      </c>
      <c r="T13" s="96">
        <f>382+V13</f>
        <v>400</v>
      </c>
      <c r="U13" s="93">
        <f t="shared" si="2"/>
        <v>1323</v>
      </c>
      <c r="V13" s="100">
        <v>18</v>
      </c>
      <c r="W13" s="101">
        <f>IF(V13&gt;0.9,(IF(S13&gt;T13,V13/T13,V13/S13)),"")</f>
        <v>4.4999999999999998E-2</v>
      </c>
      <c r="X13" s="102">
        <v>67.099999999999994</v>
      </c>
      <c r="Y13" s="103">
        <v>30.6</v>
      </c>
      <c r="Z13" s="104">
        <f t="shared" si="3"/>
        <v>48.849999999999994</v>
      </c>
      <c r="AG13" s="106">
        <v>35.118000000000002</v>
      </c>
      <c r="AH13" s="106">
        <f>AI13/AG13</f>
        <v>0.23235947377413291</v>
      </c>
      <c r="AI13" s="106">
        <v>8.16</v>
      </c>
      <c r="AP13" s="107">
        <f>7.353/AI13</f>
        <v>0.9011029411764705</v>
      </c>
      <c r="AQ13" s="107">
        <f>3.413/AI13</f>
        <v>0.41825980392156858</v>
      </c>
      <c r="AR13" s="107">
        <f>(0.636+0.059+0.336)/AI13</f>
        <v>0.1263480392156863</v>
      </c>
      <c r="AS13" s="108">
        <f>7.778/AI13</f>
        <v>0.95318627450980387</v>
      </c>
      <c r="AT13" s="108">
        <f>5.326/AI13</f>
        <v>0.65269607843137245</v>
      </c>
      <c r="AU13" s="108">
        <f>2.752/AI13</f>
        <v>0.33725490196078428</v>
      </c>
      <c r="AV13" s="96"/>
      <c r="AW13" s="96"/>
      <c r="AX13" s="97"/>
      <c r="AY13" s="97"/>
      <c r="AZ13" s="97"/>
      <c r="BA13" s="93">
        <v>155</v>
      </c>
      <c r="BB13" s="312">
        <f t="shared" si="4"/>
        <v>61.29032258064516</v>
      </c>
      <c r="BC13" s="93">
        <v>-370</v>
      </c>
      <c r="BD13" s="93">
        <v>5520</v>
      </c>
      <c r="BE13" s="109">
        <f>IF(BC13&lt;0,(BC13+BD13)/2,(BD13-BC13)/2)</f>
        <v>2575</v>
      </c>
      <c r="BF13" s="14">
        <v>266</v>
      </c>
      <c r="BG13" s="14">
        <v>657</v>
      </c>
      <c r="BH13" s="15">
        <v>234</v>
      </c>
      <c r="BI13" s="15">
        <v>148</v>
      </c>
      <c r="BJ13" s="16">
        <v>6</v>
      </c>
      <c r="BK13" s="16">
        <v>12</v>
      </c>
      <c r="BL13" s="108">
        <f>BF13/($S13-$V13)</f>
        <v>0.28819068255687974</v>
      </c>
      <c r="BM13" s="108">
        <f>BG13/($S13-$V13)</f>
        <v>0.71180931744312026</v>
      </c>
      <c r="BN13" s="107">
        <f>BH13/($T13-$V13)</f>
        <v>0.61256544502617805</v>
      </c>
      <c r="BO13" s="107">
        <f>BI13/($T13-$V13)</f>
        <v>0.38743455497382201</v>
      </c>
      <c r="BP13" s="111">
        <f>BJ13/$V13</f>
        <v>0.33333333333333331</v>
      </c>
      <c r="BQ13" s="111">
        <f>BK13/$V13</f>
        <v>0.66666666666666663</v>
      </c>
      <c r="BR13" s="112">
        <f>IF((BL13+BM13)=1,BL13,"CHECK red")</f>
        <v>0.28819068255687974</v>
      </c>
      <c r="BS13" s="112">
        <f>IF((BN13+BO13)=1,BN13,"CHECK gre")</f>
        <v>0.61256544502617805</v>
      </c>
      <c r="BT13" s="112">
        <f>IF((BP13+BQ13)=1,BP13,"CHECK dou")</f>
        <v>0.33333333333333331</v>
      </c>
    </row>
    <row r="14" spans="1:82" s="106" customFormat="1" x14ac:dyDescent="0.15">
      <c r="A14" s="91"/>
      <c r="B14" s="92" t="s">
        <v>75</v>
      </c>
      <c r="C14" s="93">
        <v>0</v>
      </c>
      <c r="D14" s="94">
        <v>1.4</v>
      </c>
      <c r="E14" s="113">
        <v>1500</v>
      </c>
      <c r="F14" s="96"/>
      <c r="G14" s="96"/>
      <c r="H14" s="97"/>
      <c r="I14" s="97"/>
      <c r="J14" s="97"/>
      <c r="K14" s="98"/>
      <c r="L14" s="98"/>
      <c r="M14" s="98"/>
      <c r="N14" s="99"/>
      <c r="O14" s="99"/>
      <c r="P14" s="99"/>
      <c r="Q14" s="97">
        <v>29</v>
      </c>
      <c r="R14" s="96">
        <v>45</v>
      </c>
      <c r="S14" s="97">
        <f>223+V14</f>
        <v>225</v>
      </c>
      <c r="T14" s="96">
        <f>296+V14</f>
        <v>298</v>
      </c>
      <c r="U14" s="93">
        <f t="shared" si="2"/>
        <v>521</v>
      </c>
      <c r="V14" s="100">
        <v>2</v>
      </c>
      <c r="W14" s="101">
        <f>IF(V14&gt;0.9,(IF(S14&gt;T14,V14/T14,V14/S14)),"")</f>
        <v>8.8888888888888889E-3</v>
      </c>
      <c r="X14" s="102">
        <v>46.2</v>
      </c>
      <c r="Y14" s="103">
        <v>58.9</v>
      </c>
      <c r="Z14" s="104">
        <f t="shared" si="3"/>
        <v>52.55</v>
      </c>
      <c r="AP14" s="107"/>
      <c r="AQ14" s="107"/>
      <c r="AR14" s="107"/>
      <c r="AS14" s="108"/>
      <c r="AT14" s="108"/>
      <c r="AU14" s="108"/>
      <c r="AV14" s="96"/>
      <c r="AW14" s="96"/>
      <c r="AX14" s="97"/>
      <c r="AY14" s="97"/>
      <c r="AZ14" s="97"/>
      <c r="BA14" s="93"/>
      <c r="BB14" s="312" t="str">
        <f t="shared" si="4"/>
        <v/>
      </c>
      <c r="BC14" s="93"/>
      <c r="BD14" s="93"/>
      <c r="BE14" s="93"/>
      <c r="BF14" s="97"/>
      <c r="BG14" s="97"/>
      <c r="BH14" s="96"/>
      <c r="BI14" s="96"/>
      <c r="BJ14" s="110"/>
      <c r="BK14" s="110"/>
      <c r="BL14" s="108"/>
      <c r="BM14" s="108"/>
      <c r="BN14" s="107"/>
      <c r="BO14" s="107"/>
      <c r="BP14" s="111"/>
      <c r="BQ14" s="111"/>
      <c r="BR14" s="112"/>
      <c r="BS14" s="112"/>
      <c r="BT14" s="112"/>
    </row>
    <row r="15" spans="1:82" s="106" customFormat="1" x14ac:dyDescent="0.15">
      <c r="A15" s="91"/>
      <c r="B15" s="92" t="s">
        <v>76</v>
      </c>
      <c r="C15" s="93">
        <v>0</v>
      </c>
      <c r="D15" s="94">
        <v>1.3</v>
      </c>
      <c r="E15" s="95">
        <f>-(-1490-230)</f>
        <v>1720</v>
      </c>
      <c r="F15" s="96"/>
      <c r="G15" s="96"/>
      <c r="H15" s="97"/>
      <c r="I15" s="97"/>
      <c r="J15" s="97"/>
      <c r="K15" s="98"/>
      <c r="L15" s="98"/>
      <c r="M15" s="98"/>
      <c r="N15" s="99"/>
      <c r="O15" s="99"/>
      <c r="P15" s="99"/>
      <c r="Q15" s="97">
        <v>13</v>
      </c>
      <c r="R15" s="96">
        <v>59</v>
      </c>
      <c r="S15" s="97">
        <f>83+V15</f>
        <v>85</v>
      </c>
      <c r="T15" s="96">
        <f>353+V15</f>
        <v>355</v>
      </c>
      <c r="U15" s="93">
        <f t="shared" si="2"/>
        <v>438</v>
      </c>
      <c r="V15" s="100">
        <v>2</v>
      </c>
      <c r="W15" s="101">
        <f>IF(V15&gt;0.9,(IF(S15&gt;T15,V15/T15,V15/S15)),"")</f>
        <v>2.3529411764705882E-2</v>
      </c>
      <c r="X15" s="102">
        <v>24.7</v>
      </c>
      <c r="Y15" s="103">
        <v>79.2</v>
      </c>
      <c r="Z15" s="104">
        <f t="shared" si="3"/>
        <v>51.95</v>
      </c>
      <c r="AP15" s="107"/>
      <c r="AQ15" s="107"/>
      <c r="AR15" s="107"/>
      <c r="AS15" s="108"/>
      <c r="AT15" s="108"/>
      <c r="AU15" s="108"/>
      <c r="AV15" s="96"/>
      <c r="AW15" s="96"/>
      <c r="AX15" s="97"/>
      <c r="AY15" s="97"/>
      <c r="AZ15" s="97"/>
      <c r="BA15" s="93"/>
      <c r="BB15" s="312" t="str">
        <f t="shared" si="4"/>
        <v/>
      </c>
      <c r="BC15" s="93"/>
      <c r="BD15" s="93"/>
      <c r="BE15" s="93"/>
      <c r="BF15" s="97"/>
      <c r="BG15" s="97"/>
      <c r="BH15" s="96"/>
      <c r="BI15" s="96"/>
      <c r="BJ15" s="110"/>
      <c r="BK15" s="110"/>
      <c r="BL15" s="108"/>
      <c r="BM15" s="108"/>
      <c r="BN15" s="107"/>
      <c r="BO15" s="107"/>
      <c r="BP15" s="111"/>
      <c r="BQ15" s="111"/>
      <c r="BR15" s="112"/>
      <c r="BS15" s="112"/>
      <c r="BT15" s="112"/>
    </row>
    <row r="16" spans="1:82" s="106" customFormat="1" x14ac:dyDescent="0.15">
      <c r="A16" s="91">
        <f>COUNT(D4:D16)</f>
        <v>13</v>
      </c>
      <c r="B16" s="92" t="s">
        <v>77</v>
      </c>
      <c r="C16" s="93">
        <v>0</v>
      </c>
      <c r="D16" s="94">
        <v>1.2</v>
      </c>
      <c r="E16" s="95">
        <v>1700</v>
      </c>
      <c r="F16" s="96"/>
      <c r="G16" s="96"/>
      <c r="H16" s="97"/>
      <c r="I16" s="97"/>
      <c r="J16" s="97"/>
      <c r="K16" s="98"/>
      <c r="L16" s="98"/>
      <c r="M16" s="98"/>
      <c r="N16" s="99"/>
      <c r="O16" s="99"/>
      <c r="P16" s="99"/>
      <c r="Q16" s="97">
        <v>14</v>
      </c>
      <c r="R16" s="96">
        <v>47</v>
      </c>
      <c r="S16" s="97">
        <f>147+V16</f>
        <v>147</v>
      </c>
      <c r="T16" s="96">
        <f>234+V16</f>
        <v>234</v>
      </c>
      <c r="U16" s="93">
        <f t="shared" si="2"/>
        <v>381</v>
      </c>
      <c r="V16" s="100">
        <v>0</v>
      </c>
      <c r="W16" s="101" t="str">
        <f>IF(V16&gt;0.9,(IF(S16&gt;T16,V16/T16,V16/S16)),"")</f>
        <v/>
      </c>
      <c r="X16" s="102">
        <v>51</v>
      </c>
      <c r="Y16" s="103">
        <v>73.900000000000006</v>
      </c>
      <c r="Z16" s="104">
        <f t="shared" si="3"/>
        <v>62.45</v>
      </c>
      <c r="AP16" s="107"/>
      <c r="AQ16" s="107"/>
      <c r="AR16" s="107"/>
      <c r="AS16" s="108"/>
      <c r="AT16" s="108"/>
      <c r="AU16" s="108"/>
      <c r="AV16" s="96"/>
      <c r="AW16" s="96"/>
      <c r="AX16" s="97"/>
      <c r="AY16" s="97"/>
      <c r="AZ16" s="97"/>
      <c r="BA16" s="93"/>
      <c r="BB16" s="312" t="str">
        <f t="shared" si="4"/>
        <v/>
      </c>
      <c r="BC16" s="93"/>
      <c r="BD16" s="93"/>
      <c r="BE16" s="93"/>
      <c r="BF16" s="97"/>
      <c r="BG16" s="97"/>
      <c r="BH16" s="96"/>
      <c r="BI16" s="96"/>
      <c r="BJ16" s="110"/>
      <c r="BK16" s="110"/>
      <c r="BL16" s="108"/>
      <c r="BM16" s="108"/>
      <c r="BN16" s="107"/>
      <c r="BO16" s="107"/>
      <c r="BP16" s="111"/>
      <c r="BQ16" s="111"/>
      <c r="BR16" s="112"/>
      <c r="BS16" s="112"/>
      <c r="BT16" s="112"/>
    </row>
    <row r="17" spans="1:73" s="83" customFormat="1" x14ac:dyDescent="0.15">
      <c r="A17" s="114" t="s">
        <v>78</v>
      </c>
      <c r="B17" s="82">
        <f>STDEV(D4:D16)</f>
        <v>0.12909944487358058</v>
      </c>
      <c r="D17" s="115">
        <f>AVERAGE(D4:D16)</f>
        <v>1.4000000000000001</v>
      </c>
      <c r="E17" s="73">
        <f>MEDIAN(E4:E16)</f>
        <v>980</v>
      </c>
      <c r="F17" s="73">
        <f>STDEV(E4:E16)</f>
        <v>462.31753157326835</v>
      </c>
      <c r="G17" s="73"/>
      <c r="H17" s="73"/>
      <c r="I17" s="73"/>
      <c r="J17" s="73"/>
      <c r="Q17" s="73"/>
      <c r="R17" s="73"/>
      <c r="S17" s="73">
        <f>AVERAGE(S4:S16)</f>
        <v>299.76923076923077</v>
      </c>
      <c r="T17" s="73">
        <f>AVERAGE(T4:T16)</f>
        <v>321.61538461538464</v>
      </c>
      <c r="U17" s="73">
        <f>SUM(S17:T17)</f>
        <v>621.38461538461547</v>
      </c>
      <c r="V17" s="116"/>
      <c r="W17" s="73"/>
      <c r="X17" s="82"/>
      <c r="Y17" s="82"/>
      <c r="Z17" s="82">
        <f>MEDIAN(Z4:Z16)</f>
        <v>52.05</v>
      </c>
      <c r="AA17" s="83">
        <f>STDEV(Z4:Z16)</f>
        <v>7.5544137209095323</v>
      </c>
      <c r="AG17" s="84"/>
      <c r="AH17" s="84">
        <f>AVERAGE(AH4:AH7)</f>
        <v>0.38279630298585138</v>
      </c>
      <c r="AI17" s="84">
        <f>AVERAGE(AI4:AI16)</f>
        <v>10.969380000000001</v>
      </c>
      <c r="AJ17" s="84"/>
      <c r="AK17" s="84"/>
      <c r="AL17" s="84"/>
      <c r="AM17" s="84"/>
      <c r="AN17" s="84"/>
      <c r="AO17" s="84"/>
      <c r="AP17" s="79">
        <f t="shared" ref="AP17:AU17" si="7">AVERAGE(AP4:AP16)</f>
        <v>0.88141683631703227</v>
      </c>
      <c r="AQ17" s="79">
        <f t="shared" si="7"/>
        <v>0.57827328066742179</v>
      </c>
      <c r="AR17" s="79">
        <f t="shared" si="7"/>
        <v>0.27863027621788194</v>
      </c>
      <c r="AS17" s="79">
        <f t="shared" si="7"/>
        <v>0.90642892160434729</v>
      </c>
      <c r="AT17" s="79">
        <f t="shared" si="7"/>
        <v>0.62458885461251812</v>
      </c>
      <c r="AU17" s="79">
        <f t="shared" si="7"/>
        <v>0.30230150242751691</v>
      </c>
      <c r="BA17" s="87"/>
      <c r="BB17" s="87"/>
      <c r="BC17" s="87"/>
      <c r="BD17" s="87"/>
      <c r="BE17" s="87"/>
      <c r="BF17" s="75"/>
      <c r="BG17" s="75"/>
      <c r="BH17" s="74"/>
      <c r="BI17" s="74"/>
      <c r="BJ17" s="88"/>
      <c r="BK17" s="88"/>
      <c r="BL17" s="86"/>
      <c r="BM17" s="86"/>
      <c r="BN17" s="85"/>
      <c r="BO17" s="85"/>
      <c r="BP17" s="89"/>
      <c r="BQ17" s="89"/>
      <c r="BR17" s="90"/>
      <c r="BS17" s="90"/>
      <c r="BT17" s="90"/>
    </row>
    <row r="18" spans="1:73" x14ac:dyDescent="0.15">
      <c r="A18" s="117" t="s">
        <v>79</v>
      </c>
      <c r="B18" s="19" t="s">
        <v>80</v>
      </c>
      <c r="C18" s="4">
        <v>2</v>
      </c>
      <c r="D18" s="5">
        <v>1.4</v>
      </c>
      <c r="E18" s="118">
        <v>600</v>
      </c>
      <c r="F18" s="15"/>
      <c r="G18" s="15"/>
      <c r="H18" s="14"/>
      <c r="I18" s="14"/>
      <c r="J18" s="14"/>
      <c r="Q18" s="14">
        <v>36</v>
      </c>
      <c r="R18" s="15">
        <v>26</v>
      </c>
      <c r="S18" s="14">
        <v>947</v>
      </c>
      <c r="T18" s="15">
        <v>465</v>
      </c>
      <c r="U18" s="93">
        <f t="shared" si="2"/>
        <v>1407</v>
      </c>
      <c r="V18" s="119">
        <v>5</v>
      </c>
      <c r="W18" s="101">
        <f t="shared" ref="W18:W35" si="8">IF(V18&gt;0.9,(IF(S18&gt;T18,V18/T18,V18/S18)),"")</f>
        <v>1.0752688172043012E-2</v>
      </c>
      <c r="X18" s="9">
        <v>58.7</v>
      </c>
      <c r="Y18" s="10">
        <v>59.7</v>
      </c>
      <c r="Z18" s="104">
        <f t="shared" si="3"/>
        <v>59.2</v>
      </c>
      <c r="AI18" s="120">
        <v>11.9544</v>
      </c>
      <c r="AJ18" s="120"/>
      <c r="AK18" s="120"/>
      <c r="AL18" s="120"/>
      <c r="AM18" s="120"/>
      <c r="AN18" s="120"/>
      <c r="AO18" s="120"/>
      <c r="AP18" s="121">
        <f>11.1472/AI18</f>
        <v>0.9324767449641973</v>
      </c>
      <c r="AQ18" s="121">
        <f>3.2621/AI18</f>
        <v>0.27287860536706154</v>
      </c>
      <c r="AR18" s="121">
        <f>0.3923/AI18</f>
        <v>3.2816368868366461E-2</v>
      </c>
      <c r="AS18" s="122">
        <f>10.8117/AI18</f>
        <v>0.90441176470588236</v>
      </c>
      <c r="AT18" s="122">
        <f>6.6048/AI18</f>
        <v>0.55249949809275245</v>
      </c>
      <c r="AU18" s="122">
        <f>(0.1998+0.0554+0.0248+0.374+0.9132)/AI18</f>
        <v>0.13109817305761895</v>
      </c>
      <c r="BE18" s="93"/>
    </row>
    <row r="19" spans="1:73" x14ac:dyDescent="0.15">
      <c r="A19" s="123"/>
      <c r="B19" s="19" t="s">
        <v>81</v>
      </c>
      <c r="C19" s="4">
        <v>2</v>
      </c>
      <c r="D19" s="5">
        <v>1.4</v>
      </c>
      <c r="E19" s="118">
        <v>650</v>
      </c>
      <c r="F19" s="15"/>
      <c r="G19" s="15"/>
      <c r="H19" s="14"/>
      <c r="I19" s="14"/>
      <c r="J19" s="14"/>
      <c r="Q19" s="14">
        <v>29</v>
      </c>
      <c r="R19" s="15">
        <v>18</v>
      </c>
      <c r="S19" s="14">
        <v>353</v>
      </c>
      <c r="T19" s="15">
        <v>229</v>
      </c>
      <c r="U19" s="93">
        <f t="shared" si="2"/>
        <v>577</v>
      </c>
      <c r="V19" s="119">
        <v>5</v>
      </c>
      <c r="W19" s="101">
        <f t="shared" si="8"/>
        <v>2.1834061135371178E-2</v>
      </c>
      <c r="X19" s="9">
        <v>58.6</v>
      </c>
      <c r="Y19" s="10">
        <v>40.800000000000004</v>
      </c>
      <c r="Z19" s="104">
        <f t="shared" si="3"/>
        <v>49.7</v>
      </c>
      <c r="AI19" s="124">
        <v>9.4452999999999996</v>
      </c>
      <c r="AJ19" s="124"/>
      <c r="AK19" s="124"/>
      <c r="AL19" s="124"/>
      <c r="AM19" s="124"/>
      <c r="AN19" s="124"/>
      <c r="AO19" s="124"/>
      <c r="AP19" s="121">
        <f>(AI19-2.2219)/AI19</f>
        <v>0.76476130985781288</v>
      </c>
      <c r="AQ19" s="121">
        <f>0.8718/AI19</f>
        <v>9.2299874011413097E-2</v>
      </c>
      <c r="AR19" s="121">
        <f>0.0277/AI19</f>
        <v>2.9326755105713951E-3</v>
      </c>
      <c r="AS19" s="122">
        <f>6.5858/AI19</f>
        <v>0.69725683673361361</v>
      </c>
      <c r="AT19" s="122">
        <f>0.6535/AI19</f>
        <v>6.9187850041819737E-2</v>
      </c>
      <c r="AU19" s="122">
        <v>0</v>
      </c>
      <c r="BE19" s="93"/>
    </row>
    <row r="20" spans="1:73" x14ac:dyDescent="0.15">
      <c r="A20" s="123"/>
      <c r="B20" s="19" t="s">
        <v>82</v>
      </c>
      <c r="C20" s="4">
        <v>2</v>
      </c>
      <c r="D20" s="5">
        <v>1.5</v>
      </c>
      <c r="E20" s="118">
        <v>900</v>
      </c>
      <c r="F20" s="15"/>
      <c r="G20" s="15"/>
      <c r="H20" s="14"/>
      <c r="I20" s="14"/>
      <c r="J20" s="14"/>
      <c r="Q20" s="14">
        <v>54</v>
      </c>
      <c r="R20" s="15">
        <v>26</v>
      </c>
      <c r="S20" s="14">
        <v>800</v>
      </c>
      <c r="T20" s="15">
        <v>296</v>
      </c>
      <c r="U20" s="93">
        <f t="shared" si="2"/>
        <v>1091</v>
      </c>
      <c r="V20" s="119">
        <v>5</v>
      </c>
      <c r="W20" s="101">
        <f t="shared" si="8"/>
        <v>1.6891891891891893E-2</v>
      </c>
      <c r="X20" s="9">
        <v>69.099999999999994</v>
      </c>
      <c r="Y20" s="10">
        <v>26</v>
      </c>
      <c r="Z20" s="104">
        <f t="shared" si="3"/>
        <v>47.55</v>
      </c>
      <c r="AI20" s="124">
        <v>12.4071</v>
      </c>
      <c r="AJ20" s="124"/>
      <c r="AK20" s="124"/>
      <c r="AL20" s="124"/>
      <c r="AM20" s="124"/>
      <c r="AN20" s="124"/>
      <c r="AO20" s="124"/>
      <c r="AP20" s="121">
        <f>(6.0974+0.3155+0.1877+0.37)/AI20</f>
        <v>0.56182347204423277</v>
      </c>
      <c r="AQ20" s="121">
        <f>1.2405/AI20</f>
        <v>9.9983074207510209E-2</v>
      </c>
      <c r="AR20" s="121">
        <f>0.2765/AI20</f>
        <v>2.2285626778215703E-2</v>
      </c>
      <c r="AS20" s="122">
        <f>9.866/AI20</f>
        <v>0.79518985097242711</v>
      </c>
      <c r="AT20" s="122">
        <f>2.1033/AI20</f>
        <v>0.16952390163696593</v>
      </c>
      <c r="AU20" s="122">
        <f>0.6067/AI20</f>
        <v>4.8899420493104757E-2</v>
      </c>
      <c r="AV20" s="125">
        <v>-820</v>
      </c>
      <c r="AW20" s="125">
        <v>-380</v>
      </c>
      <c r="AX20" s="126">
        <v>-120</v>
      </c>
      <c r="AY20" s="126">
        <v>-580</v>
      </c>
      <c r="AZ20" s="126"/>
      <c r="BA20" s="127"/>
      <c r="BB20" s="127"/>
      <c r="BC20" s="127"/>
      <c r="BD20" s="127"/>
      <c r="BE20" s="93"/>
    </row>
    <row r="21" spans="1:73" x14ac:dyDescent="0.15">
      <c r="A21" s="123"/>
      <c r="B21" s="19" t="s">
        <v>83</v>
      </c>
      <c r="C21" s="4">
        <v>2</v>
      </c>
      <c r="D21" s="5">
        <v>1.2</v>
      </c>
      <c r="E21" s="118">
        <v>1250</v>
      </c>
      <c r="F21" s="15"/>
      <c r="G21" s="15"/>
      <c r="H21" s="14"/>
      <c r="I21" s="14"/>
      <c r="J21" s="14"/>
      <c r="Q21" s="14">
        <v>11</v>
      </c>
      <c r="R21" s="15">
        <v>37</v>
      </c>
      <c r="S21" s="14">
        <v>120</v>
      </c>
      <c r="T21" s="15">
        <v>350</v>
      </c>
      <c r="U21" s="93">
        <f t="shared" si="2"/>
        <v>470</v>
      </c>
      <c r="V21" s="119">
        <v>0</v>
      </c>
      <c r="W21" s="101" t="str">
        <f t="shared" si="8"/>
        <v/>
      </c>
      <c r="X21" s="9">
        <v>52.5</v>
      </c>
      <c r="Y21" s="10">
        <v>80.3</v>
      </c>
      <c r="Z21" s="104">
        <f t="shared" si="3"/>
        <v>66.400000000000006</v>
      </c>
      <c r="AI21" s="124">
        <v>11.9206</v>
      </c>
      <c r="AJ21" s="124"/>
      <c r="AK21" s="124"/>
      <c r="AL21" s="124"/>
      <c r="AM21" s="124"/>
      <c r="AN21" s="124"/>
      <c r="AO21" s="124"/>
      <c r="AP21" s="121">
        <f>9.3627/AI21</f>
        <v>0.78542187473784875</v>
      </c>
      <c r="AQ21" s="121">
        <f>2.6327/AI21</f>
        <v>0.22085297719913424</v>
      </c>
      <c r="AR21" s="121">
        <f>0.5029/AI21</f>
        <v>4.2187473784876597E-2</v>
      </c>
      <c r="AS21" s="122">
        <f>8.1667/AI21</f>
        <v>0.68509135446202374</v>
      </c>
      <c r="AT21" s="122">
        <f>2.496/AI21</f>
        <v>0.20938543361911313</v>
      </c>
      <c r="AU21" s="122">
        <v>0</v>
      </c>
      <c r="AV21" s="125">
        <v>-600</v>
      </c>
      <c r="AW21" s="125">
        <v>-500</v>
      </c>
      <c r="AX21" s="126">
        <v>900</v>
      </c>
      <c r="AY21" s="126">
        <v>-450</v>
      </c>
      <c r="AZ21" s="126"/>
      <c r="BA21" s="127"/>
      <c r="BB21" s="127"/>
      <c r="BC21" s="127"/>
      <c r="BD21" s="127"/>
      <c r="BE21" s="93"/>
    </row>
    <row r="22" spans="1:73" x14ac:dyDescent="0.15">
      <c r="A22" s="128"/>
      <c r="B22" s="129" t="s">
        <v>84</v>
      </c>
      <c r="C22" s="4">
        <v>2</v>
      </c>
      <c r="D22" s="5">
        <v>1.4</v>
      </c>
      <c r="E22" s="118">
        <v>300</v>
      </c>
      <c r="F22" s="15"/>
      <c r="G22" s="15"/>
      <c r="H22" s="14"/>
      <c r="I22" s="14"/>
      <c r="J22" s="14"/>
      <c r="Q22" s="14">
        <v>36</v>
      </c>
      <c r="R22" s="15">
        <v>64</v>
      </c>
      <c r="S22" s="14">
        <v>810</v>
      </c>
      <c r="T22" s="15">
        <v>1402</v>
      </c>
      <c r="U22" s="93">
        <f t="shared" si="2"/>
        <v>2198</v>
      </c>
      <c r="V22" s="119">
        <v>14</v>
      </c>
      <c r="W22" s="101">
        <f t="shared" si="8"/>
        <v>1.7283950617283949E-2</v>
      </c>
      <c r="X22" s="9">
        <v>48.1</v>
      </c>
      <c r="Y22" s="10">
        <v>56</v>
      </c>
      <c r="Z22" s="104">
        <f t="shared" si="3"/>
        <v>52.05</v>
      </c>
      <c r="AI22" s="120">
        <v>9.2705000000000002</v>
      </c>
      <c r="AJ22" s="120"/>
      <c r="AK22" s="120"/>
      <c r="AL22" s="120"/>
      <c r="AM22" s="120"/>
      <c r="AN22" s="120"/>
      <c r="AO22" s="120"/>
      <c r="AP22" s="121">
        <f>8.912/AI22</f>
        <v>0.96132894665875634</v>
      </c>
      <c r="AQ22" s="121">
        <f>6.1796/AI22</f>
        <v>0.66658756269888353</v>
      </c>
      <c r="AR22" s="121">
        <f>0.45745/AI22</f>
        <v>4.9344695539614909E-2</v>
      </c>
      <c r="AS22" s="122">
        <f>9.0564/AI22</f>
        <v>0.97690523704223076</v>
      </c>
      <c r="AT22" s="122">
        <f>4.0776/AI22</f>
        <v>0.43984682595329272</v>
      </c>
      <c r="AU22" s="122">
        <f>(0.9726+0.1352)/AI22</f>
        <v>0.11949733024108733</v>
      </c>
      <c r="AV22" s="125"/>
      <c r="AW22" s="125"/>
      <c r="AX22" s="126"/>
      <c r="AY22" s="126"/>
      <c r="AZ22" s="126"/>
      <c r="BA22" s="127"/>
      <c r="BB22" s="127"/>
      <c r="BC22" s="127"/>
      <c r="BD22" s="127"/>
      <c r="BE22" s="93"/>
    </row>
    <row r="23" spans="1:73" x14ac:dyDescent="0.15">
      <c r="A23" s="128"/>
      <c r="B23" s="19" t="s">
        <v>85</v>
      </c>
      <c r="C23" s="4">
        <v>2</v>
      </c>
      <c r="D23" s="5">
        <v>1.5</v>
      </c>
      <c r="E23" s="118">
        <v>1000</v>
      </c>
      <c r="F23" s="15"/>
      <c r="G23" s="15"/>
      <c r="H23" s="14"/>
      <c r="I23" s="14"/>
      <c r="J23" s="14"/>
      <c r="Q23" s="14">
        <v>61</v>
      </c>
      <c r="R23" s="15">
        <v>45</v>
      </c>
      <c r="S23" s="14">
        <v>808</v>
      </c>
      <c r="T23" s="15">
        <v>657</v>
      </c>
      <c r="U23" s="93">
        <f t="shared" si="2"/>
        <v>1460</v>
      </c>
      <c r="V23" s="119">
        <v>5</v>
      </c>
      <c r="W23" s="101">
        <f t="shared" si="8"/>
        <v>7.6103500761035003E-3</v>
      </c>
      <c r="X23" s="9">
        <v>55.1</v>
      </c>
      <c r="Y23" s="10">
        <v>49.2</v>
      </c>
      <c r="Z23" s="104">
        <f t="shared" si="3"/>
        <v>52.150000000000006</v>
      </c>
      <c r="AI23" s="124">
        <v>8.4741</v>
      </c>
      <c r="AJ23" s="124"/>
      <c r="AK23" s="124"/>
      <c r="AL23" s="124"/>
      <c r="AM23" s="124"/>
      <c r="AN23" s="124"/>
      <c r="AO23" s="124"/>
      <c r="AP23" s="121">
        <f>8.0619/AI23</f>
        <v>0.95135766630084606</v>
      </c>
      <c r="AQ23" s="121">
        <f>3.3875/AI23</f>
        <v>0.39974746580757842</v>
      </c>
      <c r="AR23" s="121">
        <f>0.18737/AI23</f>
        <v>2.2110902632727962E-2</v>
      </c>
      <c r="AS23" s="122">
        <f>8.168/AI23</f>
        <v>0.96387816995315123</v>
      </c>
      <c r="AT23" s="122">
        <f>3.8804/AI23</f>
        <v>0.45791293470693051</v>
      </c>
      <c r="AU23" s="122">
        <f>0.17503/AI23</f>
        <v>2.0654700794184633E-2</v>
      </c>
      <c r="AV23" s="125">
        <v>-400</v>
      </c>
      <c r="AW23" s="125">
        <v>500</v>
      </c>
      <c r="AX23" s="126">
        <v>710</v>
      </c>
      <c r="AY23" s="126">
        <v>-350</v>
      </c>
      <c r="AZ23" s="126"/>
      <c r="BA23" s="127"/>
      <c r="BB23" s="127"/>
      <c r="BC23" s="127"/>
      <c r="BD23" s="127"/>
      <c r="BE23" s="93"/>
    </row>
    <row r="24" spans="1:73" x14ac:dyDescent="0.15">
      <c r="A24" s="128"/>
      <c r="B24" s="19" t="s">
        <v>86</v>
      </c>
      <c r="C24" s="4">
        <v>2</v>
      </c>
      <c r="D24" s="5">
        <v>1.6</v>
      </c>
      <c r="E24" s="118">
        <v>1300</v>
      </c>
      <c r="F24" s="15"/>
      <c r="G24" s="15"/>
      <c r="H24" s="14"/>
      <c r="I24" s="14"/>
      <c r="J24" s="14"/>
      <c r="Q24" s="14">
        <v>52</v>
      </c>
      <c r="R24" s="15">
        <v>112</v>
      </c>
      <c r="S24" s="14">
        <v>880</v>
      </c>
      <c r="T24" s="15">
        <v>1146</v>
      </c>
      <c r="U24" s="93">
        <f t="shared" si="2"/>
        <v>1986</v>
      </c>
      <c r="V24" s="119">
        <v>40</v>
      </c>
      <c r="W24" s="101">
        <f t="shared" si="8"/>
        <v>4.5454545454545456E-2</v>
      </c>
      <c r="X24" s="9">
        <v>34.300000000000004</v>
      </c>
      <c r="Y24" s="10">
        <v>45.8</v>
      </c>
      <c r="Z24" s="104">
        <f t="shared" si="3"/>
        <v>40.049999999999997</v>
      </c>
      <c r="AI24" s="124">
        <v>7.6327999999999996</v>
      </c>
      <c r="AJ24" s="124"/>
      <c r="AK24" s="124"/>
      <c r="AL24" s="124"/>
      <c r="AM24" s="124"/>
      <c r="AN24" s="124"/>
      <c r="AO24" s="124"/>
      <c r="AP24" s="121">
        <f>7.1249/AI24</f>
        <v>0.93345823288963425</v>
      </c>
      <c r="AQ24" s="121">
        <f>3.8222/AI24</f>
        <v>0.50075987841945291</v>
      </c>
      <c r="AR24" s="121">
        <f>0.24337/AI24</f>
        <v>3.1884760507284352E-2</v>
      </c>
      <c r="AS24" s="122">
        <f>6.9323/AI24</f>
        <v>0.90822502882297451</v>
      </c>
      <c r="AT24" s="122">
        <f>4.2345/AI24</f>
        <v>0.55477675296090556</v>
      </c>
      <c r="AU24" s="122">
        <f>0.29217/AI24</f>
        <v>3.8278220312336235E-2</v>
      </c>
      <c r="AV24" s="125">
        <v>10</v>
      </c>
      <c r="AW24" s="125">
        <v>-900</v>
      </c>
      <c r="AX24" s="126">
        <v>-350</v>
      </c>
      <c r="AY24" s="126">
        <v>-510</v>
      </c>
      <c r="AZ24" s="126"/>
      <c r="BA24" s="127"/>
      <c r="BB24" s="127"/>
      <c r="BC24" s="127"/>
      <c r="BD24" s="127"/>
      <c r="BE24" s="93"/>
    </row>
    <row r="25" spans="1:73" s="106" customFormat="1" x14ac:dyDescent="0.15">
      <c r="A25" s="130"/>
      <c r="B25" s="92" t="s">
        <v>87</v>
      </c>
      <c r="C25" s="4">
        <v>2</v>
      </c>
      <c r="D25" s="5">
        <v>1.7000000000000002</v>
      </c>
      <c r="E25" s="95">
        <v>770</v>
      </c>
      <c r="F25" s="96"/>
      <c r="G25" s="96"/>
      <c r="H25" s="97"/>
      <c r="I25" s="97"/>
      <c r="J25" s="97"/>
      <c r="K25" s="98"/>
      <c r="L25" s="98"/>
      <c r="M25" s="98"/>
      <c r="N25" s="99"/>
      <c r="O25" s="99"/>
      <c r="P25" s="99"/>
      <c r="Q25" s="97">
        <v>36</v>
      </c>
      <c r="R25" s="96">
        <v>59</v>
      </c>
      <c r="S25" s="97">
        <f>478+V25</f>
        <v>556</v>
      </c>
      <c r="T25" s="96">
        <f>619+V25</f>
        <v>697</v>
      </c>
      <c r="U25" s="93">
        <f t="shared" si="2"/>
        <v>1175</v>
      </c>
      <c r="V25" s="100">
        <v>78</v>
      </c>
      <c r="W25" s="101">
        <f t="shared" si="8"/>
        <v>0.14028776978417265</v>
      </c>
      <c r="X25" s="102">
        <v>44.6</v>
      </c>
      <c r="Y25" s="103">
        <v>52</v>
      </c>
      <c r="Z25" s="104">
        <f t="shared" si="3"/>
        <v>48.3</v>
      </c>
      <c r="AG25" s="106">
        <v>30.561299999999999</v>
      </c>
      <c r="AH25" s="106">
        <f>AI25/AG25</f>
        <v>0.25409259422864866</v>
      </c>
      <c r="AI25" s="106">
        <v>7.7653999999999996</v>
      </c>
      <c r="AP25" s="107">
        <v>1</v>
      </c>
      <c r="AQ25" s="107">
        <f>7.2537/AI25</f>
        <v>0.93410513302598719</v>
      </c>
      <c r="AR25" s="107">
        <f>0.3823/AI25</f>
        <v>4.9231205089242024E-2</v>
      </c>
      <c r="AS25" s="108">
        <f>(AI25-0.0715)/AI25</f>
        <v>0.99079248976227874</v>
      </c>
      <c r="AT25" s="108">
        <f>7.0248/AI25</f>
        <v>0.90462822262858322</v>
      </c>
      <c r="AU25" s="108">
        <f>0.3372/AI25</f>
        <v>4.3423390939294822E-2</v>
      </c>
      <c r="AV25" s="96">
        <v>700</v>
      </c>
      <c r="AW25" s="96">
        <v>-770</v>
      </c>
      <c r="AX25" s="97">
        <v>-300</v>
      </c>
      <c r="AY25" s="97">
        <v>-400</v>
      </c>
      <c r="AZ25" s="97"/>
      <c r="BA25" s="93"/>
      <c r="BB25" s="93"/>
      <c r="BC25" s="93"/>
      <c r="BD25" s="93"/>
      <c r="BE25" s="93"/>
      <c r="BF25" s="97"/>
      <c r="BG25" s="97"/>
      <c r="BH25" s="96"/>
      <c r="BI25" s="96"/>
      <c r="BJ25" s="110"/>
      <c r="BK25" s="110"/>
      <c r="BL25" s="108"/>
      <c r="BM25" s="108"/>
      <c r="BN25" s="107"/>
      <c r="BO25" s="107"/>
      <c r="BP25" s="111"/>
      <c r="BQ25" s="111"/>
      <c r="BR25" s="112"/>
      <c r="BS25" s="112"/>
      <c r="BT25" s="112"/>
    </row>
    <row r="26" spans="1:73" s="106" customFormat="1" x14ac:dyDescent="0.15">
      <c r="A26" s="130"/>
      <c r="B26" s="92" t="s">
        <v>88</v>
      </c>
      <c r="C26" s="4">
        <v>2</v>
      </c>
      <c r="D26" s="5">
        <v>1.7000000000000002</v>
      </c>
      <c r="E26" s="95">
        <v>500</v>
      </c>
      <c r="F26" s="96"/>
      <c r="G26" s="96"/>
      <c r="H26" s="97"/>
      <c r="I26" s="97"/>
      <c r="J26" s="97"/>
      <c r="K26" s="98"/>
      <c r="L26" s="98"/>
      <c r="M26" s="98"/>
      <c r="N26" s="99"/>
      <c r="O26" s="99"/>
      <c r="P26" s="99"/>
      <c r="Q26" s="97">
        <v>30</v>
      </c>
      <c r="R26" s="96">
        <v>10</v>
      </c>
      <c r="S26" s="97">
        <f>434+V26</f>
        <v>439</v>
      </c>
      <c r="T26" s="96">
        <f>188+V26</f>
        <v>193</v>
      </c>
      <c r="U26" s="93">
        <f t="shared" si="2"/>
        <v>627</v>
      </c>
      <c r="V26" s="100">
        <v>5</v>
      </c>
      <c r="W26" s="101">
        <f t="shared" si="8"/>
        <v>2.5906735751295335E-2</v>
      </c>
      <c r="X26" s="102">
        <v>71.599999999999994</v>
      </c>
      <c r="Y26" s="103">
        <v>39.6</v>
      </c>
      <c r="Z26" s="104">
        <f t="shared" si="3"/>
        <v>55.599999999999994</v>
      </c>
      <c r="AD26" s="99"/>
      <c r="AE26" s="98"/>
      <c r="AF26" s="99"/>
      <c r="AG26" s="106">
        <v>31.0716</v>
      </c>
      <c r="AH26" s="106">
        <f>AI26/AG26</f>
        <v>0.39606586078605543</v>
      </c>
      <c r="AI26" s="106">
        <v>12.3064</v>
      </c>
      <c r="AP26" s="107">
        <f>12.0113/AI26</f>
        <v>0.97602060716375227</v>
      </c>
      <c r="AQ26" s="107">
        <f>9.7972/AI26</f>
        <v>0.79610609113956965</v>
      </c>
      <c r="AR26" s="107">
        <f>0.489/AI26</f>
        <v>3.973542221933303E-2</v>
      </c>
      <c r="AS26" s="108">
        <f>11.878/AI26</f>
        <v>0.96518884482870704</v>
      </c>
      <c r="AT26" s="108">
        <f>11.4412/AG26</f>
        <v>0.36822049717426847</v>
      </c>
      <c r="AU26" s="108">
        <f>0.5821/AI26</f>
        <v>4.7300591562114018E-2</v>
      </c>
      <c r="AV26" s="96">
        <v>-800</v>
      </c>
      <c r="AW26" s="96">
        <v>-800</v>
      </c>
      <c r="AX26" s="97">
        <v>1400</v>
      </c>
      <c r="AY26" s="97">
        <v>-300</v>
      </c>
      <c r="AZ26" s="97"/>
      <c r="BA26" s="93"/>
      <c r="BB26" s="93"/>
      <c r="BC26" s="93"/>
      <c r="BD26" s="93"/>
      <c r="BE26" s="93"/>
      <c r="BF26" s="97"/>
      <c r="BG26" s="97"/>
      <c r="BH26" s="96"/>
      <c r="BI26" s="96"/>
      <c r="BJ26" s="110"/>
      <c r="BK26" s="110"/>
      <c r="BL26" s="108"/>
      <c r="BM26" s="108"/>
      <c r="BN26" s="107"/>
      <c r="BO26" s="107"/>
      <c r="BP26" s="111"/>
      <c r="BQ26" s="111"/>
      <c r="BR26" s="112"/>
      <c r="BS26" s="112"/>
      <c r="BT26" s="112"/>
    </row>
    <row r="27" spans="1:73" s="106" customFormat="1" x14ac:dyDescent="0.15">
      <c r="A27" s="130"/>
      <c r="B27" s="92" t="s">
        <v>89</v>
      </c>
      <c r="C27" s="4">
        <v>2</v>
      </c>
      <c r="D27" s="5">
        <v>1.7000000000000002</v>
      </c>
      <c r="E27" s="95">
        <v>400</v>
      </c>
      <c r="F27" s="96"/>
      <c r="G27" s="96"/>
      <c r="H27" s="97"/>
      <c r="I27" s="97"/>
      <c r="J27" s="97"/>
      <c r="K27" s="98"/>
      <c r="L27" s="98"/>
      <c r="M27" s="98"/>
      <c r="N27" s="99"/>
      <c r="O27" s="99"/>
      <c r="P27" s="99"/>
      <c r="Q27" s="97">
        <v>32</v>
      </c>
      <c r="R27" s="96">
        <v>42</v>
      </c>
      <c r="S27" s="97">
        <f>347+V27</f>
        <v>349</v>
      </c>
      <c r="T27" s="96">
        <f>292+V27</f>
        <v>294</v>
      </c>
      <c r="U27" s="93">
        <f t="shared" si="2"/>
        <v>641</v>
      </c>
      <c r="V27" s="100">
        <v>2</v>
      </c>
      <c r="W27" s="101">
        <f t="shared" si="8"/>
        <v>6.8027210884353739E-3</v>
      </c>
      <c r="X27" s="102">
        <v>64.5</v>
      </c>
      <c r="Y27" s="103">
        <v>58</v>
      </c>
      <c r="Z27" s="104">
        <f t="shared" si="3"/>
        <v>61.25</v>
      </c>
      <c r="AG27" s="106">
        <v>31.373999999999999</v>
      </c>
      <c r="AH27" s="106">
        <f>AI27/AG27</f>
        <v>0.4059826608019379</v>
      </c>
      <c r="AI27" s="106">
        <v>12.737299999999999</v>
      </c>
      <c r="AP27" s="107">
        <f>12.5717/AI27</f>
        <v>0.98699881450542892</v>
      </c>
      <c r="AQ27" s="107">
        <f>7.0956/AI27</f>
        <v>0.5570725349956428</v>
      </c>
      <c r="AR27" s="107">
        <f>0.2805/AI27</f>
        <v>2.202193557504338E-2</v>
      </c>
      <c r="AS27" s="108">
        <f>(AI27-0.1462)/AI27</f>
        <v>0.98852190024573494</v>
      </c>
      <c r="AT27" s="108">
        <f>10.6427/AI27</f>
        <v>0.83555384579149428</v>
      </c>
      <c r="AU27" s="108">
        <f>0.2198/AI27</f>
        <v>1.7256404418518837E-2</v>
      </c>
      <c r="AV27" s="96">
        <v>-650</v>
      </c>
      <c r="AW27" s="96">
        <v>200</v>
      </c>
      <c r="AX27" s="97">
        <v>450</v>
      </c>
      <c r="AY27" s="97">
        <v>-350</v>
      </c>
      <c r="AZ27" s="97"/>
      <c r="BA27" s="93"/>
      <c r="BB27" s="93"/>
      <c r="BC27" s="93"/>
      <c r="BD27" s="93"/>
      <c r="BE27" s="93"/>
      <c r="BF27" s="97"/>
      <c r="BG27" s="97"/>
      <c r="BH27" s="96"/>
      <c r="BI27" s="96"/>
      <c r="BJ27" s="110"/>
      <c r="BK27" s="110"/>
      <c r="BL27" s="108"/>
      <c r="BM27" s="108"/>
      <c r="BN27" s="107"/>
      <c r="BO27" s="107"/>
      <c r="BP27" s="111"/>
      <c r="BQ27" s="111"/>
      <c r="BR27" s="112"/>
      <c r="BS27" s="112"/>
      <c r="BT27" s="112"/>
    </row>
    <row r="28" spans="1:73" s="106" customFormat="1" x14ac:dyDescent="0.15">
      <c r="A28" s="130"/>
      <c r="B28" s="92" t="s">
        <v>90</v>
      </c>
      <c r="C28" s="4">
        <v>2</v>
      </c>
      <c r="D28" s="5">
        <v>1.8</v>
      </c>
      <c r="E28" s="95">
        <v>580</v>
      </c>
      <c r="F28" s="96"/>
      <c r="G28" s="96"/>
      <c r="H28" s="97"/>
      <c r="I28" s="97"/>
      <c r="J28" s="97"/>
      <c r="K28" s="98"/>
      <c r="L28" s="98"/>
      <c r="M28" s="98"/>
      <c r="N28" s="99"/>
      <c r="O28" s="99"/>
      <c r="P28" s="99"/>
      <c r="Q28" s="97">
        <v>17</v>
      </c>
      <c r="R28" s="96">
        <v>27</v>
      </c>
      <c r="S28" s="97">
        <v>121</v>
      </c>
      <c r="T28" s="96">
        <v>272</v>
      </c>
      <c r="U28" s="93">
        <f t="shared" si="2"/>
        <v>393</v>
      </c>
      <c r="V28" s="100">
        <v>0</v>
      </c>
      <c r="W28" s="101" t="str">
        <f t="shared" si="8"/>
        <v/>
      </c>
      <c r="X28" s="102">
        <v>38</v>
      </c>
      <c r="Y28" s="103">
        <v>70.599999999999994</v>
      </c>
      <c r="Z28" s="104">
        <f t="shared" si="3"/>
        <v>54.3</v>
      </c>
      <c r="AG28" s="106">
        <v>30.674700000000001</v>
      </c>
      <c r="AH28" s="106">
        <f>AI28/AG28</f>
        <v>0.4068303846492386</v>
      </c>
      <c r="AI28" s="106">
        <v>12.4794</v>
      </c>
      <c r="AP28" s="107">
        <f>10.1116/AI28</f>
        <v>0.8102633139413753</v>
      </c>
      <c r="AQ28" s="107">
        <f>7.9075/AI28</f>
        <v>0.63364424571694145</v>
      </c>
      <c r="AR28" s="107">
        <f>0.2649/AI28</f>
        <v>2.1226982066445504E-2</v>
      </c>
      <c r="AS28" s="108">
        <f>8.4292/AI28</f>
        <v>0.6754491401830216</v>
      </c>
      <c r="AT28" s="108">
        <f>6.1756/AI28</f>
        <v>0.49486353510585446</v>
      </c>
      <c r="AU28" s="108">
        <f>0.0423/AI28</f>
        <v>3.3895860377902783E-3</v>
      </c>
      <c r="AV28" s="96">
        <v>900</v>
      </c>
      <c r="AW28" s="96">
        <v>-1200</v>
      </c>
      <c r="AX28" s="97">
        <v>-550</v>
      </c>
      <c r="AY28" s="97">
        <v>-880</v>
      </c>
      <c r="AZ28" s="97"/>
      <c r="BA28" s="93"/>
      <c r="BB28" s="93"/>
      <c r="BC28" s="93"/>
      <c r="BD28" s="93"/>
      <c r="BE28" s="93"/>
      <c r="BF28" s="97"/>
      <c r="BG28" s="97"/>
      <c r="BH28" s="96"/>
      <c r="BI28" s="96"/>
      <c r="BJ28" s="110"/>
      <c r="BK28" s="110"/>
      <c r="BL28" s="108"/>
      <c r="BM28" s="108"/>
      <c r="BN28" s="107"/>
      <c r="BO28" s="107"/>
      <c r="BP28" s="111"/>
      <c r="BQ28" s="111"/>
      <c r="BR28" s="112"/>
      <c r="BS28" s="112"/>
      <c r="BT28" s="112"/>
    </row>
    <row r="29" spans="1:73" s="106" customFormat="1" x14ac:dyDescent="0.15">
      <c r="A29" s="130"/>
      <c r="B29" s="92" t="s">
        <v>91</v>
      </c>
      <c r="C29" s="4">
        <v>2</v>
      </c>
      <c r="D29" s="5">
        <v>1.7000000000000002</v>
      </c>
      <c r="E29" s="95">
        <v>780</v>
      </c>
      <c r="F29" s="96"/>
      <c r="G29" s="96"/>
      <c r="H29" s="97"/>
      <c r="I29" s="97"/>
      <c r="J29" s="97"/>
      <c r="K29" s="98"/>
      <c r="L29" s="98"/>
      <c r="M29" s="98"/>
      <c r="N29" s="99"/>
      <c r="O29" s="99"/>
      <c r="P29" s="99"/>
      <c r="Q29" s="97">
        <v>4</v>
      </c>
      <c r="R29" s="96">
        <v>16</v>
      </c>
      <c r="S29" s="97">
        <v>28</v>
      </c>
      <c r="T29" s="96">
        <v>216</v>
      </c>
      <c r="U29" s="93">
        <f t="shared" si="2"/>
        <v>244</v>
      </c>
      <c r="V29" s="100">
        <v>0</v>
      </c>
      <c r="W29" s="101" t="str">
        <f t="shared" si="8"/>
        <v/>
      </c>
      <c r="X29" s="102">
        <v>21.4</v>
      </c>
      <c r="Y29" s="103">
        <v>89.8</v>
      </c>
      <c r="Z29" s="104">
        <f>AVERAGE(X29:Y29)</f>
        <v>55.599999999999994</v>
      </c>
      <c r="AG29" s="106">
        <v>32.715899999999998</v>
      </c>
      <c r="AH29" s="106">
        <f>AI29/AG29</f>
        <v>0.44866257691214367</v>
      </c>
      <c r="AI29" s="106">
        <v>14.6784</v>
      </c>
      <c r="AP29" s="107">
        <f>14.2801/AI29</f>
        <v>0.97286488990625675</v>
      </c>
      <c r="AQ29" s="107">
        <f>12.5548/AI29</f>
        <v>0.8553248310442555</v>
      </c>
      <c r="AR29" s="107">
        <f>0.1655/AI29</f>
        <v>1.1275070852408982E-2</v>
      </c>
      <c r="AS29" s="108">
        <f>8.6256/AI29</f>
        <v>0.58763897972531065</v>
      </c>
      <c r="AT29" s="108">
        <f>4.3468/AI29</f>
        <v>0.296135818617833</v>
      </c>
      <c r="AU29" s="108">
        <f>0.0826/AI29</f>
        <v>5.6273163287551779E-3</v>
      </c>
      <c r="AV29" s="96">
        <v>1500</v>
      </c>
      <c r="AW29" s="96">
        <v>-1100</v>
      </c>
      <c r="AX29" s="97">
        <v>-1100</v>
      </c>
      <c r="AY29" s="97">
        <v>650</v>
      </c>
      <c r="AZ29" s="97"/>
      <c r="BA29" s="93"/>
      <c r="BB29" s="93"/>
      <c r="BC29" s="93"/>
      <c r="BD29" s="93"/>
      <c r="BE29" s="93"/>
      <c r="BF29" s="97"/>
      <c r="BG29" s="97"/>
      <c r="BH29" s="96"/>
      <c r="BI29" s="96"/>
      <c r="BJ29" s="110"/>
      <c r="BK29" s="110"/>
      <c r="BL29" s="108"/>
      <c r="BM29" s="108"/>
      <c r="BN29" s="107"/>
      <c r="BO29" s="107"/>
      <c r="BP29" s="111"/>
      <c r="BQ29" s="111"/>
      <c r="BR29" s="112"/>
      <c r="BS29" s="112"/>
      <c r="BT29" s="112"/>
    </row>
    <row r="30" spans="1:73" s="106" customFormat="1" x14ac:dyDescent="0.15">
      <c r="A30" s="130"/>
      <c r="B30" s="92" t="s">
        <v>92</v>
      </c>
      <c r="C30" s="4">
        <v>2</v>
      </c>
      <c r="D30" s="5">
        <v>2.25</v>
      </c>
      <c r="E30" s="113">
        <v>800</v>
      </c>
      <c r="F30" s="96"/>
      <c r="G30" s="96"/>
      <c r="H30" s="97"/>
      <c r="I30" s="97"/>
      <c r="J30" s="97"/>
      <c r="K30" s="98"/>
      <c r="L30" s="98"/>
      <c r="M30" s="98"/>
      <c r="N30" s="99"/>
      <c r="O30" s="99"/>
      <c r="P30" s="99"/>
      <c r="Q30" s="97">
        <v>84</v>
      </c>
      <c r="R30" s="96">
        <v>20</v>
      </c>
      <c r="S30" s="97">
        <f>536+V30</f>
        <v>567</v>
      </c>
      <c r="T30" s="96">
        <f>210+V30</f>
        <v>241</v>
      </c>
      <c r="U30" s="93">
        <f t="shared" si="2"/>
        <v>777</v>
      </c>
      <c r="V30" s="100">
        <v>31</v>
      </c>
      <c r="W30" s="101">
        <f t="shared" si="8"/>
        <v>0.12863070539419086</v>
      </c>
      <c r="X30" s="102">
        <v>78</v>
      </c>
      <c r="Y30" s="103">
        <v>55.8</v>
      </c>
      <c r="Z30" s="104">
        <f t="shared" si="3"/>
        <v>66.900000000000006</v>
      </c>
      <c r="AP30" s="107"/>
      <c r="AQ30" s="107"/>
      <c r="AR30" s="107"/>
      <c r="AS30" s="108"/>
      <c r="AT30" s="108"/>
      <c r="AU30" s="108"/>
      <c r="AV30" s="96"/>
      <c r="AW30" s="96"/>
      <c r="AX30" s="97"/>
      <c r="AY30" s="97"/>
      <c r="AZ30" s="97"/>
      <c r="BA30" s="93"/>
      <c r="BB30" s="93"/>
      <c r="BC30" s="93"/>
      <c r="BD30" s="93"/>
      <c r="BE30" s="93"/>
      <c r="BF30" s="97"/>
      <c r="BG30" s="97"/>
      <c r="BH30" s="96"/>
      <c r="BI30" s="96"/>
      <c r="BJ30" s="110"/>
      <c r="BK30" s="110"/>
      <c r="BL30" s="108"/>
      <c r="BM30" s="108"/>
      <c r="BN30" s="107"/>
      <c r="BO30" s="107"/>
      <c r="BP30" s="111"/>
      <c r="BQ30" s="111"/>
      <c r="BR30" s="112"/>
      <c r="BS30" s="112"/>
      <c r="BT30" s="112"/>
    </row>
    <row r="31" spans="1:73" s="106" customFormat="1" x14ac:dyDescent="0.15">
      <c r="A31" s="130"/>
      <c r="B31" s="92" t="s">
        <v>95</v>
      </c>
      <c r="C31" s="4">
        <v>2</v>
      </c>
      <c r="D31" s="5">
        <v>1.5</v>
      </c>
      <c r="E31" s="95">
        <v>1120</v>
      </c>
      <c r="F31" s="96"/>
      <c r="G31" s="96"/>
      <c r="H31" s="97"/>
      <c r="I31" s="97"/>
      <c r="J31" s="97"/>
      <c r="K31" s="98"/>
      <c r="L31" s="98"/>
      <c r="M31" s="98"/>
      <c r="N31" s="99"/>
      <c r="O31" s="99"/>
      <c r="P31" s="99"/>
      <c r="Q31" s="97">
        <v>71</v>
      </c>
      <c r="R31" s="96">
        <v>26</v>
      </c>
      <c r="S31" s="97">
        <v>1123</v>
      </c>
      <c r="T31" s="96">
        <v>300</v>
      </c>
      <c r="U31" s="93">
        <f t="shared" si="2"/>
        <v>1415</v>
      </c>
      <c r="V31" s="100">
        <v>8</v>
      </c>
      <c r="W31" s="101">
        <f t="shared" si="8"/>
        <v>2.6666666666666668E-2</v>
      </c>
      <c r="X31" s="102">
        <v>42.1</v>
      </c>
      <c r="Y31" s="103">
        <v>75.900000000000006</v>
      </c>
      <c r="Z31" s="104">
        <f>IF(A31="x","x",IF(X31&gt;1,(IF(S31&gt;1,(IF(S31&gt;T31,(IF((S31/T31)&lt;5,AVERAGE(X31:Y31),"")),IF(S31&lt;T31,(IF((T31/S31)&lt;5,AVERAGE(X31:Y31),""))))),"")),""))</f>
        <v>59</v>
      </c>
      <c r="AP31" s="107"/>
      <c r="AQ31" s="107"/>
      <c r="AR31" s="107"/>
      <c r="AS31" s="108"/>
      <c r="AT31" s="108"/>
      <c r="AU31" s="108"/>
      <c r="AV31" s="96"/>
      <c r="AW31" s="96"/>
      <c r="AX31" s="97"/>
      <c r="AY31" s="97"/>
      <c r="AZ31" s="97"/>
      <c r="BA31" s="93"/>
      <c r="BB31" s="93"/>
      <c r="BC31" s="93"/>
      <c r="BD31" s="93"/>
      <c r="BE31" s="93"/>
      <c r="BF31" s="97"/>
      <c r="BG31" s="97"/>
      <c r="BH31" s="96"/>
      <c r="BI31" s="96"/>
      <c r="BJ31" s="110"/>
      <c r="BK31" s="110"/>
      <c r="BL31" s="108"/>
      <c r="BM31" s="108"/>
      <c r="BN31" s="107"/>
      <c r="BO31" s="107"/>
      <c r="BP31" s="111"/>
      <c r="BQ31" s="111"/>
      <c r="BR31" s="112"/>
      <c r="BS31" s="112"/>
      <c r="BT31" s="112"/>
    </row>
    <row r="32" spans="1:73" s="106" customFormat="1" x14ac:dyDescent="0.15">
      <c r="A32" s="130"/>
      <c r="B32" s="92" t="s">
        <v>96</v>
      </c>
      <c r="C32" s="4">
        <v>2</v>
      </c>
      <c r="D32" s="5">
        <v>1.4</v>
      </c>
      <c r="E32" s="95">
        <v>1171</v>
      </c>
      <c r="F32" s="96">
        <v>1071</v>
      </c>
      <c r="G32" s="96"/>
      <c r="H32" s="97">
        <v>950</v>
      </c>
      <c r="I32" s="97"/>
      <c r="J32" s="97"/>
      <c r="K32" s="98"/>
      <c r="L32" s="98"/>
      <c r="M32" s="98"/>
      <c r="N32" s="99"/>
      <c r="O32" s="99"/>
      <c r="P32" s="99"/>
      <c r="Q32" s="97">
        <v>60</v>
      </c>
      <c r="R32" s="96">
        <v>64</v>
      </c>
      <c r="S32" s="97">
        <f>481+V32</f>
        <v>492</v>
      </c>
      <c r="T32" s="96">
        <f>234+V32</f>
        <v>245</v>
      </c>
      <c r="U32" s="93">
        <f t="shared" si="2"/>
        <v>726</v>
      </c>
      <c r="V32" s="100">
        <v>11</v>
      </c>
      <c r="W32" s="101">
        <f t="shared" si="8"/>
        <v>4.4897959183673466E-2</v>
      </c>
      <c r="X32" s="102">
        <v>70.3</v>
      </c>
      <c r="Y32" s="103">
        <v>46.6</v>
      </c>
      <c r="Z32" s="104">
        <f t="shared" si="3"/>
        <v>58.45</v>
      </c>
      <c r="AP32" s="107"/>
      <c r="AQ32" s="107"/>
      <c r="AR32" s="107"/>
      <c r="AS32" s="108"/>
      <c r="AT32" s="108"/>
      <c r="AU32" s="108"/>
      <c r="AV32" s="96"/>
      <c r="AW32" s="96"/>
      <c r="AX32" s="97"/>
      <c r="AY32" s="97"/>
      <c r="AZ32" s="97"/>
      <c r="BA32" s="93">
        <v>160</v>
      </c>
      <c r="BB32" s="93"/>
      <c r="BC32" s="93">
        <v>-710</v>
      </c>
      <c r="BD32" s="93">
        <v>4730</v>
      </c>
      <c r="BE32" s="109">
        <v>2010</v>
      </c>
      <c r="BF32" s="97">
        <v>263</v>
      </c>
      <c r="BG32" s="97">
        <v>218</v>
      </c>
      <c r="BH32" s="96">
        <v>29</v>
      </c>
      <c r="BI32" s="96">
        <v>205</v>
      </c>
      <c r="BJ32" s="110">
        <v>6</v>
      </c>
      <c r="BK32" s="110">
        <v>5</v>
      </c>
      <c r="BL32" s="108">
        <f>BF32/($S32-$V32)</f>
        <v>0.54677754677754675</v>
      </c>
      <c r="BM32" s="108">
        <f>BG32/($S32-$V32)</f>
        <v>0.45322245322245325</v>
      </c>
      <c r="BN32" s="107">
        <f>BH32/($T32-$V32)</f>
        <v>0.12393162393162394</v>
      </c>
      <c r="BO32" s="107">
        <f>BI32/($T32-$V32)</f>
        <v>0.87606837606837606</v>
      </c>
      <c r="BP32" s="111">
        <f>BJ32/$V32</f>
        <v>0.54545454545454541</v>
      </c>
      <c r="BQ32" s="111">
        <f>BK32/$V32</f>
        <v>0.45454545454545453</v>
      </c>
      <c r="BR32" s="112">
        <f>IF((BL32+BM32)=1,BL32,"CHECK red")</f>
        <v>0.54677754677754675</v>
      </c>
      <c r="BS32" s="112">
        <f>IF((BN32+BO32)=1,BN32,"CHECK gre")</f>
        <v>0.12393162393162394</v>
      </c>
      <c r="BT32" s="112">
        <f>IF((BP32+BQ32)=1,BP32,"CHECK dou")</f>
        <v>0.54545454545454541</v>
      </c>
      <c r="BU32" s="106">
        <f>BF32/BG32</f>
        <v>1.2064220183486238</v>
      </c>
    </row>
    <row r="33" spans="1:72" s="106" customFormat="1" x14ac:dyDescent="0.15">
      <c r="A33" s="91">
        <f>COUNT(D18:D33)</f>
        <v>16</v>
      </c>
      <c r="B33" s="92" t="s">
        <v>97</v>
      </c>
      <c r="C33" s="4">
        <v>2</v>
      </c>
      <c r="D33" s="5">
        <v>1.7000000000000002</v>
      </c>
      <c r="E33" s="95">
        <v>1384</v>
      </c>
      <c r="F33" s="96">
        <v>770</v>
      </c>
      <c r="G33" s="96"/>
      <c r="H33" s="97">
        <v>770</v>
      </c>
      <c r="I33" s="97"/>
      <c r="J33" s="97"/>
      <c r="K33" s="98"/>
      <c r="L33" s="98"/>
      <c r="M33" s="98"/>
      <c r="N33" s="99"/>
      <c r="O33" s="99"/>
      <c r="P33" s="99"/>
      <c r="Q33" s="97">
        <v>71</v>
      </c>
      <c r="R33" s="96">
        <v>28</v>
      </c>
      <c r="S33" s="97">
        <f>498+V33</f>
        <v>501</v>
      </c>
      <c r="T33" s="96">
        <f>294+V33</f>
        <v>297</v>
      </c>
      <c r="U33" s="93">
        <f t="shared" si="2"/>
        <v>795</v>
      </c>
      <c r="V33" s="100">
        <v>3</v>
      </c>
      <c r="W33" s="101">
        <f t="shared" si="8"/>
        <v>1.0101010101010102E-2</v>
      </c>
      <c r="X33" s="102">
        <v>77.400000000000006</v>
      </c>
      <c r="Y33" s="103">
        <v>66.2</v>
      </c>
      <c r="Z33" s="104">
        <f t="shared" si="3"/>
        <v>71.800000000000011</v>
      </c>
      <c r="AP33" s="107"/>
      <c r="AQ33" s="107"/>
      <c r="AR33" s="107"/>
      <c r="AS33" s="108"/>
      <c r="AT33" s="108"/>
      <c r="AU33" s="108"/>
      <c r="AV33" s="96"/>
      <c r="AW33" s="96"/>
      <c r="AX33" s="97"/>
      <c r="AY33" s="97"/>
      <c r="AZ33" s="97"/>
      <c r="BA33" s="93">
        <v>160</v>
      </c>
      <c r="BB33" s="93"/>
      <c r="BC33" s="93">
        <v>-1710</v>
      </c>
      <c r="BD33" s="93">
        <v>4690</v>
      </c>
      <c r="BE33" s="109">
        <v>1490</v>
      </c>
      <c r="BF33" s="97">
        <v>44</v>
      </c>
      <c r="BG33" s="97">
        <v>454</v>
      </c>
      <c r="BH33" s="96">
        <v>213</v>
      </c>
      <c r="BI33" s="96">
        <v>81</v>
      </c>
      <c r="BJ33" s="110">
        <v>0</v>
      </c>
      <c r="BK33" s="110">
        <v>3</v>
      </c>
      <c r="BL33" s="108">
        <f>BF33/($S33-$V33)</f>
        <v>8.8353413654618476E-2</v>
      </c>
      <c r="BM33" s="108">
        <f>BG33/($S33-$V33)</f>
        <v>0.91164658634538154</v>
      </c>
      <c r="BN33" s="107">
        <f>BH33/($T33-$V33)</f>
        <v>0.72448979591836737</v>
      </c>
      <c r="BO33" s="107">
        <f>BI33/($T33-$V33)</f>
        <v>0.27551020408163263</v>
      </c>
      <c r="BP33" s="111">
        <f>BJ33/$V33</f>
        <v>0</v>
      </c>
      <c r="BQ33" s="111">
        <f>BK33/$V33</f>
        <v>1</v>
      </c>
      <c r="BR33" s="112">
        <f>IF((BL33+BM33)=1,BL33,"CHECK red")</f>
        <v>8.8353413654618476E-2</v>
      </c>
      <c r="BS33" s="112">
        <f>IF((BN33+BO33)=1,BN33,"CHECK gre")</f>
        <v>0.72448979591836737</v>
      </c>
      <c r="BT33" s="112">
        <f>IF((BP33+BQ33)=1,BP33,"CHECK dou")</f>
        <v>0</v>
      </c>
    </row>
    <row r="34" spans="1:72" s="424" customFormat="1" x14ac:dyDescent="0.15">
      <c r="A34" s="411"/>
      <c r="B34" s="412" t="s">
        <v>405</v>
      </c>
      <c r="C34" s="413">
        <v>2</v>
      </c>
      <c r="D34" s="414"/>
      <c r="E34" s="415">
        <v>1495</v>
      </c>
      <c r="F34" s="416"/>
      <c r="G34" s="416"/>
      <c r="H34" s="417"/>
      <c r="I34" s="417"/>
      <c r="J34" s="417"/>
      <c r="K34" s="418"/>
      <c r="L34" s="418"/>
      <c r="M34" s="418"/>
      <c r="N34" s="419"/>
      <c r="O34" s="419"/>
      <c r="P34" s="419"/>
      <c r="Q34" s="417"/>
      <c r="R34" s="416"/>
      <c r="S34" s="417">
        <v>99</v>
      </c>
      <c r="T34" s="416">
        <v>84</v>
      </c>
      <c r="U34" s="413">
        <f t="shared" si="2"/>
        <v>183</v>
      </c>
      <c r="V34" s="420">
        <v>0</v>
      </c>
      <c r="W34" s="421" t="str">
        <f t="shared" si="8"/>
        <v/>
      </c>
      <c r="X34" s="422">
        <v>72.7</v>
      </c>
      <c r="Y34" s="423">
        <v>66.7</v>
      </c>
      <c r="Z34" s="104">
        <f t="shared" si="3"/>
        <v>69.7</v>
      </c>
      <c r="AP34" s="425"/>
      <c r="AQ34" s="425"/>
      <c r="AR34" s="425"/>
      <c r="AS34" s="426"/>
      <c r="AT34" s="426"/>
      <c r="AU34" s="426"/>
      <c r="AV34" s="416"/>
      <c r="AW34" s="416"/>
      <c r="AX34" s="417"/>
      <c r="AY34" s="417"/>
      <c r="AZ34" s="417"/>
      <c r="BA34" s="413"/>
      <c r="BB34" s="413"/>
      <c r="BC34" s="413"/>
      <c r="BD34" s="413"/>
      <c r="BE34" s="427"/>
      <c r="BF34" s="417"/>
      <c r="BG34" s="417"/>
      <c r="BH34" s="416"/>
      <c r="BI34" s="416"/>
      <c r="BJ34" s="428"/>
      <c r="BK34" s="428"/>
      <c r="BL34" s="426"/>
      <c r="BM34" s="426"/>
      <c r="BN34" s="425"/>
      <c r="BO34" s="425"/>
      <c r="BP34" s="429"/>
      <c r="BQ34" s="429"/>
      <c r="BR34" s="430"/>
      <c r="BS34" s="430"/>
      <c r="BT34" s="430"/>
    </row>
    <row r="35" spans="1:72" s="424" customFormat="1" x14ac:dyDescent="0.15">
      <c r="A35" s="411"/>
      <c r="B35" s="412" t="s">
        <v>406</v>
      </c>
      <c r="C35" s="413">
        <v>2</v>
      </c>
      <c r="D35" s="414"/>
      <c r="E35" s="415">
        <v>1622</v>
      </c>
      <c r="F35" s="416"/>
      <c r="G35" s="416"/>
      <c r="H35" s="417"/>
      <c r="I35" s="417"/>
      <c r="J35" s="417"/>
      <c r="K35" s="418"/>
      <c r="L35" s="418"/>
      <c r="M35" s="418"/>
      <c r="N35" s="419"/>
      <c r="O35" s="419"/>
      <c r="P35" s="419"/>
      <c r="Q35" s="417"/>
      <c r="R35" s="416"/>
      <c r="S35" s="417">
        <v>47</v>
      </c>
      <c r="T35" s="416">
        <v>60</v>
      </c>
      <c r="U35" s="413">
        <f t="shared" si="2"/>
        <v>107</v>
      </c>
      <c r="V35" s="420">
        <v>0</v>
      </c>
      <c r="W35" s="421" t="str">
        <f t="shared" si="8"/>
        <v/>
      </c>
      <c r="X35" s="422">
        <v>76.599999999999994</v>
      </c>
      <c r="Y35" s="423">
        <v>78.3</v>
      </c>
      <c r="Z35" s="104">
        <f t="shared" si="3"/>
        <v>77.449999999999989</v>
      </c>
      <c r="AP35" s="425"/>
      <c r="AQ35" s="425"/>
      <c r="AR35" s="425"/>
      <c r="AS35" s="426"/>
      <c r="AT35" s="426"/>
      <c r="AU35" s="426"/>
      <c r="AV35" s="416"/>
      <c r="AW35" s="416"/>
      <c r="AX35" s="417"/>
      <c r="AY35" s="417"/>
      <c r="AZ35" s="417"/>
      <c r="BA35" s="413"/>
      <c r="BB35" s="413"/>
      <c r="BC35" s="413"/>
      <c r="BD35" s="413"/>
      <c r="BE35" s="427"/>
      <c r="BF35" s="417"/>
      <c r="BG35" s="417"/>
      <c r="BH35" s="416"/>
      <c r="BI35" s="416"/>
      <c r="BJ35" s="428"/>
      <c r="BK35" s="428"/>
      <c r="BL35" s="426"/>
      <c r="BM35" s="426"/>
      <c r="BN35" s="425"/>
      <c r="BO35" s="425"/>
      <c r="BP35" s="429"/>
      <c r="BQ35" s="429"/>
      <c r="BR35" s="430"/>
      <c r="BS35" s="430"/>
      <c r="BT35" s="430"/>
    </row>
    <row r="36" spans="1:72" s="83" customFormat="1" x14ac:dyDescent="0.15">
      <c r="A36" s="114" t="s">
        <v>98</v>
      </c>
      <c r="B36" s="82">
        <f>STDEV(D18:D33)</f>
        <v>0.23959601415716639</v>
      </c>
      <c r="D36" s="115">
        <f>AVERAGE(D18:D33)</f>
        <v>1.5906249999999997</v>
      </c>
      <c r="E36" s="73">
        <f>MEDIAN(E18:E33)</f>
        <v>790</v>
      </c>
      <c r="F36" s="73">
        <f>STDEV(E18:E33)</f>
        <v>333.13990429447705</v>
      </c>
      <c r="G36" s="73"/>
      <c r="H36" s="73"/>
      <c r="I36" s="73"/>
      <c r="J36" s="73"/>
      <c r="Q36" s="73"/>
      <c r="R36" s="73"/>
      <c r="S36" s="73">
        <f>AVERAGE(S18:S33)</f>
        <v>555.875</v>
      </c>
      <c r="T36" s="73">
        <f>AVERAGE(T18:T33)</f>
        <v>456.25</v>
      </c>
      <c r="U36" s="73">
        <f>SUM(S36:T36)</f>
        <v>1012.125</v>
      </c>
      <c r="V36" s="116"/>
      <c r="W36" s="73"/>
      <c r="X36" s="82"/>
      <c r="Y36" s="82"/>
      <c r="Z36" s="82">
        <f>MEDIAN(Z18:Z33)</f>
        <v>55.599999999999994</v>
      </c>
      <c r="AA36" s="83">
        <f>STDEV(Z18:Z33)</f>
        <v>8.1137922699562157</v>
      </c>
      <c r="AG36" s="84" t="str">
        <f>("#REF!/AVERAGE(AF18:AF30))*AF3")</f>
        <v>#REF!/AVERAGE(AF18:AF30))*AF3</v>
      </c>
      <c r="AH36" s="84">
        <f>AVERAGE(AH25:AH29)</f>
        <v>0.38232681547560488</v>
      </c>
      <c r="AI36" s="84">
        <f>AVERAGE(AI18:AI30)</f>
        <v>10.922641666666665</v>
      </c>
      <c r="AJ36" s="84"/>
      <c r="AK36" s="84"/>
      <c r="AL36" s="84"/>
      <c r="AM36" s="84"/>
      <c r="AN36" s="84"/>
      <c r="AO36" s="84"/>
      <c r="AP36" s="79">
        <f t="shared" ref="AP36:AU36" si="9">AVERAGE(AP18:AP33)</f>
        <v>0.88639798941417858</v>
      </c>
      <c r="AQ36" s="79">
        <f t="shared" si="9"/>
        <v>0.50244685613611917</v>
      </c>
      <c r="AR36" s="79">
        <f t="shared" si="9"/>
        <v>2.8921093285344191E-2</v>
      </c>
      <c r="AS36" s="79">
        <f t="shared" si="9"/>
        <v>0.84487913311977969</v>
      </c>
      <c r="AT36" s="79">
        <f t="shared" si="9"/>
        <v>0.44604459302748439</v>
      </c>
      <c r="AU36" s="79">
        <f t="shared" si="9"/>
        <v>3.9618761182067086E-2</v>
      </c>
      <c r="BA36" s="87"/>
      <c r="BB36" s="87"/>
      <c r="BC36" s="87"/>
      <c r="BD36" s="87"/>
      <c r="BE36" s="87"/>
      <c r="BF36" s="75"/>
      <c r="BG36" s="75"/>
      <c r="BH36" s="74"/>
      <c r="BI36" s="74"/>
      <c r="BJ36" s="88"/>
      <c r="BK36" s="88"/>
      <c r="BL36" s="86"/>
      <c r="BM36" s="86"/>
      <c r="BN36" s="85"/>
      <c r="BO36" s="85"/>
      <c r="BP36" s="89"/>
      <c r="BQ36" s="89"/>
      <c r="BR36" s="90"/>
      <c r="BS36" s="90"/>
      <c r="BT36" s="90"/>
    </row>
    <row r="37" spans="1:72" x14ac:dyDescent="0.15">
      <c r="A37" s="117" t="s">
        <v>99</v>
      </c>
      <c r="B37" s="19" t="s">
        <v>100</v>
      </c>
      <c r="C37" s="4">
        <v>4</v>
      </c>
      <c r="D37" s="5">
        <v>1.8</v>
      </c>
      <c r="E37" s="131">
        <v>700</v>
      </c>
      <c r="F37" s="15"/>
      <c r="G37" s="15"/>
      <c r="H37" s="14"/>
      <c r="I37" s="14"/>
      <c r="J37" s="14"/>
      <c r="Q37" s="14"/>
      <c r="R37" s="15"/>
      <c r="S37" s="14">
        <v>675</v>
      </c>
      <c r="T37" s="15">
        <v>907</v>
      </c>
      <c r="U37" s="93">
        <f t="shared" ref="U37:U50" si="10">IF(S37&gt;0.9,SUM(S37:T37)-V37,"")</f>
        <v>1554</v>
      </c>
      <c r="V37" s="119">
        <v>28</v>
      </c>
      <c r="W37" s="101">
        <f t="shared" ref="W37:W50" si="11">IF(V37&gt;0.9,(IF(S37&gt;T37,V37/T37,V37/S37)),"")</f>
        <v>4.148148148148148E-2</v>
      </c>
      <c r="X37" s="9">
        <v>70</v>
      </c>
      <c r="Y37" s="10">
        <v>75.400000000000006</v>
      </c>
      <c r="Z37" s="104">
        <f t="shared" ref="Z37:Z45" si="12">IF(A37="x","x",IF(X37&gt;1,(IF(S37&gt;1,(IF(S37&gt;T37,(IF((S37/T37)&lt;5,AVERAGE(X37:Y37),"")),IF(S37&lt;T37,(IF((T37/S37)&lt;5,AVERAGE(X37:Y37),""))))),"")),""))</f>
        <v>72.7</v>
      </c>
    </row>
    <row r="38" spans="1:72" x14ac:dyDescent="0.15">
      <c r="A38" s="123"/>
      <c r="B38" s="19" t="s">
        <v>101</v>
      </c>
      <c r="C38" s="4">
        <v>4</v>
      </c>
      <c r="D38" s="5">
        <v>1.7000000000000002</v>
      </c>
      <c r="E38" s="118">
        <v>300</v>
      </c>
      <c r="F38" s="15"/>
      <c r="G38" s="15"/>
      <c r="H38" s="14"/>
      <c r="I38" s="14"/>
      <c r="J38" s="14"/>
      <c r="Q38" s="14"/>
      <c r="R38" s="15"/>
      <c r="S38" s="14">
        <v>549</v>
      </c>
      <c r="T38" s="15">
        <v>614</v>
      </c>
      <c r="U38" s="93">
        <f t="shared" si="10"/>
        <v>1060</v>
      </c>
      <c r="V38" s="119">
        <v>103</v>
      </c>
      <c r="W38" s="101">
        <f t="shared" si="11"/>
        <v>0.18761384335154827</v>
      </c>
      <c r="X38" s="9">
        <v>47.2</v>
      </c>
      <c r="Y38" s="10">
        <v>47.7</v>
      </c>
      <c r="Z38" s="104">
        <f t="shared" si="12"/>
        <v>47.45</v>
      </c>
      <c r="AI38" s="124">
        <v>11.393000000000001</v>
      </c>
      <c r="AJ38" s="124"/>
      <c r="AK38" s="124"/>
      <c r="AL38" s="124"/>
      <c r="AM38" s="124"/>
      <c r="AN38" s="124"/>
      <c r="AO38" s="124"/>
      <c r="AP38" s="121">
        <f>8.7529/AI38</f>
        <v>0.76826999034494858</v>
      </c>
      <c r="AQ38" s="121">
        <f>1.5719/AI38</f>
        <v>0.13797068375318178</v>
      </c>
      <c r="AR38" s="121">
        <f>0.2992/AI38</f>
        <v>2.62617396647064E-2</v>
      </c>
      <c r="AS38" s="122">
        <f>8.4464/AI38</f>
        <v>0.74136750636355653</v>
      </c>
      <c r="AT38" s="122">
        <f>0.5561/AI38</f>
        <v>4.881067322039849E-2</v>
      </c>
      <c r="AU38" s="122">
        <f>0.0796/AI38</f>
        <v>6.9867462476959534E-3</v>
      </c>
    </row>
    <row r="39" spans="1:72" x14ac:dyDescent="0.15">
      <c r="A39" s="123"/>
      <c r="B39" s="19" t="s">
        <v>102</v>
      </c>
      <c r="C39" s="4">
        <v>4</v>
      </c>
      <c r="D39" s="5">
        <v>1.6</v>
      </c>
      <c r="E39" s="118">
        <v>400</v>
      </c>
      <c r="F39" s="15"/>
      <c r="G39" s="15"/>
      <c r="H39" s="14"/>
      <c r="I39" s="14"/>
      <c r="J39" s="14"/>
      <c r="Q39" s="14"/>
      <c r="R39" s="15"/>
      <c r="S39" s="14">
        <v>940</v>
      </c>
      <c r="T39" s="15">
        <v>1076</v>
      </c>
      <c r="U39" s="93">
        <f t="shared" si="10"/>
        <v>1852</v>
      </c>
      <c r="V39" s="119">
        <v>164</v>
      </c>
      <c r="W39" s="101">
        <f t="shared" si="11"/>
        <v>0.17446808510638298</v>
      </c>
      <c r="X39" s="9">
        <v>48.1</v>
      </c>
      <c r="Y39" s="10">
        <v>54.7</v>
      </c>
      <c r="Z39" s="104">
        <f t="shared" si="12"/>
        <v>51.400000000000006</v>
      </c>
      <c r="AI39" s="124">
        <v>11.019</v>
      </c>
      <c r="AJ39" s="124"/>
      <c r="AK39" s="124"/>
      <c r="AL39" s="124"/>
      <c r="AM39" s="124"/>
      <c r="AN39" s="124"/>
      <c r="AO39" s="124"/>
      <c r="AP39" s="121">
        <f>(AI39-2.0313)/AI39</f>
        <v>0.81565477811053633</v>
      </c>
      <c r="AQ39" s="121">
        <f>1.9593/AI39</f>
        <v>0.17781105363463109</v>
      </c>
      <c r="AR39" s="121">
        <f>0.921/AI39</f>
        <v>8.3582902259733194E-2</v>
      </c>
      <c r="AS39" s="122">
        <f>8.4004/AI39</f>
        <v>0.76235593066521457</v>
      </c>
      <c r="AT39" s="122">
        <f>1.7506/AI39</f>
        <v>0.15887104092930393</v>
      </c>
      <c r="AU39" s="122">
        <f>0.2644/AI39</f>
        <v>2.3994917869135133E-2</v>
      </c>
    </row>
    <row r="40" spans="1:72" x14ac:dyDescent="0.15">
      <c r="A40" s="123"/>
      <c r="B40" s="19" t="s">
        <v>103</v>
      </c>
      <c r="C40" s="4">
        <v>4</v>
      </c>
      <c r="D40" s="5">
        <v>1.5</v>
      </c>
      <c r="E40" s="118">
        <v>750</v>
      </c>
      <c r="F40" s="15"/>
      <c r="G40" s="15"/>
      <c r="H40" s="14"/>
      <c r="I40" s="14"/>
      <c r="J40" s="14"/>
      <c r="Q40" s="14"/>
      <c r="R40" s="15"/>
      <c r="S40" s="14">
        <v>465</v>
      </c>
      <c r="T40" s="15">
        <v>826</v>
      </c>
      <c r="U40" s="93">
        <f t="shared" si="10"/>
        <v>1258</v>
      </c>
      <c r="V40" s="119">
        <v>33</v>
      </c>
      <c r="W40" s="101">
        <f t="shared" si="11"/>
        <v>7.0967741935483872E-2</v>
      </c>
      <c r="X40" s="9">
        <v>52.7</v>
      </c>
      <c r="Y40" s="10">
        <v>75.400000000000006</v>
      </c>
      <c r="Z40" s="104">
        <f t="shared" si="12"/>
        <v>64.050000000000011</v>
      </c>
      <c r="AI40" s="124">
        <v>10.106999999999999</v>
      </c>
      <c r="AJ40" s="124"/>
      <c r="AK40" s="124"/>
      <c r="AL40" s="124"/>
      <c r="AM40" s="124"/>
      <c r="AN40" s="124"/>
      <c r="AO40" s="124"/>
      <c r="AP40" s="121">
        <f>9.656/AI40</f>
        <v>0.95537746116552902</v>
      </c>
      <c r="AQ40" s="121">
        <f>(1.5239+0.6452+0.0838+0.0642)/AI40</f>
        <v>0.22925695062827747</v>
      </c>
      <c r="AR40" s="121">
        <f>0.133/AI40</f>
        <v>1.3159196596418326E-2</v>
      </c>
      <c r="AS40" s="122">
        <f>7.8538/AI40</f>
        <v>0.7770654002176709</v>
      </c>
      <c r="AT40" s="122">
        <f>0.8408/AI40</f>
        <v>8.3189868408034037E-2</v>
      </c>
      <c r="AU40" s="122">
        <f>0.0797/AI40</f>
        <v>7.8856238250717327E-3</v>
      </c>
    </row>
    <row r="41" spans="1:72" x14ac:dyDescent="0.15">
      <c r="A41" s="123"/>
      <c r="B41" s="19" t="s">
        <v>104</v>
      </c>
      <c r="C41" s="4">
        <v>4</v>
      </c>
      <c r="D41" s="5">
        <v>1.7000000000000002</v>
      </c>
      <c r="E41" s="118">
        <v>1000</v>
      </c>
      <c r="F41" s="15"/>
      <c r="G41" s="15"/>
      <c r="H41" s="14"/>
      <c r="I41" s="14"/>
      <c r="J41" s="14"/>
      <c r="Q41" s="14"/>
      <c r="R41" s="15"/>
      <c r="S41" s="14">
        <v>1092</v>
      </c>
      <c r="T41" s="15">
        <v>363</v>
      </c>
      <c r="U41" s="93">
        <f t="shared" si="10"/>
        <v>1443</v>
      </c>
      <c r="V41" s="119">
        <v>12</v>
      </c>
      <c r="W41" s="101">
        <f t="shared" si="11"/>
        <v>3.3057851239669422E-2</v>
      </c>
      <c r="X41" s="9">
        <v>79.650000000000006</v>
      </c>
      <c r="Y41" s="10">
        <v>75.8</v>
      </c>
      <c r="Z41" s="104">
        <f t="shared" si="12"/>
        <v>77.724999999999994</v>
      </c>
      <c r="AI41" s="120">
        <v>12.595000000000001</v>
      </c>
      <c r="AJ41" s="120"/>
      <c r="AK41" s="120"/>
      <c r="AL41" s="120"/>
      <c r="AM41" s="120"/>
      <c r="AN41" s="120"/>
      <c r="AO41" s="120"/>
      <c r="AP41" s="121">
        <f>6.9993/AI41</f>
        <v>0.55572052401746719</v>
      </c>
      <c r="AQ41" s="121">
        <f>3.728/AI41</f>
        <v>0.2959904724096864</v>
      </c>
      <c r="AR41" s="121">
        <f>0.276/AI41</f>
        <v>2.1913457721317985E-2</v>
      </c>
      <c r="AS41" s="122">
        <f>10.9434/AI41</f>
        <v>0.86886859865025801</v>
      </c>
      <c r="AT41" s="122">
        <f>1.7248/AI41</f>
        <v>0.13694323144104803</v>
      </c>
      <c r="AU41" s="122">
        <f>0.0544/AI41</f>
        <v>4.3191742755061529E-3</v>
      </c>
    </row>
    <row r="42" spans="1:72" x14ac:dyDescent="0.15">
      <c r="A42" s="123"/>
      <c r="B42" s="19" t="s">
        <v>105</v>
      </c>
      <c r="C42" s="4">
        <v>4</v>
      </c>
      <c r="D42" s="5">
        <v>1.8</v>
      </c>
      <c r="E42" s="118">
        <v>400</v>
      </c>
      <c r="F42" s="15"/>
      <c r="G42" s="15"/>
      <c r="H42" s="14"/>
      <c r="I42" s="14"/>
      <c r="J42" s="14"/>
      <c r="Q42" s="14">
        <v>28</v>
      </c>
      <c r="R42" s="15">
        <v>61</v>
      </c>
      <c r="S42" s="14">
        <v>490</v>
      </c>
      <c r="T42" s="15">
        <v>1317</v>
      </c>
      <c r="U42" s="93">
        <f t="shared" si="10"/>
        <v>1615</v>
      </c>
      <c r="V42" s="119">
        <v>192</v>
      </c>
      <c r="W42" s="101">
        <f t="shared" si="11"/>
        <v>0.39183673469387753</v>
      </c>
      <c r="X42" s="9">
        <v>46.3</v>
      </c>
      <c r="Y42" s="10">
        <v>76.2</v>
      </c>
      <c r="Z42" s="104">
        <f t="shared" si="12"/>
        <v>61.25</v>
      </c>
      <c r="AI42" s="124">
        <v>13.3253</v>
      </c>
      <c r="AJ42" s="124"/>
      <c r="AK42" s="124"/>
      <c r="AL42" s="124"/>
      <c r="AM42" s="124"/>
      <c r="AN42" s="124"/>
      <c r="AO42" s="124"/>
      <c r="AP42" s="121">
        <f>11.3866/AI42</f>
        <v>0.85450984217991333</v>
      </c>
      <c r="AQ42" s="121">
        <f>(0.2579+3.2433)/AI42</f>
        <v>0.26274830585427716</v>
      </c>
      <c r="AR42" s="121">
        <f>0.1992/AI42</f>
        <v>1.4949006776582889E-2</v>
      </c>
      <c r="AS42" s="122">
        <f>10.5448/AI42</f>
        <v>0.79133678041019717</v>
      </c>
      <c r="AT42" s="122">
        <f>2.117/AI42</f>
        <v>0.15887071960856416</v>
      </c>
      <c r="AU42" s="122">
        <f>0.025/AI42</f>
        <v>1.8761303685470496E-3</v>
      </c>
    </row>
    <row r="43" spans="1:72" x14ac:dyDescent="0.15">
      <c r="A43" s="123"/>
      <c r="B43" s="19" t="s">
        <v>106</v>
      </c>
      <c r="C43" s="4">
        <v>4</v>
      </c>
      <c r="D43" s="5">
        <v>2.8</v>
      </c>
      <c r="E43" s="118">
        <v>800</v>
      </c>
      <c r="F43" s="15"/>
      <c r="G43" s="15"/>
      <c r="H43" s="14"/>
      <c r="I43" s="14"/>
      <c r="J43" s="14"/>
      <c r="Q43" s="14">
        <v>50</v>
      </c>
      <c r="R43" s="15">
        <v>41</v>
      </c>
      <c r="S43" s="14">
        <v>340</v>
      </c>
      <c r="T43" s="15">
        <v>139</v>
      </c>
      <c r="U43" s="93">
        <f t="shared" si="10"/>
        <v>479</v>
      </c>
      <c r="V43" s="119">
        <v>0</v>
      </c>
      <c r="W43" s="101" t="str">
        <f t="shared" si="11"/>
        <v/>
      </c>
      <c r="X43" s="9">
        <v>91.6</v>
      </c>
      <c r="Y43" s="10">
        <v>78.099999999999994</v>
      </c>
      <c r="Z43" s="104">
        <f t="shared" si="12"/>
        <v>84.85</v>
      </c>
      <c r="AI43" s="124">
        <v>13.029199999999999</v>
      </c>
      <c r="AJ43" s="124"/>
      <c r="AK43" s="124"/>
      <c r="AL43" s="124"/>
      <c r="AM43" s="124"/>
      <c r="AN43" s="124"/>
      <c r="AO43" s="124"/>
      <c r="AP43" s="121">
        <f>7.4534/AI43</f>
        <v>0.57205354127651742</v>
      </c>
      <c r="AQ43" s="121">
        <f>3.237/AI43</f>
        <v>0.2484419611334541</v>
      </c>
      <c r="AR43" s="121">
        <f>0.658/AI43</f>
        <v>5.0501949467350267E-2</v>
      </c>
      <c r="AS43" s="122">
        <f>(AI43-4.3227)/AI43</f>
        <v>0.66822982224541794</v>
      </c>
      <c r="AT43" s="122">
        <f>1.2125/AI43</f>
        <v>9.3060203235808797E-2</v>
      </c>
      <c r="AU43" s="122">
        <f>0.9006/AI43</f>
        <v>6.9121665182820133E-2</v>
      </c>
    </row>
    <row r="44" spans="1:72" x14ac:dyDescent="0.15">
      <c r="A44" s="123"/>
      <c r="B44" s="19" t="s">
        <v>107</v>
      </c>
      <c r="C44" s="4">
        <v>4</v>
      </c>
      <c r="D44" s="5">
        <v>2.2999999999999998</v>
      </c>
      <c r="E44" s="118">
        <v>300</v>
      </c>
      <c r="F44" s="15"/>
      <c r="G44" s="15"/>
      <c r="H44" s="14"/>
      <c r="I44" s="14"/>
      <c r="J44" s="14"/>
      <c r="Q44" s="14">
        <v>16</v>
      </c>
      <c r="R44" s="15">
        <v>37</v>
      </c>
      <c r="S44" s="14">
        <v>91</v>
      </c>
      <c r="T44" s="15">
        <v>608</v>
      </c>
      <c r="U44" s="93">
        <f t="shared" si="10"/>
        <v>696</v>
      </c>
      <c r="V44" s="119">
        <v>3</v>
      </c>
      <c r="W44" s="101">
        <f t="shared" si="11"/>
        <v>3.2967032967032968E-2</v>
      </c>
      <c r="X44" s="9">
        <v>23.1</v>
      </c>
      <c r="Y44" s="10">
        <v>86.8</v>
      </c>
      <c r="Z44" s="104">
        <f>AVERAGE(X44:Y44)</f>
        <v>54.95</v>
      </c>
      <c r="AI44" s="124">
        <v>10.8444</v>
      </c>
      <c r="AJ44" s="124"/>
      <c r="AK44" s="124"/>
      <c r="AL44" s="124"/>
      <c r="AM44" s="124"/>
      <c r="AN44" s="124"/>
      <c r="AO44" s="124"/>
      <c r="AP44" s="121">
        <f>7.8602/AI44</f>
        <v>0.72481649514957025</v>
      </c>
      <c r="AQ44" s="121">
        <f>3.944/AI44</f>
        <v>0.3636900151230128</v>
      </c>
      <c r="AR44" s="121">
        <f>0.14572/AI44</f>
        <v>1.3437350153074396E-2</v>
      </c>
      <c r="AS44" s="122">
        <f>8.975/AI44</f>
        <v>0.82761609678728187</v>
      </c>
      <c r="AT44" s="122">
        <f>2.911/AI44</f>
        <v>0.26843347718638189</v>
      </c>
      <c r="AU44" s="122">
        <f>0.0574/AI44</f>
        <v>5.2930544797314743E-3</v>
      </c>
    </row>
    <row r="45" spans="1:72" x14ac:dyDescent="0.15">
      <c r="A45" s="128"/>
      <c r="B45" s="19" t="s">
        <v>108</v>
      </c>
      <c r="C45" s="4">
        <v>4</v>
      </c>
      <c r="D45" s="5">
        <v>2.5</v>
      </c>
      <c r="E45" s="118">
        <v>600</v>
      </c>
      <c r="F45" s="15"/>
      <c r="G45" s="15"/>
      <c r="H45" s="14"/>
      <c r="I45" s="14"/>
      <c r="J45" s="14"/>
      <c r="Q45" s="14">
        <v>45</v>
      </c>
      <c r="R45" s="15">
        <v>58</v>
      </c>
      <c r="S45" s="14">
        <v>510</v>
      </c>
      <c r="T45" s="15">
        <v>1378</v>
      </c>
      <c r="U45" s="93">
        <f t="shared" si="10"/>
        <v>1861</v>
      </c>
      <c r="V45" s="119">
        <v>27</v>
      </c>
      <c r="W45" s="101">
        <f t="shared" si="11"/>
        <v>5.2941176470588235E-2</v>
      </c>
      <c r="X45" s="9">
        <v>41.2</v>
      </c>
      <c r="Y45" s="10">
        <v>78.2</v>
      </c>
      <c r="Z45" s="104">
        <f t="shared" si="12"/>
        <v>59.7</v>
      </c>
      <c r="AI45" s="124">
        <v>13.6371</v>
      </c>
      <c r="AJ45" s="124"/>
      <c r="AK45" s="124"/>
      <c r="AL45" s="124"/>
      <c r="AM45" s="124"/>
      <c r="AN45" s="124"/>
      <c r="AO45" s="124"/>
      <c r="AP45" s="121">
        <f>(AI45-0.9856)/AI45</f>
        <v>0.92772656943191734</v>
      </c>
      <c r="AQ45" s="121">
        <f>(5.5861/AI45)</f>
        <v>0.40962521357180043</v>
      </c>
      <c r="AR45" s="121">
        <f>0.2861/AI45</f>
        <v>2.0979533771842987E-2</v>
      </c>
      <c r="AS45" s="122">
        <f>9.7739/AI45</f>
        <v>0.71671396411260457</v>
      </c>
      <c r="AT45" s="122">
        <f>1.9246/AI45</f>
        <v>0.14112971232886759</v>
      </c>
      <c r="AU45" s="122">
        <f>0.8055/AI45</f>
        <v>5.9066810392238815E-2</v>
      </c>
    </row>
    <row r="46" spans="1:72" x14ac:dyDescent="0.15">
      <c r="A46" s="128"/>
      <c r="B46" s="19" t="s">
        <v>109</v>
      </c>
      <c r="C46" s="4">
        <v>4</v>
      </c>
      <c r="D46" s="5">
        <v>2.4</v>
      </c>
      <c r="E46" s="118">
        <v>700</v>
      </c>
      <c r="F46" s="15"/>
      <c r="G46" s="15"/>
      <c r="H46" s="14"/>
      <c r="I46" s="14"/>
      <c r="J46" s="14"/>
      <c r="Q46" s="14">
        <v>79</v>
      </c>
      <c r="R46" s="15">
        <v>36</v>
      </c>
      <c r="S46" s="14">
        <v>918</v>
      </c>
      <c r="T46" s="15">
        <v>118</v>
      </c>
      <c r="U46" s="93">
        <f t="shared" si="10"/>
        <v>1034</v>
      </c>
      <c r="V46" s="119">
        <v>2</v>
      </c>
      <c r="W46" s="101">
        <f t="shared" si="11"/>
        <v>1.6949152542372881E-2</v>
      </c>
      <c r="X46" s="9">
        <v>96.2</v>
      </c>
      <c r="Y46" s="10">
        <v>60.6</v>
      </c>
      <c r="Z46" s="104">
        <f>AVERAGE(X46:Y46)</f>
        <v>78.400000000000006</v>
      </c>
      <c r="AI46" s="124">
        <v>12.449</v>
      </c>
      <c r="AJ46" s="124"/>
      <c r="AK46" s="124"/>
      <c r="AL46" s="124"/>
      <c r="AM46" s="124"/>
      <c r="AN46" s="124"/>
      <c r="AO46" s="124"/>
      <c r="AP46" s="121">
        <f>7.6196/AI46</f>
        <v>0.61206522612258019</v>
      </c>
      <c r="AQ46" s="121">
        <f>5.225/AI46</f>
        <v>0.41971242670093983</v>
      </c>
      <c r="AR46" s="121">
        <f>0.2712/AI46</f>
        <v>2.178488231986505E-2</v>
      </c>
      <c r="AS46" s="122">
        <f>11.5883/AI46</f>
        <v>0.93086191661980888</v>
      </c>
      <c r="AT46" s="122">
        <f>2.6548/AI46</f>
        <v>0.21325407663266124</v>
      </c>
      <c r="AU46" s="122">
        <f>0.17192/AI46</f>
        <v>1.3809944573861354E-2</v>
      </c>
    </row>
    <row r="47" spans="1:72" x14ac:dyDescent="0.15">
      <c r="A47" s="128"/>
      <c r="B47" s="19" t="s">
        <v>110</v>
      </c>
      <c r="C47" s="4">
        <v>4</v>
      </c>
      <c r="D47" s="5">
        <v>2.2000000000000002</v>
      </c>
      <c r="E47" s="118">
        <v>800</v>
      </c>
      <c r="F47" s="15"/>
      <c r="G47" s="15"/>
      <c r="H47" s="14"/>
      <c r="I47" s="14"/>
      <c r="J47" s="14"/>
      <c r="Q47" s="14">
        <v>10</v>
      </c>
      <c r="R47" s="15">
        <v>44</v>
      </c>
      <c r="S47" s="14">
        <v>34</v>
      </c>
      <c r="T47" s="15">
        <v>244</v>
      </c>
      <c r="U47" s="93">
        <f t="shared" si="10"/>
        <v>278</v>
      </c>
      <c r="V47" s="119">
        <v>0</v>
      </c>
      <c r="W47" s="101" t="str">
        <f t="shared" si="11"/>
        <v/>
      </c>
      <c r="X47" s="9">
        <v>87.1</v>
      </c>
      <c r="Y47" s="10">
        <v>60.6</v>
      </c>
      <c r="Z47" s="104">
        <f>AVERAGE(X47:Y47)</f>
        <v>73.849999999999994</v>
      </c>
    </row>
    <row r="48" spans="1:72" s="106" customFormat="1" x14ac:dyDescent="0.15">
      <c r="A48" s="132"/>
      <c r="B48" s="92" t="s">
        <v>111</v>
      </c>
      <c r="C48" s="4">
        <v>4</v>
      </c>
      <c r="D48" s="5">
        <v>1.6</v>
      </c>
      <c r="E48" s="95">
        <v>290</v>
      </c>
      <c r="F48" s="96">
        <v>1120</v>
      </c>
      <c r="G48" s="96"/>
      <c r="H48" s="97">
        <v>1140</v>
      </c>
      <c r="I48" s="97"/>
      <c r="J48" s="97"/>
      <c r="K48" s="98"/>
      <c r="L48" s="98"/>
      <c r="M48" s="98"/>
      <c r="N48" s="99"/>
      <c r="O48" s="99"/>
      <c r="P48" s="99"/>
      <c r="Q48" s="97">
        <v>49</v>
      </c>
      <c r="R48" s="96">
        <v>39</v>
      </c>
      <c r="S48" s="97">
        <f>272+V48</f>
        <v>282</v>
      </c>
      <c r="T48" s="96">
        <f>246+V48</f>
        <v>256</v>
      </c>
      <c r="U48" s="93">
        <f t="shared" si="10"/>
        <v>528</v>
      </c>
      <c r="V48" s="100">
        <v>10</v>
      </c>
      <c r="W48" s="101">
        <f t="shared" si="11"/>
        <v>3.90625E-2</v>
      </c>
      <c r="X48" s="102">
        <v>62.2</v>
      </c>
      <c r="Y48" s="103">
        <v>58</v>
      </c>
      <c r="Z48" s="104">
        <f>IF(A48="x","x",IF(X48&gt;1,(IF(S48&gt;1,(IF(S48&gt;T48,(IF((S48/T48)&lt;5,AVERAGE(X48:Y48),"")),IF(S48&lt;T48,(IF((T48/S48)&lt;5,AVERAGE(X48:Y48),""))))),"")),""))</f>
        <v>60.1</v>
      </c>
      <c r="AG48" s="106">
        <v>30.7911</v>
      </c>
      <c r="AH48" s="106">
        <f>AI48/AG48</f>
        <v>0.35764880111460778</v>
      </c>
      <c r="AI48" s="106">
        <v>11.0124</v>
      </c>
      <c r="AP48" s="107">
        <f>9.0244/AI48</f>
        <v>0.81947622679888132</v>
      </c>
      <c r="AQ48" s="107">
        <f>6.0123/AI48</f>
        <v>0.54595728451563696</v>
      </c>
      <c r="AR48" s="107">
        <f>0.1636/AI48</f>
        <v>1.4855980531037739E-2</v>
      </c>
      <c r="AS48" s="108">
        <f>7.8767/AI48</f>
        <v>0.71525734626421122</v>
      </c>
      <c r="AT48" s="108">
        <f>3.9306/AI48</f>
        <v>0.35692492099814754</v>
      </c>
      <c r="AU48" s="108">
        <f>0.1491/AI48</f>
        <v>1.3539282990083907E-2</v>
      </c>
      <c r="AV48" s="96">
        <v>700</v>
      </c>
      <c r="AW48" s="96">
        <v>1115</v>
      </c>
      <c r="AX48" s="97">
        <v>0</v>
      </c>
      <c r="AY48" s="97">
        <v>1120</v>
      </c>
      <c r="AZ48" s="97"/>
      <c r="BA48" s="93">
        <v>160</v>
      </c>
      <c r="BB48" s="93"/>
      <c r="BC48" s="93">
        <v>-3990</v>
      </c>
      <c r="BD48" s="93">
        <v>4650</v>
      </c>
      <c r="BE48" s="93">
        <v>75</v>
      </c>
      <c r="BF48" s="14">
        <v>162</v>
      </c>
      <c r="BG48" s="14">
        <v>110</v>
      </c>
      <c r="BH48" s="15">
        <v>192</v>
      </c>
      <c r="BI48" s="14">
        <v>54</v>
      </c>
      <c r="BJ48" s="15">
        <v>9</v>
      </c>
      <c r="BK48" s="15">
        <v>1</v>
      </c>
      <c r="BL48" s="108">
        <f t="shared" ref="BL48:BM50" si="13">BF48/($S48-$V48)</f>
        <v>0.59558823529411764</v>
      </c>
      <c r="BM48" s="108">
        <f t="shared" si="13"/>
        <v>0.40441176470588236</v>
      </c>
      <c r="BN48" s="107">
        <f t="shared" ref="BN48:BO50" si="14">BH48/($T48-$V48)</f>
        <v>0.78048780487804881</v>
      </c>
      <c r="BO48" s="107">
        <f t="shared" si="14"/>
        <v>0.21951219512195122</v>
      </c>
      <c r="BP48" s="111">
        <f t="shared" ref="BP48:BQ50" si="15">BJ48/$V48</f>
        <v>0.9</v>
      </c>
      <c r="BQ48" s="111">
        <f t="shared" si="15"/>
        <v>0.1</v>
      </c>
      <c r="BR48" s="112">
        <f>IF((BL48+BM48)=1,BL48,"CHECK red")</f>
        <v>0.59558823529411764</v>
      </c>
      <c r="BS48" s="112">
        <f>IF((BN48+BO48)=1,BN48,"CHECK gre")</f>
        <v>0.78048780487804881</v>
      </c>
      <c r="BT48" s="112">
        <f>IF((BP48+BQ48)=1,BP48,"CHECK dou")</f>
        <v>0.9</v>
      </c>
    </row>
    <row r="49" spans="1:72" s="106" customFormat="1" x14ac:dyDescent="0.15">
      <c r="A49" s="130"/>
      <c r="B49" s="92" t="s">
        <v>94</v>
      </c>
      <c r="C49" s="4">
        <v>2</v>
      </c>
      <c r="D49" s="5">
        <v>1.6</v>
      </c>
      <c r="E49" s="95">
        <v>1035</v>
      </c>
      <c r="F49" s="96">
        <v>627</v>
      </c>
      <c r="G49" s="96"/>
      <c r="H49" s="97">
        <v>630</v>
      </c>
      <c r="I49" s="97"/>
      <c r="J49" s="97"/>
      <c r="K49" s="98"/>
      <c r="L49" s="98"/>
      <c r="M49" s="98"/>
      <c r="N49" s="99"/>
      <c r="O49" s="99"/>
      <c r="P49" s="99"/>
      <c r="Q49" s="97">
        <v>32</v>
      </c>
      <c r="R49" s="96">
        <v>24</v>
      </c>
      <c r="S49" s="97">
        <v>104</v>
      </c>
      <c r="T49" s="96">
        <v>129</v>
      </c>
      <c r="U49" s="93">
        <f>IF(S49&gt;0.9,SUM(S49:T49)-V49,"")</f>
        <v>233</v>
      </c>
      <c r="V49" s="100">
        <v>0</v>
      </c>
      <c r="W49" s="101" t="str">
        <f>IF(V49&gt;0.9,(IF(S49&gt;T49,V49/T49,V49/S49)),"")</f>
        <v/>
      </c>
      <c r="X49" s="102">
        <v>96.2</v>
      </c>
      <c r="Y49" s="103">
        <v>96.9</v>
      </c>
      <c r="Z49" s="104">
        <f>IF(A49="x","x",IF(X49&gt;1,(IF(S49&gt;1,(IF(S49&gt;T49,(IF((S49/T49)&lt;5,AVERAGE(X49:Y49),"")),IF(S49&lt;T49,(IF((T49/S49)&lt;5,AVERAGE(X49:Y49),""))))),"")),""))</f>
        <v>96.550000000000011</v>
      </c>
      <c r="AP49" s="107"/>
      <c r="AQ49" s="107"/>
      <c r="AR49" s="107"/>
      <c r="AS49" s="108"/>
      <c r="AT49" s="108"/>
      <c r="AU49" s="108"/>
      <c r="AV49" s="96"/>
      <c r="AW49" s="96"/>
      <c r="AX49" s="97"/>
      <c r="AY49" s="97"/>
      <c r="AZ49" s="97"/>
      <c r="BA49" s="93">
        <v>155</v>
      </c>
      <c r="BB49" s="93"/>
      <c r="BC49" s="93">
        <v>-2540</v>
      </c>
      <c r="BD49" s="93">
        <v>3040</v>
      </c>
      <c r="BE49" s="109">
        <v>250</v>
      </c>
      <c r="BF49" s="97">
        <v>103</v>
      </c>
      <c r="BG49" s="97">
        <v>1</v>
      </c>
      <c r="BH49" s="96">
        <v>3</v>
      </c>
      <c r="BI49" s="96">
        <v>126</v>
      </c>
      <c r="BJ49" s="110">
        <v>0</v>
      </c>
      <c r="BK49" s="110">
        <v>0</v>
      </c>
      <c r="BL49" s="108">
        <f t="shared" si="13"/>
        <v>0.99038461538461542</v>
      </c>
      <c r="BM49" s="108">
        <f t="shared" si="13"/>
        <v>9.6153846153846159E-3</v>
      </c>
      <c r="BN49" s="107">
        <f t="shared" si="14"/>
        <v>2.3255813953488372E-2</v>
      </c>
      <c r="BO49" s="107">
        <f t="shared" si="14"/>
        <v>0.97674418604651159</v>
      </c>
      <c r="BP49" s="111" t="e">
        <f t="shared" si="15"/>
        <v>#DIV/0!</v>
      </c>
      <c r="BQ49" s="111" t="e">
        <f t="shared" si="15"/>
        <v>#DIV/0!</v>
      </c>
      <c r="BR49" s="112">
        <f>IF((BL49+BM49)=1,BL49,"CHECK red")</f>
        <v>0.99038461538461542</v>
      </c>
      <c r="BS49" s="112">
        <f>IF((BN49+BO49)=1,BN49,"CHECK gre")</f>
        <v>2.3255813953488372E-2</v>
      </c>
      <c r="BT49" s="112" t="e">
        <f>IF((BP49+BQ49)=1,BP49,"CHECK dou")</f>
        <v>#DIV/0!</v>
      </c>
    </row>
    <row r="50" spans="1:72" x14ac:dyDescent="0.15">
      <c r="A50" s="91">
        <f>COUNT(D38:D50)</f>
        <v>13</v>
      </c>
      <c r="B50" s="3" t="s">
        <v>113</v>
      </c>
      <c r="C50" s="4">
        <v>4</v>
      </c>
      <c r="D50" s="5">
        <v>3.2</v>
      </c>
      <c r="E50" s="118">
        <v>1212</v>
      </c>
      <c r="F50" s="6">
        <v>741</v>
      </c>
      <c r="H50" s="7">
        <v>735</v>
      </c>
      <c r="Q50" s="7">
        <v>59</v>
      </c>
      <c r="R50" s="6">
        <v>99</v>
      </c>
      <c r="S50" s="14">
        <f>319+V50</f>
        <v>320</v>
      </c>
      <c r="T50" s="15">
        <f>322+V50</f>
        <v>323</v>
      </c>
      <c r="U50" s="93">
        <f t="shared" si="10"/>
        <v>642</v>
      </c>
      <c r="V50" s="119">
        <v>1</v>
      </c>
      <c r="W50" s="101">
        <f t="shared" si="11"/>
        <v>3.1250000000000002E-3</v>
      </c>
      <c r="X50" s="9">
        <v>83.6</v>
      </c>
      <c r="Y50" s="10">
        <v>84.7</v>
      </c>
      <c r="Z50" s="104">
        <f>IF(A50="x","x",IF(X50&gt;1,(IF(S50&gt;1,(IF(S50&gt;T50,(IF((S50/T50)&lt;5,AVERAGE(X50:Y50),"")),IF(S50&lt;T50,(IF((T50/S50)&lt;5,AVERAGE(X50:Y50),""))))),"")),""))</f>
        <v>84.15</v>
      </c>
      <c r="AV50" s="6">
        <v>467</v>
      </c>
      <c r="AW50" s="6">
        <v>200</v>
      </c>
      <c r="AX50" s="7">
        <v>-530</v>
      </c>
      <c r="AY50" s="7">
        <v>-900</v>
      </c>
      <c r="BA50" s="4">
        <v>155</v>
      </c>
      <c r="BC50" s="4">
        <v>-3160</v>
      </c>
      <c r="BD50" s="4">
        <v>3660</v>
      </c>
      <c r="BE50" s="4">
        <v>595</v>
      </c>
      <c r="BF50" s="14">
        <v>12</v>
      </c>
      <c r="BG50" s="14">
        <v>307</v>
      </c>
      <c r="BH50" s="15">
        <v>269</v>
      </c>
      <c r="BI50" s="15">
        <v>53</v>
      </c>
      <c r="BJ50" s="16">
        <v>0</v>
      </c>
      <c r="BK50" s="16">
        <v>1</v>
      </c>
      <c r="BL50" s="108">
        <f t="shared" si="13"/>
        <v>3.7617554858934171E-2</v>
      </c>
      <c r="BM50" s="108">
        <f t="shared" si="13"/>
        <v>0.96238244514106586</v>
      </c>
      <c r="BN50" s="107">
        <f t="shared" si="14"/>
        <v>0.8354037267080745</v>
      </c>
      <c r="BO50" s="107">
        <f t="shared" si="14"/>
        <v>0.16459627329192547</v>
      </c>
      <c r="BP50" s="111">
        <f t="shared" si="15"/>
        <v>0</v>
      </c>
      <c r="BQ50" s="111">
        <f t="shared" si="15"/>
        <v>1</v>
      </c>
      <c r="BR50" s="112">
        <f>IF((BL50+BM50)=1,BL50,"CHECK red")</f>
        <v>3.7617554858934171E-2</v>
      </c>
      <c r="BS50" s="112">
        <f>IF((BN50+BO50)=1,BN50,"CHECK gre")</f>
        <v>0.8354037267080745</v>
      </c>
      <c r="BT50" s="112">
        <f>IF((BP50+BQ50)=1,BP50,"CHECK dou")</f>
        <v>0</v>
      </c>
    </row>
    <row r="51" spans="1:72" s="83" customFormat="1" x14ac:dyDescent="0.15">
      <c r="A51" s="114" t="s">
        <v>114</v>
      </c>
      <c r="B51" s="82">
        <f>STDEV(D37:D50)</f>
        <v>0.52440442408507548</v>
      </c>
      <c r="D51" s="115">
        <f>AVERAGE(D37:D50)</f>
        <v>2.0500000000000003</v>
      </c>
      <c r="E51" s="73">
        <f>MEDIAN(E37:E50)</f>
        <v>700</v>
      </c>
      <c r="F51" s="73">
        <f>STDEV(E37:E50)</f>
        <v>296.92931226727433</v>
      </c>
      <c r="G51" s="73"/>
      <c r="H51" s="73"/>
      <c r="I51" s="73"/>
      <c r="J51" s="73"/>
      <c r="Q51" s="73"/>
      <c r="R51" s="73"/>
      <c r="S51" s="73">
        <f>AVERAGE(S32:S50)</f>
        <v>447.625</v>
      </c>
      <c r="T51" s="73">
        <f>AVERAGE(T32:T50)</f>
        <v>496.85526315789474</v>
      </c>
      <c r="U51" s="73">
        <f>SUM(S51:T51)</f>
        <v>944.4802631578948</v>
      </c>
      <c r="V51" s="116"/>
      <c r="W51" s="133"/>
      <c r="X51" s="82"/>
      <c r="Y51" s="82"/>
      <c r="Z51" s="82">
        <f>MEDIAN(Z37:Z50)</f>
        <v>68.375</v>
      </c>
      <c r="AA51" s="83">
        <f>STDEV(Z37:Z50)</f>
        <v>14.312945251963839</v>
      </c>
      <c r="AG51" s="84" t="str">
        <f>("#REF!/AVERAGE(AF36:AF47))*AF3")</f>
        <v>#REF!/AVERAGE(AF36:AF47))*AF3</v>
      </c>
      <c r="AH51" s="84">
        <f>AVERAGE(AH41:AH50)</f>
        <v>0.35764880111460778</v>
      </c>
      <c r="AI51" s="84">
        <f>AVERAGE(AI37:AI48)</f>
        <v>11.941139999999999</v>
      </c>
      <c r="AJ51" s="84"/>
      <c r="AK51" s="84"/>
      <c r="AL51" s="84"/>
      <c r="AM51" s="84"/>
      <c r="AN51" s="84"/>
      <c r="AO51" s="84"/>
      <c r="AP51" s="79">
        <f t="shared" ref="AP51:AU51" si="16">AVERAGE(AP37:AP50)</f>
        <v>0.76056706545978603</v>
      </c>
      <c r="AQ51" s="79">
        <f t="shared" si="16"/>
        <v>0.30912043673248979</v>
      </c>
      <c r="AR51" s="79">
        <f t="shared" si="16"/>
        <v>2.8142599926192925E-2</v>
      </c>
      <c r="AS51" s="79">
        <f t="shared" si="16"/>
        <v>0.77996733623362213</v>
      </c>
      <c r="AT51" s="79">
        <f t="shared" si="16"/>
        <v>0.16594879239892155</v>
      </c>
      <c r="AU51" s="79">
        <f t="shared" si="16"/>
        <v>2.0589335020469175E-2</v>
      </c>
      <c r="BA51" s="87"/>
      <c r="BB51" s="87"/>
      <c r="BC51" s="87"/>
      <c r="BD51" s="87"/>
      <c r="BE51" s="87"/>
      <c r="BF51" s="75"/>
      <c r="BG51" s="75"/>
      <c r="BH51" s="74"/>
      <c r="BI51" s="74"/>
      <c r="BJ51" s="88"/>
      <c r="BK51" s="88"/>
      <c r="BL51" s="86"/>
      <c r="BM51" s="86"/>
      <c r="BN51" s="85"/>
      <c r="BO51" s="85"/>
      <c r="BP51" s="89"/>
      <c r="BQ51" s="89"/>
      <c r="BR51" s="90"/>
      <c r="BS51" s="90"/>
      <c r="BT51" s="90"/>
    </row>
    <row r="52" spans="1:72" s="106" customFormat="1" x14ac:dyDescent="0.15">
      <c r="A52" s="132" t="s">
        <v>115</v>
      </c>
      <c r="B52" s="92" t="s">
        <v>116</v>
      </c>
      <c r="C52" s="93">
        <v>6</v>
      </c>
      <c r="D52" s="94">
        <v>2.4</v>
      </c>
      <c r="E52" s="95">
        <v>200</v>
      </c>
      <c r="F52" s="96"/>
      <c r="G52" s="96"/>
      <c r="H52" s="97"/>
      <c r="I52" s="97"/>
      <c r="J52" s="97"/>
      <c r="K52" s="98"/>
      <c r="L52" s="98"/>
      <c r="M52" s="98"/>
      <c r="N52" s="99"/>
      <c r="O52" s="99"/>
      <c r="P52" s="99"/>
      <c r="Q52" s="97">
        <v>49</v>
      </c>
      <c r="R52" s="96">
        <v>67</v>
      </c>
      <c r="S52" s="97">
        <f>355+V52</f>
        <v>358</v>
      </c>
      <c r="T52" s="96">
        <f>495+V52</f>
        <v>498</v>
      </c>
      <c r="U52" s="93">
        <f t="shared" ref="U52:U71" si="17">IF(S52&gt;0.9,SUM(S52:T52)-V52,"")</f>
        <v>853</v>
      </c>
      <c r="V52" s="100">
        <v>3</v>
      </c>
      <c r="W52" s="101">
        <f t="shared" ref="W52:W65" si="18">IF(V52&gt;0.9,(IF(S52&gt;T52,V52/T52,V52/S52)),"")</f>
        <v>8.3798882681564244E-3</v>
      </c>
      <c r="X52" s="102">
        <v>77.099999999999994</v>
      </c>
      <c r="Y52" s="103">
        <v>82.4</v>
      </c>
      <c r="Z52" s="104">
        <f>IF(A52="x","x",IF(X52&gt;1,(IF(S52&gt;1,(IF(S52&gt;T52,(IF((S52/T52)&lt;5,AVERAGE(X52:Y52),"")),IF(S52&lt;T52,(IF((T52/S52)&lt;5,AVERAGE(X52:Y52),""))))),"")),""))</f>
        <v>79.75</v>
      </c>
      <c r="AG52" s="106">
        <v>30.561299999999999</v>
      </c>
      <c r="AH52" s="106">
        <f t="shared" ref="AH52:AH61" si="19">AI52/AG52</f>
        <v>0.34351287412511905</v>
      </c>
      <c r="AI52" s="106">
        <v>10.498200000000001</v>
      </c>
      <c r="AP52" s="107">
        <f>5.1027/AI52</f>
        <v>0.48605475224324163</v>
      </c>
      <c r="AQ52" s="107">
        <f>2.481/AI52</f>
        <v>0.23632622735326053</v>
      </c>
      <c r="AR52" s="107">
        <f>0.2206/AI52</f>
        <v>2.101312605970547E-2</v>
      </c>
      <c r="AS52" s="108">
        <f>5.9053/AI52</f>
        <v>0.56250595340153553</v>
      </c>
      <c r="AT52" s="108">
        <f>0.4058/AI52</f>
        <v>3.8654245489702997E-2</v>
      </c>
      <c r="AU52" s="108">
        <f>0.1724/AI52</f>
        <v>1.6421862795526852E-2</v>
      </c>
      <c r="AV52" s="96">
        <v>-640</v>
      </c>
      <c r="AW52" s="96">
        <v>-470</v>
      </c>
      <c r="AX52" s="97">
        <v>-310</v>
      </c>
      <c r="AY52" s="97">
        <v>-250</v>
      </c>
      <c r="AZ52" s="97"/>
      <c r="BA52" s="93"/>
      <c r="BB52" s="93"/>
      <c r="BC52" s="93"/>
      <c r="BD52" s="93"/>
      <c r="BE52" s="93"/>
      <c r="BF52" s="97"/>
      <c r="BG52" s="97"/>
      <c r="BH52" s="96"/>
      <c r="BI52" s="96"/>
      <c r="BJ52" s="110"/>
      <c r="BK52" s="110"/>
      <c r="BL52" s="108"/>
      <c r="BM52" s="108"/>
      <c r="BN52" s="107"/>
      <c r="BO52" s="107"/>
      <c r="BP52" s="111"/>
      <c r="BQ52" s="111"/>
      <c r="BR52" s="112"/>
      <c r="BS52" s="112"/>
      <c r="BT52" s="112"/>
    </row>
    <row r="53" spans="1:72" s="106" customFormat="1" x14ac:dyDescent="0.15">
      <c r="A53" s="132"/>
      <c r="B53" s="92" t="s">
        <v>117</v>
      </c>
      <c r="C53" s="93">
        <v>6</v>
      </c>
      <c r="D53" s="94">
        <v>4.2</v>
      </c>
      <c r="E53" s="95">
        <v>120</v>
      </c>
      <c r="F53" s="96"/>
      <c r="G53" s="96"/>
      <c r="H53" s="97"/>
      <c r="I53" s="97"/>
      <c r="J53" s="97"/>
      <c r="K53" s="98"/>
      <c r="L53" s="98"/>
      <c r="M53" s="98"/>
      <c r="N53" s="99"/>
      <c r="O53" s="99"/>
      <c r="P53" s="99"/>
      <c r="Q53" s="97">
        <v>188</v>
      </c>
      <c r="R53" s="96">
        <v>26</v>
      </c>
      <c r="S53" s="97">
        <f>772+V53</f>
        <v>784</v>
      </c>
      <c r="T53" s="96">
        <f>164+V53</f>
        <v>176</v>
      </c>
      <c r="U53" s="93">
        <f t="shared" si="17"/>
        <v>948</v>
      </c>
      <c r="V53" s="100">
        <v>12</v>
      </c>
      <c r="W53" s="101">
        <f t="shared" si="18"/>
        <v>6.8181818181818177E-2</v>
      </c>
      <c r="X53" s="102">
        <v>83.9</v>
      </c>
      <c r="Y53" s="103">
        <v>45.2</v>
      </c>
      <c r="Z53" s="104">
        <f t="shared" ref="Z53:Z71" si="20">IF(A53="x","x",IF(X53&gt;1,(IF(S53&gt;1,(IF(S53&gt;T53,(IF((S53/T53)&lt;5,AVERAGE(X53:Y53),"")),IF(S53&lt;T53,(IF((T53/S53)&lt;5,AVERAGE(X53:Y53),""))))),"")),""))</f>
        <v>64.550000000000011</v>
      </c>
      <c r="AD53" s="99"/>
      <c r="AE53" s="98"/>
      <c r="AF53" s="99"/>
      <c r="AG53" s="106">
        <v>30.731000000000002</v>
      </c>
      <c r="AH53" s="106">
        <f t="shared" si="19"/>
        <v>0.34099118154306723</v>
      </c>
      <c r="AI53" s="106">
        <v>10.478999999999999</v>
      </c>
      <c r="AP53" s="107">
        <f>1.444/AI53</f>
        <v>0.13779940834049051</v>
      </c>
      <c r="AQ53" s="107">
        <f>0.181/AI53</f>
        <v>1.7272640519133506E-2</v>
      </c>
      <c r="AR53" s="107">
        <f>0.055/AI53</f>
        <v>5.2485924229411203E-3</v>
      </c>
      <c r="AS53" s="108">
        <f>2.673/AI53</f>
        <v>0.2550815917549385</v>
      </c>
      <c r="AT53" s="108">
        <f>0.415/AI53</f>
        <v>3.9603015554919366E-2</v>
      </c>
      <c r="AU53" s="108">
        <f>0.182/AI53</f>
        <v>1.736806947227789E-2</v>
      </c>
      <c r="AV53" s="96">
        <v>-350</v>
      </c>
      <c r="AW53" s="96">
        <v>-620</v>
      </c>
      <c r="AX53" s="97">
        <v>-670</v>
      </c>
      <c r="AY53" s="97">
        <v>-650</v>
      </c>
      <c r="AZ53" s="97"/>
      <c r="BA53" s="93"/>
      <c r="BB53" s="93"/>
      <c r="BC53" s="93"/>
      <c r="BD53" s="93"/>
      <c r="BE53" s="93"/>
      <c r="BF53" s="97"/>
      <c r="BG53" s="97"/>
      <c r="BH53" s="96"/>
      <c r="BI53" s="96"/>
      <c r="BJ53" s="110"/>
      <c r="BK53" s="110"/>
      <c r="BL53" s="108"/>
      <c r="BM53" s="108"/>
      <c r="BN53" s="107"/>
      <c r="BO53" s="107"/>
      <c r="BP53" s="111"/>
      <c r="BQ53" s="111"/>
      <c r="BR53" s="112"/>
      <c r="BS53" s="112"/>
      <c r="BT53" s="112"/>
    </row>
    <row r="54" spans="1:72" s="106" customFormat="1" x14ac:dyDescent="0.15">
      <c r="A54" s="132"/>
      <c r="B54" s="92" t="s">
        <v>118</v>
      </c>
      <c r="C54" s="93">
        <v>6</v>
      </c>
      <c r="D54" s="94">
        <v>4.0999999999999996</v>
      </c>
      <c r="E54" s="113">
        <v>50</v>
      </c>
      <c r="F54" s="96"/>
      <c r="G54" s="96"/>
      <c r="H54" s="97"/>
      <c r="I54" s="97"/>
      <c r="J54" s="97"/>
      <c r="K54" s="98"/>
      <c r="L54" s="98"/>
      <c r="M54" s="98"/>
      <c r="N54" s="99"/>
      <c r="O54" s="99"/>
      <c r="P54" s="99"/>
      <c r="Q54" s="97">
        <v>33</v>
      </c>
      <c r="R54" s="96">
        <v>71</v>
      </c>
      <c r="S54" s="97">
        <f>246+V54</f>
        <v>269</v>
      </c>
      <c r="T54" s="96">
        <f>556+V54</f>
        <v>579</v>
      </c>
      <c r="U54" s="93">
        <f t="shared" si="17"/>
        <v>825</v>
      </c>
      <c r="V54" s="100">
        <v>23</v>
      </c>
      <c r="W54" s="101">
        <f t="shared" si="18"/>
        <v>8.5501858736059477E-2</v>
      </c>
      <c r="X54" s="102">
        <v>42.9</v>
      </c>
      <c r="Y54" s="103">
        <v>70.8</v>
      </c>
      <c r="Z54" s="104">
        <f t="shared" si="20"/>
        <v>56.849999999999994</v>
      </c>
      <c r="AD54" s="99"/>
      <c r="AE54" s="98"/>
      <c r="AF54" s="99"/>
      <c r="AG54" s="106">
        <v>30.617999999999999</v>
      </c>
      <c r="AH54" s="106">
        <f t="shared" si="19"/>
        <v>0.38944411783917959</v>
      </c>
      <c r="AI54" s="106">
        <v>11.923999999999999</v>
      </c>
      <c r="AP54" s="107">
        <f>4.805/AI54</f>
        <v>0.40296880241529687</v>
      </c>
      <c r="AQ54" s="107">
        <f>0.687/AI54</f>
        <v>5.7614894330761494E-2</v>
      </c>
      <c r="AR54" s="107">
        <f>0.185/AI54</f>
        <v>1.5514927876551494E-2</v>
      </c>
      <c r="AS54" s="108">
        <f>1.631/AI54</f>
        <v>0.1367829587386783</v>
      </c>
      <c r="AT54" s="108">
        <f>0.338/AI54</f>
        <v>2.8346192552834621E-2</v>
      </c>
      <c r="AU54" s="108">
        <f>0.05/AI54</f>
        <v>4.1932237504193224E-3</v>
      </c>
      <c r="AV54" s="96">
        <v>-1317</v>
      </c>
      <c r="AW54" s="96">
        <v>-200</v>
      </c>
      <c r="AX54" s="97">
        <v>-1180</v>
      </c>
      <c r="AY54" s="97">
        <v>-120</v>
      </c>
      <c r="AZ54" s="97"/>
      <c r="BA54" s="93"/>
      <c r="BB54" s="93"/>
      <c r="BC54" s="93"/>
      <c r="BD54" s="93"/>
      <c r="BE54" s="93"/>
      <c r="BF54" s="97"/>
      <c r="BG54" s="97"/>
      <c r="BH54" s="96"/>
      <c r="BI54" s="96"/>
      <c r="BJ54" s="110"/>
      <c r="BK54" s="110"/>
      <c r="BL54" s="108"/>
      <c r="BM54" s="108"/>
      <c r="BN54" s="107"/>
      <c r="BO54" s="107"/>
      <c r="BP54" s="111"/>
      <c r="BQ54" s="111"/>
      <c r="BR54" s="112"/>
      <c r="BS54" s="112"/>
      <c r="BT54" s="112"/>
    </row>
    <row r="55" spans="1:72" s="106" customFormat="1" x14ac:dyDescent="0.15">
      <c r="A55" s="132"/>
      <c r="B55" s="92" t="s">
        <v>119</v>
      </c>
      <c r="C55" s="93">
        <v>6</v>
      </c>
      <c r="D55" s="94">
        <v>4.5999999999999996</v>
      </c>
      <c r="E55" s="95">
        <v>416</v>
      </c>
      <c r="F55" s="96"/>
      <c r="G55" s="96"/>
      <c r="H55" s="97"/>
      <c r="I55" s="97"/>
      <c r="J55" s="97"/>
      <c r="K55" s="98"/>
      <c r="L55" s="98"/>
      <c r="M55" s="98"/>
      <c r="N55" s="99"/>
      <c r="O55" s="99"/>
      <c r="P55" s="99"/>
      <c r="Q55" s="97">
        <v>68</v>
      </c>
      <c r="R55" s="96">
        <v>23</v>
      </c>
      <c r="S55" s="97">
        <f>450+V55</f>
        <v>451</v>
      </c>
      <c r="T55" s="96">
        <f>110+V55</f>
        <v>111</v>
      </c>
      <c r="U55" s="93">
        <f t="shared" si="17"/>
        <v>561</v>
      </c>
      <c r="V55" s="100">
        <v>1</v>
      </c>
      <c r="W55" s="101">
        <f t="shared" si="18"/>
        <v>9.0090090090090089E-3</v>
      </c>
      <c r="X55" s="102">
        <v>95.5</v>
      </c>
      <c r="Y55" s="103">
        <v>82.4</v>
      </c>
      <c r="Z55" s="104">
        <f t="shared" si="20"/>
        <v>88.95</v>
      </c>
      <c r="AD55" s="99"/>
      <c r="AE55" s="98"/>
      <c r="AF55" s="99"/>
      <c r="AP55" s="107"/>
      <c r="AQ55" s="107"/>
      <c r="AR55" s="107"/>
      <c r="AS55" s="108"/>
      <c r="AT55" s="108"/>
      <c r="AU55" s="108"/>
      <c r="AV55" s="99"/>
      <c r="AW55" s="99"/>
      <c r="AX55" s="98"/>
      <c r="AY55" s="98"/>
      <c r="AZ55" s="98"/>
      <c r="BA55" s="93"/>
      <c r="BB55" s="93"/>
      <c r="BC55" s="93"/>
      <c r="BD55" s="93"/>
      <c r="BE55" s="93"/>
      <c r="BF55" s="97"/>
      <c r="BG55" s="97"/>
      <c r="BH55" s="96"/>
      <c r="BI55" s="96"/>
      <c r="BJ55" s="110"/>
      <c r="BK55" s="110"/>
      <c r="BL55" s="108"/>
      <c r="BM55" s="108"/>
      <c r="BN55" s="107"/>
      <c r="BO55" s="107"/>
      <c r="BP55" s="111"/>
      <c r="BQ55" s="111"/>
      <c r="BR55" s="112"/>
      <c r="BS55" s="112"/>
      <c r="BT55" s="112"/>
    </row>
    <row r="56" spans="1:72" s="106" customFormat="1" x14ac:dyDescent="0.15">
      <c r="A56" s="132"/>
      <c r="B56" s="92" t="s">
        <v>120</v>
      </c>
      <c r="C56" s="93">
        <v>6</v>
      </c>
      <c r="D56" s="94">
        <v>4</v>
      </c>
      <c r="E56" s="95">
        <v>100</v>
      </c>
      <c r="F56" s="96"/>
      <c r="G56" s="96"/>
      <c r="H56" s="97"/>
      <c r="I56" s="97"/>
      <c r="J56" s="97"/>
      <c r="K56" s="98"/>
      <c r="L56" s="98"/>
      <c r="M56" s="98"/>
      <c r="N56" s="99"/>
      <c r="O56" s="99"/>
      <c r="P56" s="99"/>
      <c r="Q56" s="97">
        <v>44</v>
      </c>
      <c r="R56" s="96">
        <v>97</v>
      </c>
      <c r="S56" s="97">
        <f>227+V56</f>
        <v>260</v>
      </c>
      <c r="T56" s="96">
        <f>493+V56</f>
        <v>526</v>
      </c>
      <c r="U56" s="93">
        <f t="shared" si="17"/>
        <v>753</v>
      </c>
      <c r="V56" s="100">
        <v>33</v>
      </c>
      <c r="W56" s="101">
        <f t="shared" si="18"/>
        <v>0.12692307692307692</v>
      </c>
      <c r="X56" s="102">
        <v>64</v>
      </c>
      <c r="Y56" s="103">
        <v>80.5</v>
      </c>
      <c r="Z56" s="104">
        <f t="shared" si="20"/>
        <v>72.25</v>
      </c>
      <c r="AD56" s="99"/>
      <c r="AE56" s="98"/>
      <c r="AF56" s="99"/>
      <c r="AG56" s="106">
        <v>30.568999999999999</v>
      </c>
      <c r="AH56" s="106">
        <f t="shared" si="19"/>
        <v>0.30059864568680689</v>
      </c>
      <c r="AI56" s="106">
        <v>9.1890000000000001</v>
      </c>
      <c r="AP56" s="107" t="s">
        <v>121</v>
      </c>
      <c r="AQ56" s="107">
        <f>0.28/AI56</f>
        <v>3.0471215583850259E-2</v>
      </c>
      <c r="AR56" s="107">
        <f>0.131/AI56</f>
        <v>1.4256175862444227E-2</v>
      </c>
      <c r="AS56" s="108">
        <f>0.562/AI56</f>
        <v>6.1160082707585162E-2</v>
      </c>
      <c r="AT56" s="108">
        <f>0.252/AI56</f>
        <v>2.742409402546523E-2</v>
      </c>
      <c r="AU56" s="108">
        <f>0.087/AI56</f>
        <v>9.4678419849820433E-3</v>
      </c>
      <c r="AV56" s="96">
        <v>-500</v>
      </c>
      <c r="AW56" s="96">
        <v>-333</v>
      </c>
      <c r="AX56" s="97">
        <v>-251</v>
      </c>
      <c r="AY56" s="97">
        <v>-100</v>
      </c>
      <c r="AZ56" s="97"/>
      <c r="BA56" s="93"/>
      <c r="BB56" s="93"/>
      <c r="BC56" s="93"/>
      <c r="BD56" s="93"/>
      <c r="BE56" s="93"/>
      <c r="BF56" s="97"/>
      <c r="BG56" s="97"/>
      <c r="BH56" s="96"/>
      <c r="BI56" s="96"/>
      <c r="BJ56" s="110"/>
      <c r="BK56" s="110"/>
      <c r="BL56" s="108"/>
      <c r="BM56" s="108"/>
      <c r="BN56" s="107"/>
      <c r="BO56" s="107"/>
      <c r="BP56" s="111"/>
      <c r="BQ56" s="111"/>
      <c r="BR56" s="112"/>
      <c r="BS56" s="112"/>
      <c r="BT56" s="112"/>
    </row>
    <row r="57" spans="1:72" s="106" customFormat="1" x14ac:dyDescent="0.15">
      <c r="A57" s="132"/>
      <c r="B57" s="92" t="s">
        <v>122</v>
      </c>
      <c r="C57" s="93">
        <v>6</v>
      </c>
      <c r="D57" s="94">
        <v>4</v>
      </c>
      <c r="E57" s="95">
        <v>304</v>
      </c>
      <c r="F57" s="96"/>
      <c r="G57" s="96"/>
      <c r="H57" s="97"/>
      <c r="I57" s="97"/>
      <c r="J57" s="97"/>
      <c r="K57" s="98"/>
      <c r="L57" s="98"/>
      <c r="M57" s="98"/>
      <c r="N57" s="99"/>
      <c r="O57" s="99"/>
      <c r="P57" s="99"/>
      <c r="Q57" s="97">
        <v>56</v>
      </c>
      <c r="R57" s="96">
        <v>100</v>
      </c>
      <c r="S57" s="97">
        <f>267+V57</f>
        <v>278</v>
      </c>
      <c r="T57" s="96">
        <f>812+V57</f>
        <v>823</v>
      </c>
      <c r="U57" s="93">
        <f t="shared" si="17"/>
        <v>1090</v>
      </c>
      <c r="V57" s="100">
        <v>11</v>
      </c>
      <c r="W57" s="101">
        <f t="shared" si="18"/>
        <v>3.9568345323741004E-2</v>
      </c>
      <c r="X57" s="102">
        <v>74.8</v>
      </c>
      <c r="Y57" s="103">
        <v>91.8</v>
      </c>
      <c r="Z57" s="104">
        <f t="shared" si="20"/>
        <v>83.3</v>
      </c>
      <c r="AD57" s="99"/>
      <c r="AE57" s="98"/>
      <c r="AF57" s="99"/>
      <c r="AG57" s="106">
        <v>26.724</v>
      </c>
      <c r="AH57" s="106">
        <f t="shared" si="19"/>
        <v>0.32102230205059124</v>
      </c>
      <c r="AI57" s="106">
        <v>8.5790000000000006</v>
      </c>
      <c r="AP57" s="107">
        <f>0.905/AI57</f>
        <v>0.10549015036717566</v>
      </c>
      <c r="AQ57" s="107">
        <f>0.297/AI57</f>
        <v>3.4619419512763719E-2</v>
      </c>
      <c r="AR57" s="107">
        <f>0.124/AI57</f>
        <v>1.4453899055834012E-2</v>
      </c>
      <c r="AS57" s="108" t="s">
        <v>123</v>
      </c>
      <c r="AT57" s="108">
        <f>0.132/AI57</f>
        <v>1.5386408672339433E-2</v>
      </c>
      <c r="AU57" s="108">
        <f>0.03/AI57</f>
        <v>3.4969110618953254E-3</v>
      </c>
      <c r="AV57" s="96">
        <v>-400</v>
      </c>
      <c r="AW57" s="96">
        <v>-1060</v>
      </c>
      <c r="AX57" s="97">
        <v>-940</v>
      </c>
      <c r="AY57" s="97">
        <v>-1380</v>
      </c>
      <c r="AZ57" s="97"/>
      <c r="BA57" s="93"/>
      <c r="BB57" s="93"/>
      <c r="BC57" s="93"/>
      <c r="BD57" s="93"/>
      <c r="BE57" s="93"/>
      <c r="BF57" s="97"/>
      <c r="BG57" s="97"/>
      <c r="BH57" s="96"/>
      <c r="BI57" s="96"/>
      <c r="BJ57" s="110"/>
      <c r="BK57" s="110"/>
      <c r="BL57" s="108"/>
      <c r="BM57" s="108"/>
      <c r="BN57" s="107"/>
      <c r="BO57" s="107"/>
      <c r="BP57" s="111"/>
      <c r="BQ57" s="111"/>
      <c r="BR57" s="112"/>
      <c r="BS57" s="112"/>
      <c r="BT57" s="112"/>
    </row>
    <row r="58" spans="1:72" s="106" customFormat="1" x14ac:dyDescent="0.15">
      <c r="A58" s="132"/>
      <c r="B58" s="92" t="s">
        <v>124</v>
      </c>
      <c r="C58" s="93">
        <v>6</v>
      </c>
      <c r="D58" s="94">
        <v>4.3</v>
      </c>
      <c r="E58" s="95">
        <v>334</v>
      </c>
      <c r="F58" s="96"/>
      <c r="G58" s="96"/>
      <c r="H58" s="97"/>
      <c r="I58" s="97"/>
      <c r="J58" s="97"/>
      <c r="K58" s="98"/>
      <c r="L58" s="98"/>
      <c r="M58" s="98"/>
      <c r="N58" s="99"/>
      <c r="O58" s="99"/>
      <c r="P58" s="99"/>
      <c r="Q58" s="97">
        <v>21</v>
      </c>
      <c r="R58" s="96">
        <v>96</v>
      </c>
      <c r="S58" s="97">
        <v>23</v>
      </c>
      <c r="T58" s="96">
        <v>362</v>
      </c>
      <c r="U58" s="93">
        <f t="shared" si="17"/>
        <v>385</v>
      </c>
      <c r="V58" s="100">
        <v>0</v>
      </c>
      <c r="W58" s="101" t="str">
        <f t="shared" si="18"/>
        <v/>
      </c>
      <c r="X58" s="102">
        <v>62.5</v>
      </c>
      <c r="Y58" s="103">
        <v>97.8</v>
      </c>
      <c r="Z58" s="104">
        <f>AVERAGE(X58:Y58)</f>
        <v>80.150000000000006</v>
      </c>
      <c r="AD58" s="99"/>
      <c r="AE58" s="98"/>
      <c r="AF58" s="99"/>
      <c r="AG58" s="106">
        <v>28.879000000000001</v>
      </c>
      <c r="AH58" s="106">
        <f t="shared" si="19"/>
        <v>0.34215173655597492</v>
      </c>
      <c r="AI58" s="106">
        <v>9.8810000000000002</v>
      </c>
      <c r="AP58" s="107">
        <f>1.99/AI58</f>
        <v>0.20139661977532639</v>
      </c>
      <c r="AQ58" s="107">
        <f>0.331/AI58</f>
        <v>3.3498633741524141E-2</v>
      </c>
      <c r="AR58" s="107">
        <f>0.066/AI58</f>
        <v>6.6794858819957496E-3</v>
      </c>
      <c r="AS58" s="108"/>
      <c r="AT58" s="108"/>
      <c r="AU58" s="108"/>
      <c r="AV58" s="96">
        <v>-1300</v>
      </c>
      <c r="AW58" s="96">
        <v>-160</v>
      </c>
      <c r="AX58" s="97">
        <v>-2040</v>
      </c>
      <c r="AY58" s="97">
        <v>-700</v>
      </c>
      <c r="AZ58" s="97"/>
      <c r="BA58" s="93"/>
      <c r="BB58" s="93"/>
      <c r="BC58" s="93"/>
      <c r="BD58" s="93"/>
      <c r="BE58" s="93"/>
      <c r="BF58" s="97"/>
      <c r="BG58" s="97"/>
      <c r="BH58" s="96"/>
      <c r="BI58" s="96"/>
      <c r="BJ58" s="110"/>
      <c r="BK58" s="110"/>
      <c r="BL58" s="108"/>
      <c r="BM58" s="108"/>
      <c r="BN58" s="107"/>
      <c r="BO58" s="107"/>
      <c r="BP58" s="111"/>
      <c r="BQ58" s="111"/>
      <c r="BR58" s="112"/>
      <c r="BS58" s="112"/>
      <c r="BT58" s="112"/>
    </row>
    <row r="59" spans="1:72" s="327" customFormat="1" x14ac:dyDescent="0.15">
      <c r="A59" s="342"/>
      <c r="B59" s="317" t="s">
        <v>125</v>
      </c>
      <c r="C59" s="318">
        <v>6</v>
      </c>
      <c r="D59" s="319">
        <v>3.16</v>
      </c>
      <c r="E59" s="320">
        <v>207</v>
      </c>
      <c r="F59" s="321"/>
      <c r="G59" s="321"/>
      <c r="H59" s="322"/>
      <c r="I59" s="322"/>
      <c r="J59" s="322"/>
      <c r="K59" s="341"/>
      <c r="L59" s="341"/>
      <c r="M59" s="341"/>
      <c r="N59" s="340"/>
      <c r="O59" s="340"/>
      <c r="P59" s="340"/>
      <c r="Q59" s="322">
        <v>44</v>
      </c>
      <c r="R59" s="321">
        <v>94</v>
      </c>
      <c r="S59" s="322">
        <f>61+V59</f>
        <v>62</v>
      </c>
      <c r="T59" s="321">
        <f>260+V59</f>
        <v>261</v>
      </c>
      <c r="U59" s="318">
        <f t="shared" si="17"/>
        <v>322</v>
      </c>
      <c r="V59" s="343">
        <v>1</v>
      </c>
      <c r="W59" s="323">
        <f t="shared" si="18"/>
        <v>1.6129032258064516E-2</v>
      </c>
      <c r="X59" s="324">
        <v>50.8</v>
      </c>
      <c r="Y59" s="325">
        <v>90.6</v>
      </c>
      <c r="Z59" s="334">
        <f t="shared" si="20"/>
        <v>70.699999999999989</v>
      </c>
      <c r="AD59" s="340"/>
      <c r="AE59" s="341"/>
      <c r="AF59" s="340"/>
      <c r="AG59" s="327">
        <v>30.568999999999999</v>
      </c>
      <c r="AH59" s="327">
        <f t="shared" si="19"/>
        <v>0.1962772743629167</v>
      </c>
      <c r="AI59" s="327">
        <v>6</v>
      </c>
      <c r="AP59" s="336">
        <f>3.08/AI59</f>
        <v>0.51333333333333331</v>
      </c>
      <c r="AQ59" s="336">
        <f>0.287/AI59</f>
        <v>4.7833333333333332E-2</v>
      </c>
      <c r="AR59" s="336">
        <f>0.1/AI59</f>
        <v>1.6666666666666666E-2</v>
      </c>
      <c r="AS59" s="337"/>
      <c r="AT59" s="337"/>
      <c r="AU59" s="337"/>
      <c r="AV59" s="321"/>
      <c r="AW59" s="321"/>
      <c r="AX59" s="322"/>
      <c r="AY59" s="322"/>
      <c r="AZ59" s="322"/>
      <c r="BA59" s="318">
        <v>155</v>
      </c>
      <c r="BB59" s="318"/>
      <c r="BC59" s="318">
        <v>-990</v>
      </c>
      <c r="BD59" s="318">
        <v>5210</v>
      </c>
      <c r="BE59" s="318">
        <v>1705</v>
      </c>
      <c r="BF59" s="322">
        <v>0</v>
      </c>
      <c r="BG59" s="322">
        <v>61</v>
      </c>
      <c r="BH59" s="321">
        <v>11</v>
      </c>
      <c r="BI59" s="321">
        <v>249</v>
      </c>
      <c r="BJ59" s="344">
        <v>0</v>
      </c>
      <c r="BK59" s="344">
        <v>1</v>
      </c>
      <c r="BL59" s="337">
        <f t="shared" ref="BL59:BM61" si="21">BF59/($S59-$V59)</f>
        <v>0</v>
      </c>
      <c r="BM59" s="337">
        <f t="shared" si="21"/>
        <v>1</v>
      </c>
      <c r="BN59" s="336">
        <f t="shared" ref="BN59:BO61" si="22">BH59/($T59-$V59)</f>
        <v>4.230769230769231E-2</v>
      </c>
      <c r="BO59" s="336">
        <f t="shared" si="22"/>
        <v>0.95769230769230773</v>
      </c>
      <c r="BP59" s="345">
        <f t="shared" ref="BP59:BQ61" si="23">BJ59/$V59</f>
        <v>0</v>
      </c>
      <c r="BQ59" s="345">
        <f t="shared" si="23"/>
        <v>1</v>
      </c>
      <c r="BR59" s="346">
        <f>IF((BL59+BM59)=1,BL59,"CHECK red")</f>
        <v>0</v>
      </c>
      <c r="BS59" s="346">
        <f>IF((BN59+BO59)=1,BN59,"CHECK gre")</f>
        <v>4.230769230769231E-2</v>
      </c>
      <c r="BT59" s="346">
        <f>IF((BP59+BQ59)=1,BP59,"CHECK dou")</f>
        <v>0</v>
      </c>
    </row>
    <row r="60" spans="1:72" s="106" customFormat="1" x14ac:dyDescent="0.15">
      <c r="A60" s="132"/>
      <c r="B60" s="92" t="s">
        <v>126</v>
      </c>
      <c r="C60" s="93">
        <v>6</v>
      </c>
      <c r="D60" s="94">
        <v>3.7</v>
      </c>
      <c r="E60" s="95">
        <v>114</v>
      </c>
      <c r="F60" s="96">
        <v>718</v>
      </c>
      <c r="G60" s="96"/>
      <c r="H60" s="97">
        <v>454</v>
      </c>
      <c r="I60" s="97"/>
      <c r="J60" s="97"/>
      <c r="K60" s="98"/>
      <c r="L60" s="98"/>
      <c r="M60" s="98"/>
      <c r="N60" s="99"/>
      <c r="O60" s="99"/>
      <c r="P60" s="99"/>
      <c r="Q60" s="97">
        <v>60</v>
      </c>
      <c r="R60" s="96">
        <v>77</v>
      </c>
      <c r="S60" s="97">
        <f>205+V60</f>
        <v>208</v>
      </c>
      <c r="T60" s="96">
        <f>421+V60</f>
        <v>424</v>
      </c>
      <c r="U60" s="93">
        <f t="shared" si="17"/>
        <v>629</v>
      </c>
      <c r="V60" s="100">
        <v>3</v>
      </c>
      <c r="W60" s="101">
        <f t="shared" si="18"/>
        <v>1.4423076923076924E-2</v>
      </c>
      <c r="X60" s="102">
        <v>67.099999999999994</v>
      </c>
      <c r="Y60" s="103">
        <v>78.900000000000006</v>
      </c>
      <c r="Z60" s="104">
        <f t="shared" si="20"/>
        <v>73</v>
      </c>
      <c r="AD60" s="99"/>
      <c r="AE60" s="98"/>
      <c r="AF60" s="99"/>
      <c r="AG60" s="106">
        <v>30.457999999999998</v>
      </c>
      <c r="AH60" s="106">
        <f t="shared" si="19"/>
        <v>0.23777004399500953</v>
      </c>
      <c r="AI60" s="106">
        <v>7.242</v>
      </c>
      <c r="AP60" s="107">
        <f>4/AI60</f>
        <v>0.5523336095001381</v>
      </c>
      <c r="AQ60" s="107">
        <f>(0.248+0.438)/AI60</f>
        <v>9.4725214029273669E-2</v>
      </c>
      <c r="AR60" s="107">
        <f>(0.304+0.145)/AI60</f>
        <v>6.1999447666390491E-2</v>
      </c>
      <c r="AS60" s="108">
        <f>3.353/AI60</f>
        <v>0.46299364816349076</v>
      </c>
      <c r="AT60" s="108">
        <f>0.366/AI60</f>
        <v>5.0538525269262634E-2</v>
      </c>
      <c r="AU60" s="108">
        <f>0.143/AI60</f>
        <v>1.9745926539629935E-2</v>
      </c>
      <c r="AV60" s="96"/>
      <c r="AW60" s="96"/>
      <c r="AX60" s="97"/>
      <c r="AY60" s="97"/>
      <c r="AZ60" s="97"/>
      <c r="BA60" s="93">
        <v>155</v>
      </c>
      <c r="BB60" s="93"/>
      <c r="BC60" s="93">
        <v>-2160</v>
      </c>
      <c r="BD60" s="93">
        <v>5280</v>
      </c>
      <c r="BE60" s="93">
        <v>1380</v>
      </c>
      <c r="BF60" s="97">
        <v>19</v>
      </c>
      <c r="BG60" s="97">
        <v>186</v>
      </c>
      <c r="BH60" s="96">
        <v>17</v>
      </c>
      <c r="BI60" s="96">
        <v>204</v>
      </c>
      <c r="BJ60" s="110">
        <v>3</v>
      </c>
      <c r="BK60" s="110">
        <v>0</v>
      </c>
      <c r="BL60" s="108">
        <f t="shared" si="21"/>
        <v>9.2682926829268292E-2</v>
      </c>
      <c r="BM60" s="108">
        <f t="shared" si="21"/>
        <v>0.90731707317073174</v>
      </c>
      <c r="BN60" s="107">
        <f t="shared" si="22"/>
        <v>4.0380047505938245E-2</v>
      </c>
      <c r="BO60" s="107">
        <f t="shared" si="22"/>
        <v>0.48456057007125891</v>
      </c>
      <c r="BP60" s="111">
        <f t="shared" si="23"/>
        <v>1</v>
      </c>
      <c r="BQ60" s="111">
        <f t="shared" si="23"/>
        <v>0</v>
      </c>
      <c r="BR60" s="112">
        <f>IF((BL60+BM60)=1,BL60,"CHECK red")</f>
        <v>9.2682926829268292E-2</v>
      </c>
      <c r="BS60" s="112" t="str">
        <f>IF((BN60+BO60)=1,BN60,"CHECK gre")</f>
        <v>CHECK gre</v>
      </c>
      <c r="BT60" s="112">
        <f>IF((BP60+BQ60)=1,BP60,"CHECK dou")</f>
        <v>1</v>
      </c>
    </row>
    <row r="61" spans="1:72" s="106" customFormat="1" x14ac:dyDescent="0.15">
      <c r="A61" s="132"/>
      <c r="B61" s="92" t="s">
        <v>127</v>
      </c>
      <c r="C61" s="93">
        <v>6</v>
      </c>
      <c r="D61" s="94">
        <v>2.9</v>
      </c>
      <c r="E61" s="95">
        <v>205</v>
      </c>
      <c r="F61" s="96">
        <v>375</v>
      </c>
      <c r="G61" s="96"/>
      <c r="H61" s="97">
        <v>330</v>
      </c>
      <c r="I61" s="97"/>
      <c r="J61" s="97"/>
      <c r="K61" s="98"/>
      <c r="L61" s="98"/>
      <c r="M61" s="98"/>
      <c r="N61" s="99"/>
      <c r="O61" s="99"/>
      <c r="P61" s="99"/>
      <c r="Q61" s="97">
        <v>109</v>
      </c>
      <c r="R61" s="96">
        <v>59</v>
      </c>
      <c r="S61" s="97">
        <f>1197+V61</f>
        <v>1351</v>
      </c>
      <c r="T61" s="96">
        <f>243+V61</f>
        <v>397</v>
      </c>
      <c r="U61" s="93">
        <f t="shared" si="17"/>
        <v>1594</v>
      </c>
      <c r="V61" s="100">
        <v>154</v>
      </c>
      <c r="W61" s="101">
        <f t="shared" si="18"/>
        <v>0.38790931989924432</v>
      </c>
      <c r="X61" s="102">
        <v>90</v>
      </c>
      <c r="Y61" s="103">
        <v>79.599999999999994</v>
      </c>
      <c r="Z61" s="104">
        <f t="shared" si="20"/>
        <v>84.8</v>
      </c>
      <c r="AD61" s="99"/>
      <c r="AE61" s="98"/>
      <c r="AF61" s="99"/>
      <c r="AG61" s="106">
        <v>30.620999999999999</v>
      </c>
      <c r="AH61" s="106">
        <f t="shared" si="19"/>
        <v>0.20799451356911924</v>
      </c>
      <c r="AI61" s="106">
        <v>6.3689999999999998</v>
      </c>
      <c r="AP61" s="107" t="s">
        <v>128</v>
      </c>
      <c r="AQ61" s="107">
        <f>0.262/AI61</f>
        <v>4.1136756162662901E-2</v>
      </c>
      <c r="AR61" s="107">
        <f>0.1/AI61</f>
        <v>1.5701051970482025E-2</v>
      </c>
      <c r="AS61" s="108">
        <f>1.14/AI61</f>
        <v>0.17899199246349504</v>
      </c>
      <c r="AT61" s="108">
        <f>0.419/AI61</f>
        <v>6.578740775631968E-2</v>
      </c>
      <c r="AU61" s="108">
        <f>0.139/AI61</f>
        <v>2.1824462238970013E-2</v>
      </c>
      <c r="AV61" s="96"/>
      <c r="AW61" s="96"/>
      <c r="AX61" s="97"/>
      <c r="AY61" s="97"/>
      <c r="AZ61" s="97"/>
      <c r="BA61" s="93">
        <v>155</v>
      </c>
      <c r="BB61" s="93"/>
      <c r="BC61" s="93">
        <v>-2540</v>
      </c>
      <c r="BD61" s="93">
        <v>3660</v>
      </c>
      <c r="BE61" s="93">
        <v>230</v>
      </c>
      <c r="BF61" s="97">
        <v>23</v>
      </c>
      <c r="BG61" s="97">
        <v>1174</v>
      </c>
      <c r="BH61" s="96">
        <v>0</v>
      </c>
      <c r="BI61" s="96">
        <v>243</v>
      </c>
      <c r="BJ61" s="110">
        <v>0</v>
      </c>
      <c r="BK61" s="110">
        <v>154</v>
      </c>
      <c r="BL61" s="108">
        <f t="shared" si="21"/>
        <v>1.921470342522974E-2</v>
      </c>
      <c r="BM61" s="108">
        <f t="shared" si="21"/>
        <v>0.9807852965747702</v>
      </c>
      <c r="BN61" s="107">
        <f t="shared" si="22"/>
        <v>0</v>
      </c>
      <c r="BO61" s="107">
        <f t="shared" si="22"/>
        <v>1</v>
      </c>
      <c r="BP61" s="111">
        <f t="shared" si="23"/>
        <v>0</v>
      </c>
      <c r="BQ61" s="111">
        <f t="shared" si="23"/>
        <v>1</v>
      </c>
      <c r="BR61" s="112">
        <f>IF((BL61+BM61)=1,BL61,"CHECK red")</f>
        <v>1.921470342522974E-2</v>
      </c>
      <c r="BS61" s="112">
        <f>IF((BN61+BO61)=1,BN61,"CHECK gre")</f>
        <v>0</v>
      </c>
      <c r="BT61" s="112">
        <f>IF((BP61+BQ61)=1,BP61,"CHECK dou")</f>
        <v>0</v>
      </c>
    </row>
    <row r="62" spans="1:72" s="106" customFormat="1" x14ac:dyDescent="0.15">
      <c r="A62" s="132"/>
      <c r="B62" s="92" t="s">
        <v>129</v>
      </c>
      <c r="C62" s="93">
        <v>6</v>
      </c>
      <c r="D62" s="94">
        <v>3</v>
      </c>
      <c r="E62" s="95">
        <v>50</v>
      </c>
      <c r="F62" s="96"/>
      <c r="G62" s="96"/>
      <c r="H62" s="97"/>
      <c r="I62" s="97"/>
      <c r="J62" s="97"/>
      <c r="K62" s="98"/>
      <c r="L62" s="98"/>
      <c r="M62" s="98"/>
      <c r="N62" s="99"/>
      <c r="O62" s="99"/>
      <c r="P62" s="99"/>
      <c r="Q62" s="97">
        <v>28</v>
      </c>
      <c r="R62" s="96">
        <v>89</v>
      </c>
      <c r="S62" s="97">
        <f>103+V62</f>
        <v>267</v>
      </c>
      <c r="T62" s="96">
        <f>462+V62</f>
        <v>626</v>
      </c>
      <c r="U62" s="93">
        <f t="shared" si="17"/>
        <v>729</v>
      </c>
      <c r="V62" s="100">
        <v>164</v>
      </c>
      <c r="W62" s="101">
        <f t="shared" si="18"/>
        <v>0.61423220973782766</v>
      </c>
      <c r="X62" s="102">
        <v>37.6</v>
      </c>
      <c r="Y62" s="103">
        <v>55.3</v>
      </c>
      <c r="Z62" s="104">
        <f t="shared" si="20"/>
        <v>46.45</v>
      </c>
      <c r="AD62" s="99"/>
      <c r="AE62" s="98"/>
      <c r="AF62" s="99"/>
      <c r="AP62" s="107"/>
      <c r="AQ62" s="107"/>
      <c r="AR62" s="107"/>
      <c r="AS62" s="108"/>
      <c r="AT62" s="108"/>
      <c r="AU62" s="108"/>
      <c r="AV62" s="96"/>
      <c r="AW62" s="96"/>
      <c r="AX62" s="97"/>
      <c r="AY62" s="97"/>
      <c r="AZ62" s="97"/>
      <c r="BA62" s="93"/>
      <c r="BB62" s="93"/>
      <c r="BC62" s="93"/>
      <c r="BD62" s="93"/>
      <c r="BE62" s="93"/>
      <c r="BF62" s="97"/>
      <c r="BG62" s="97"/>
      <c r="BH62" s="96"/>
      <c r="BI62" s="96"/>
      <c r="BJ62" s="110"/>
      <c r="BK62" s="110"/>
      <c r="BL62" s="108"/>
      <c r="BM62" s="108"/>
      <c r="BN62" s="107"/>
      <c r="BO62" s="107"/>
      <c r="BP62" s="111"/>
      <c r="BQ62" s="111"/>
      <c r="BR62" s="112"/>
      <c r="BS62" s="112"/>
      <c r="BT62" s="112"/>
    </row>
    <row r="63" spans="1:72" s="327" customFormat="1" x14ac:dyDescent="0.15">
      <c r="A63" s="342"/>
      <c r="B63" s="317" t="s">
        <v>112</v>
      </c>
      <c r="C63" s="318">
        <v>4</v>
      </c>
      <c r="D63" s="319">
        <v>2.68</v>
      </c>
      <c r="E63" s="320">
        <v>457</v>
      </c>
      <c r="F63" s="321">
        <v>888</v>
      </c>
      <c r="G63" s="321"/>
      <c r="H63" s="322">
        <v>888</v>
      </c>
      <c r="I63" s="322"/>
      <c r="J63" s="322"/>
      <c r="K63" s="341"/>
      <c r="L63" s="341"/>
      <c r="M63" s="341"/>
      <c r="N63" s="340"/>
      <c r="O63" s="340"/>
      <c r="P63" s="340"/>
      <c r="Q63" s="322">
        <v>93</v>
      </c>
      <c r="R63" s="321">
        <v>47</v>
      </c>
      <c r="S63" s="322">
        <v>503</v>
      </c>
      <c r="T63" s="321">
        <v>214</v>
      </c>
      <c r="U63" s="318">
        <f>IF(S63&gt;0.9,SUM(S63:T63)-V63,"")</f>
        <v>717</v>
      </c>
      <c r="V63" s="343">
        <v>0</v>
      </c>
      <c r="W63" s="323" t="str">
        <f>IF(V63&gt;0.9,(IF(S63&gt;T63,V63/T63,V63/S63)),"")</f>
        <v/>
      </c>
      <c r="X63" s="324">
        <v>93.8</v>
      </c>
      <c r="Y63" s="325">
        <v>87.9</v>
      </c>
      <c r="Z63" s="334">
        <f>IF(A63="x","x",IF(X63&gt;1,(IF(S63&gt;1,(IF(S63&gt;T63,(IF((S63/T63)&lt;5,AVERAGE(X63:Y63),"")),IF(S63&lt;T63,(IF((T63/S63)&lt;5,AVERAGE(X63:Y63),""))))),"")),""))</f>
        <v>90.85</v>
      </c>
      <c r="AP63" s="336"/>
      <c r="AQ63" s="336"/>
      <c r="AR63" s="336"/>
      <c r="AS63" s="337"/>
      <c r="AT63" s="337"/>
      <c r="AU63" s="337"/>
      <c r="AV63" s="321">
        <v>-650</v>
      </c>
      <c r="AW63" s="321">
        <v>320</v>
      </c>
      <c r="AX63" s="322">
        <v>-1300</v>
      </c>
      <c r="AY63" s="322">
        <v>550</v>
      </c>
      <c r="AZ63" s="322"/>
      <c r="BA63" s="318"/>
      <c r="BB63" s="318"/>
      <c r="BC63" s="318"/>
      <c r="BD63" s="318"/>
      <c r="BE63" s="318"/>
      <c r="BF63" s="322"/>
      <c r="BG63" s="322"/>
      <c r="BH63" s="321"/>
      <c r="BI63" s="321"/>
      <c r="BJ63" s="344"/>
      <c r="BK63" s="344"/>
      <c r="BL63" s="337"/>
      <c r="BM63" s="337"/>
      <c r="BN63" s="336"/>
      <c r="BO63" s="336"/>
      <c r="BP63" s="345"/>
      <c r="BQ63" s="345"/>
      <c r="BR63" s="346"/>
      <c r="BS63" s="346"/>
      <c r="BT63" s="346"/>
    </row>
    <row r="64" spans="1:72" s="106" customFormat="1" x14ac:dyDescent="0.15">
      <c r="A64" s="132"/>
      <c r="B64" s="92" t="s">
        <v>130</v>
      </c>
      <c r="C64" s="93">
        <v>6</v>
      </c>
      <c r="D64" s="94">
        <v>3.7</v>
      </c>
      <c r="E64" s="95">
        <v>400</v>
      </c>
      <c r="F64" s="96"/>
      <c r="G64" s="96"/>
      <c r="H64" s="97"/>
      <c r="I64" s="97"/>
      <c r="J64" s="97"/>
      <c r="K64" s="98"/>
      <c r="L64" s="98"/>
      <c r="M64" s="98"/>
      <c r="N64" s="99"/>
      <c r="O64" s="99"/>
      <c r="P64" s="99"/>
      <c r="Q64" s="97">
        <v>100</v>
      </c>
      <c r="R64" s="96">
        <v>127</v>
      </c>
      <c r="S64" s="97">
        <f>728+V64</f>
        <v>735</v>
      </c>
      <c r="T64" s="96">
        <f>572+V64</f>
        <v>579</v>
      </c>
      <c r="U64" s="93">
        <f t="shared" si="17"/>
        <v>1307</v>
      </c>
      <c r="V64" s="100">
        <v>7</v>
      </c>
      <c r="W64" s="101">
        <f t="shared" si="18"/>
        <v>1.2089810017271158E-2</v>
      </c>
      <c r="X64" s="102">
        <v>83.6</v>
      </c>
      <c r="Y64" s="103">
        <v>80.2</v>
      </c>
      <c r="Z64" s="104">
        <f t="shared" si="20"/>
        <v>81.900000000000006</v>
      </c>
      <c r="AD64" s="99"/>
      <c r="AE64" s="98"/>
      <c r="AF64" s="99"/>
      <c r="AP64" s="107"/>
      <c r="AQ64" s="107"/>
      <c r="AR64" s="107"/>
      <c r="AS64" s="108"/>
      <c r="AT64" s="108"/>
      <c r="AU64" s="108"/>
      <c r="AV64" s="96"/>
      <c r="AW64" s="96"/>
      <c r="AX64" s="97"/>
      <c r="AY64" s="97"/>
      <c r="AZ64" s="97"/>
      <c r="BA64" s="93"/>
      <c r="BB64" s="93"/>
      <c r="BC64" s="93"/>
      <c r="BD64" s="93"/>
      <c r="BE64" s="93"/>
      <c r="BF64" s="97"/>
      <c r="BG64" s="97"/>
      <c r="BH64" s="96"/>
      <c r="BI64" s="96"/>
      <c r="BJ64" s="110"/>
      <c r="BK64" s="110"/>
      <c r="BL64" s="108"/>
      <c r="BM64" s="108"/>
      <c r="BN64" s="107"/>
      <c r="BO64" s="107"/>
      <c r="BP64" s="111"/>
      <c r="BQ64" s="111"/>
      <c r="BR64" s="112"/>
      <c r="BS64" s="112"/>
      <c r="BT64" s="112"/>
    </row>
    <row r="65" spans="1:72" s="106" customFormat="1" x14ac:dyDescent="0.15">
      <c r="A65" s="132"/>
      <c r="B65" s="92" t="s">
        <v>131</v>
      </c>
      <c r="C65" s="93">
        <v>6</v>
      </c>
      <c r="D65" s="94">
        <v>3.6</v>
      </c>
      <c r="E65" s="95">
        <v>400</v>
      </c>
      <c r="F65" s="96"/>
      <c r="G65" s="96"/>
      <c r="H65" s="97"/>
      <c r="I65" s="97"/>
      <c r="J65" s="97"/>
      <c r="K65" s="98"/>
      <c r="L65" s="98"/>
      <c r="M65" s="98"/>
      <c r="N65" s="99"/>
      <c r="O65" s="99"/>
      <c r="P65" s="99"/>
      <c r="Q65" s="97">
        <v>59</v>
      </c>
      <c r="R65" s="96">
        <v>65</v>
      </c>
      <c r="S65" s="97">
        <v>630</v>
      </c>
      <c r="T65" s="96">
        <v>135</v>
      </c>
      <c r="U65" s="93">
        <f t="shared" si="17"/>
        <v>765</v>
      </c>
      <c r="V65" s="100">
        <v>0</v>
      </c>
      <c r="W65" s="101" t="str">
        <f t="shared" si="18"/>
        <v/>
      </c>
      <c r="X65" s="102">
        <v>93.5</v>
      </c>
      <c r="Y65" s="103">
        <v>68.900000000000006</v>
      </c>
      <c r="Z65" s="104">
        <f t="shared" si="20"/>
        <v>81.2</v>
      </c>
      <c r="AD65" s="99"/>
      <c r="AE65" s="98"/>
      <c r="AF65" s="99"/>
      <c r="AP65" s="107"/>
      <c r="AQ65" s="107"/>
      <c r="AR65" s="107"/>
      <c r="AS65" s="108"/>
      <c r="AT65" s="108"/>
      <c r="AU65" s="108"/>
      <c r="AV65" s="96"/>
      <c r="AW65" s="96"/>
      <c r="AX65" s="97"/>
      <c r="AY65" s="97"/>
      <c r="AZ65" s="97"/>
      <c r="BA65" s="93"/>
      <c r="BB65" s="93"/>
      <c r="BC65" s="93"/>
      <c r="BD65" s="93"/>
      <c r="BE65" s="93"/>
      <c r="BF65" s="97"/>
      <c r="BG65" s="97"/>
      <c r="BH65" s="96"/>
      <c r="BI65" s="96"/>
      <c r="BJ65" s="110"/>
      <c r="BK65" s="110"/>
      <c r="BL65" s="108"/>
      <c r="BM65" s="108"/>
      <c r="BN65" s="107"/>
      <c r="BO65" s="107"/>
      <c r="BP65" s="111"/>
      <c r="BQ65" s="111"/>
      <c r="BR65" s="112"/>
      <c r="BS65" s="112"/>
      <c r="BT65" s="112"/>
    </row>
    <row r="66" spans="1:72" s="327" customFormat="1" x14ac:dyDescent="0.15">
      <c r="A66" s="342"/>
      <c r="B66" s="317" t="s">
        <v>132</v>
      </c>
      <c r="C66" s="318">
        <v>6</v>
      </c>
      <c r="D66" s="319">
        <v>3.5</v>
      </c>
      <c r="E66" s="320">
        <v>300</v>
      </c>
      <c r="F66" s="321"/>
      <c r="G66" s="321"/>
      <c r="H66" s="322"/>
      <c r="I66" s="322"/>
      <c r="J66" s="322"/>
      <c r="K66" s="341"/>
      <c r="L66" s="341"/>
      <c r="M66" s="341"/>
      <c r="N66" s="340"/>
      <c r="O66" s="340"/>
      <c r="P66" s="340"/>
      <c r="Q66" s="322">
        <v>33</v>
      </c>
      <c r="R66" s="321">
        <v>38</v>
      </c>
      <c r="S66" s="322">
        <f>255+V66</f>
        <v>259</v>
      </c>
      <c r="T66" s="321">
        <f>290+V66</f>
        <v>294</v>
      </c>
      <c r="U66" s="318">
        <f t="shared" si="17"/>
        <v>549</v>
      </c>
      <c r="V66" s="343">
        <v>4</v>
      </c>
      <c r="W66" s="323">
        <f>IF(V66&gt;0.9,(IF(S66&gt;T66,V66/T66,V66/S66)),"")</f>
        <v>1.5444015444015444E-2</v>
      </c>
      <c r="X66" s="324">
        <v>64.900000000000006</v>
      </c>
      <c r="Y66" s="325">
        <v>72.599999999999994</v>
      </c>
      <c r="Z66" s="334">
        <f t="shared" si="20"/>
        <v>68.75</v>
      </c>
      <c r="AD66" s="340"/>
      <c r="AE66" s="341"/>
      <c r="AF66" s="340"/>
      <c r="AP66" s="336"/>
      <c r="AQ66" s="336"/>
      <c r="AR66" s="336"/>
      <c r="AS66" s="337"/>
      <c r="AT66" s="337"/>
      <c r="AU66" s="337"/>
      <c r="AV66" s="321"/>
      <c r="AW66" s="321"/>
      <c r="AX66" s="322"/>
      <c r="AY66" s="322"/>
      <c r="AZ66" s="322"/>
      <c r="BA66" s="318"/>
      <c r="BB66" s="318"/>
      <c r="BC66" s="318"/>
      <c r="BD66" s="318"/>
      <c r="BE66" s="318"/>
      <c r="BF66" s="322"/>
      <c r="BG66" s="322"/>
      <c r="BH66" s="321"/>
      <c r="BI66" s="321"/>
      <c r="BJ66" s="344"/>
      <c r="BK66" s="344"/>
      <c r="BL66" s="337"/>
      <c r="BM66" s="337"/>
      <c r="BN66" s="336"/>
      <c r="BO66" s="336"/>
      <c r="BP66" s="345"/>
      <c r="BQ66" s="345"/>
      <c r="BR66" s="346"/>
      <c r="BS66" s="346"/>
      <c r="BT66" s="346"/>
    </row>
    <row r="67" spans="1:72" s="327" customFormat="1" x14ac:dyDescent="0.15">
      <c r="A67" s="342"/>
      <c r="B67" s="317" t="s">
        <v>133</v>
      </c>
      <c r="C67" s="318">
        <v>6</v>
      </c>
      <c r="D67" s="319">
        <v>2.9</v>
      </c>
      <c r="E67" s="320">
        <v>105</v>
      </c>
      <c r="F67" s="321"/>
      <c r="G67" s="321"/>
      <c r="H67" s="322"/>
      <c r="I67" s="322"/>
      <c r="J67" s="322"/>
      <c r="K67" s="341"/>
      <c r="L67" s="341"/>
      <c r="M67" s="341"/>
      <c r="N67" s="340"/>
      <c r="O67" s="340"/>
      <c r="P67" s="340"/>
      <c r="Q67" s="322">
        <v>112</v>
      </c>
      <c r="R67" s="321">
        <v>14</v>
      </c>
      <c r="S67" s="322">
        <f>713+V67</f>
        <v>725</v>
      </c>
      <c r="T67" s="321">
        <f>32+V67</f>
        <v>44</v>
      </c>
      <c r="U67" s="318">
        <f t="shared" si="17"/>
        <v>757</v>
      </c>
      <c r="V67" s="343">
        <v>12</v>
      </c>
      <c r="W67" s="323">
        <f>IF(V67&gt;0.9,(IF(S67&gt;T67,V67/T67,V67/S67)),"")</f>
        <v>0.27272727272727271</v>
      </c>
      <c r="X67" s="324">
        <v>96</v>
      </c>
      <c r="Y67" s="325">
        <v>48.9</v>
      </c>
      <c r="Z67" s="334">
        <f>AVERAGE(X67:Y67)</f>
        <v>72.45</v>
      </c>
      <c r="AD67" s="340"/>
      <c r="AE67" s="341"/>
      <c r="AF67" s="340"/>
      <c r="AP67" s="336"/>
      <c r="AQ67" s="336"/>
      <c r="AR67" s="336"/>
      <c r="AS67" s="337"/>
      <c r="AT67" s="337"/>
      <c r="AU67" s="337"/>
      <c r="AV67" s="321"/>
      <c r="AW67" s="321"/>
      <c r="AX67" s="322"/>
      <c r="AY67" s="322"/>
      <c r="AZ67" s="322"/>
      <c r="BA67" s="318">
        <v>145</v>
      </c>
      <c r="BB67" s="318"/>
      <c r="BC67" s="318">
        <v>-3520</v>
      </c>
      <c r="BD67" s="318">
        <v>3150</v>
      </c>
      <c r="BE67" s="347">
        <v>-185</v>
      </c>
      <c r="BF67" s="348">
        <v>0</v>
      </c>
      <c r="BG67" s="348">
        <v>713</v>
      </c>
      <c r="BH67" s="349">
        <v>0</v>
      </c>
      <c r="BI67" s="349">
        <v>44</v>
      </c>
      <c r="BJ67" s="350">
        <v>0</v>
      </c>
      <c r="BK67" s="350">
        <v>12</v>
      </c>
      <c r="BL67" s="337"/>
      <c r="BM67" s="337"/>
      <c r="BN67" s="336"/>
      <c r="BO67" s="336"/>
      <c r="BP67" s="345"/>
      <c r="BQ67" s="345"/>
      <c r="BR67" s="346"/>
      <c r="BS67" s="346"/>
      <c r="BT67" s="346"/>
    </row>
    <row r="68" spans="1:72" s="335" customFormat="1" x14ac:dyDescent="0.15">
      <c r="A68" s="331">
        <f>COUNT(D52:D68)</f>
        <v>17</v>
      </c>
      <c r="B68" s="339" t="s">
        <v>134</v>
      </c>
      <c r="C68" s="318">
        <v>6</v>
      </c>
      <c r="D68" s="319">
        <v>2.2000000000000002</v>
      </c>
      <c r="E68" s="318">
        <v>940</v>
      </c>
      <c r="F68" s="349"/>
      <c r="G68" s="349"/>
      <c r="H68" s="348"/>
      <c r="I68" s="348"/>
      <c r="J68" s="348"/>
      <c r="K68" s="348"/>
      <c r="L68" s="348"/>
      <c r="M68" s="348"/>
      <c r="N68" s="349"/>
      <c r="O68" s="349"/>
      <c r="P68" s="349"/>
      <c r="Q68" s="348">
        <v>150</v>
      </c>
      <c r="R68" s="349">
        <v>98</v>
      </c>
      <c r="S68" s="348">
        <f>1376+V68</f>
        <v>1393</v>
      </c>
      <c r="T68" s="349">
        <f>271+V68</f>
        <v>288</v>
      </c>
      <c r="U68" s="318">
        <f t="shared" si="17"/>
        <v>1664</v>
      </c>
      <c r="V68" s="351">
        <v>17</v>
      </c>
      <c r="W68" s="323">
        <f>IF(V68&gt;0.9,(IF(S68&gt;T68,V68/T68,V68/S68)),"")</f>
        <v>5.9027777777777776E-2</v>
      </c>
      <c r="X68" s="324">
        <v>96.8</v>
      </c>
      <c r="Y68" s="325">
        <v>88</v>
      </c>
      <c r="Z68" s="334">
        <f t="shared" si="20"/>
        <v>92.4</v>
      </c>
      <c r="AP68" s="336"/>
      <c r="AQ68" s="336"/>
      <c r="AR68" s="336"/>
      <c r="AS68" s="337"/>
      <c r="AT68" s="337"/>
      <c r="AU68" s="337"/>
      <c r="AV68" s="349"/>
      <c r="AW68" s="349"/>
      <c r="AX68" s="348"/>
      <c r="AY68" s="348"/>
      <c r="AZ68" s="348"/>
      <c r="BA68" s="318">
        <v>145</v>
      </c>
      <c r="BB68" s="318"/>
      <c r="BC68" s="318">
        <v>-3520</v>
      </c>
      <c r="BD68" s="318">
        <v>2860</v>
      </c>
      <c r="BE68" s="347">
        <v>-330</v>
      </c>
      <c r="BF68" s="322">
        <v>483</v>
      </c>
      <c r="BG68" s="322">
        <v>994</v>
      </c>
      <c r="BH68" s="321">
        <v>2</v>
      </c>
      <c r="BI68" s="321">
        <v>271</v>
      </c>
      <c r="BJ68" s="344">
        <v>0</v>
      </c>
      <c r="BK68" s="344">
        <v>17</v>
      </c>
      <c r="BL68" s="337"/>
      <c r="BM68" s="337"/>
      <c r="BN68" s="336"/>
      <c r="BO68" s="336"/>
      <c r="BP68" s="345"/>
      <c r="BQ68" s="345"/>
      <c r="BR68" s="346"/>
      <c r="BS68" s="346"/>
      <c r="BT68" s="346"/>
    </row>
    <row r="69" spans="1:72" s="402" customFormat="1" x14ac:dyDescent="0.15">
      <c r="A69" s="411"/>
      <c r="B69" s="402" t="s">
        <v>404</v>
      </c>
      <c r="C69" s="413">
        <v>6</v>
      </c>
      <c r="D69" s="414"/>
      <c r="E69" s="413">
        <v>815</v>
      </c>
      <c r="F69" s="396"/>
      <c r="G69" s="396"/>
      <c r="H69" s="397"/>
      <c r="I69" s="397"/>
      <c r="J69" s="397"/>
      <c r="K69" s="397"/>
      <c r="L69" s="397"/>
      <c r="M69" s="397"/>
      <c r="N69" s="396"/>
      <c r="O69" s="396"/>
      <c r="P69" s="396"/>
      <c r="Q69" s="397"/>
      <c r="R69" s="396"/>
      <c r="S69" s="397">
        <v>59</v>
      </c>
      <c r="T69" s="460">
        <v>25</v>
      </c>
      <c r="U69" s="461">
        <f t="shared" si="17"/>
        <v>84</v>
      </c>
      <c r="V69" s="398">
        <v>0</v>
      </c>
      <c r="W69" s="421"/>
      <c r="X69" s="422">
        <v>100</v>
      </c>
      <c r="Y69" s="423">
        <v>100</v>
      </c>
      <c r="Z69" s="401">
        <f>IF(A69="x","x",IF(X69&gt;1,(IF(S69&gt;1,(IF(S69&gt;T69,(IF((S69/T69)&lt;5,AVERAGE(X69:Y69),"")),IF(S69&lt;T69,(IF((T69/S69)&lt;5,AVERAGE(X69:Y69),""))))),"")),""))</f>
        <v>100</v>
      </c>
      <c r="AP69" s="425"/>
      <c r="AQ69" s="425"/>
      <c r="AR69" s="425"/>
      <c r="AS69" s="426"/>
      <c r="AT69" s="426"/>
      <c r="AU69" s="426"/>
      <c r="AV69" s="396"/>
      <c r="AW69" s="396"/>
      <c r="AX69" s="397"/>
      <c r="AY69" s="397"/>
      <c r="AZ69" s="397"/>
      <c r="BA69" s="413"/>
      <c r="BB69" s="413"/>
      <c r="BC69" s="413"/>
      <c r="BD69" s="413"/>
      <c r="BE69" s="427"/>
      <c r="BF69" s="417"/>
      <c r="BG69" s="417"/>
      <c r="BH69" s="416"/>
      <c r="BI69" s="416"/>
      <c r="BJ69" s="428"/>
      <c r="BK69" s="428"/>
      <c r="BL69" s="426"/>
      <c r="BM69" s="426"/>
      <c r="BN69" s="425"/>
      <c r="BO69" s="425"/>
      <c r="BP69" s="429"/>
      <c r="BQ69" s="429"/>
      <c r="BR69" s="430"/>
      <c r="BS69" s="430"/>
      <c r="BT69" s="430"/>
    </row>
    <row r="70" spans="1:72" s="451" customFormat="1" x14ac:dyDescent="0.15">
      <c r="A70" s="440"/>
      <c r="B70" s="441" t="s">
        <v>412</v>
      </c>
      <c r="C70" s="442">
        <v>6</v>
      </c>
      <c r="D70" s="443"/>
      <c r="E70" s="442">
        <f>500*1.9</f>
        <v>950</v>
      </c>
      <c r="F70" s="444"/>
      <c r="G70" s="444"/>
      <c r="H70" s="445"/>
      <c r="I70" s="445"/>
      <c r="J70" s="445"/>
      <c r="K70" s="445"/>
      <c r="L70" s="445"/>
      <c r="M70" s="445"/>
      <c r="N70" s="444"/>
      <c r="O70" s="444"/>
      <c r="P70" s="444"/>
      <c r="Q70" s="445"/>
      <c r="R70" s="444"/>
      <c r="S70" s="445">
        <v>310</v>
      </c>
      <c r="T70" s="460">
        <v>183</v>
      </c>
      <c r="U70" s="461">
        <f t="shared" si="17"/>
        <v>493</v>
      </c>
      <c r="V70" s="446">
        <v>0</v>
      </c>
      <c r="W70" s="447"/>
      <c r="X70" s="448">
        <v>99.4</v>
      </c>
      <c r="Y70" s="449">
        <v>98.9</v>
      </c>
      <c r="Z70" s="450">
        <f>IF(A70="x","x",IF(X70&gt;1,(IF(S70&gt;1,(IF(S70&gt;T70,(IF((S70/T70)&lt;5,AVERAGE(X70:Y70),"")),IF(S70&lt;T70,(IF((T70/S70)&lt;5,AVERAGE(X70:Y70),""))))),"")),""))</f>
        <v>99.15</v>
      </c>
      <c r="AP70" s="452"/>
      <c r="AQ70" s="452"/>
      <c r="AR70" s="452"/>
      <c r="AS70" s="453"/>
      <c r="AT70" s="453"/>
      <c r="AU70" s="453"/>
      <c r="AV70" s="444"/>
      <c r="AW70" s="444"/>
      <c r="AX70" s="445"/>
      <c r="AY70" s="445"/>
      <c r="AZ70" s="445"/>
      <c r="BA70" s="442"/>
      <c r="BB70" s="442"/>
      <c r="BC70" s="442"/>
      <c r="BD70" s="442"/>
      <c r="BE70" s="454"/>
      <c r="BF70" s="455"/>
      <c r="BG70" s="455"/>
      <c r="BH70" s="456"/>
      <c r="BI70" s="456"/>
      <c r="BJ70" s="457"/>
      <c r="BK70" s="457"/>
      <c r="BL70" s="453"/>
      <c r="BM70" s="453"/>
      <c r="BN70" s="452"/>
      <c r="BO70" s="452"/>
      <c r="BP70" s="458"/>
      <c r="BQ70" s="458"/>
      <c r="BR70" s="459"/>
      <c r="BS70" s="459"/>
      <c r="BT70" s="459"/>
    </row>
    <row r="71" spans="1:72" s="402" customFormat="1" x14ac:dyDescent="0.15">
      <c r="A71" s="392"/>
      <c r="B71" s="393" t="s">
        <v>413</v>
      </c>
      <c r="C71" s="394">
        <v>6</v>
      </c>
      <c r="D71" s="395"/>
      <c r="E71" s="394">
        <v>790</v>
      </c>
      <c r="F71" s="396"/>
      <c r="G71" s="396"/>
      <c r="H71" s="397"/>
      <c r="I71" s="397"/>
      <c r="J71" s="397"/>
      <c r="K71" s="397"/>
      <c r="L71" s="397"/>
      <c r="M71" s="397"/>
      <c r="N71" s="396"/>
      <c r="O71" s="396"/>
      <c r="P71" s="396"/>
      <c r="Q71" s="397"/>
      <c r="R71" s="396"/>
      <c r="S71" s="397">
        <v>95</v>
      </c>
      <c r="T71" s="460">
        <v>129</v>
      </c>
      <c r="U71" s="461">
        <f t="shared" si="17"/>
        <v>224</v>
      </c>
      <c r="V71" s="398">
        <v>0</v>
      </c>
      <c r="W71" s="393"/>
      <c r="X71" s="399">
        <v>100</v>
      </c>
      <c r="Y71" s="400">
        <v>99.6</v>
      </c>
      <c r="Z71" s="401">
        <f t="shared" si="20"/>
        <v>99.8</v>
      </c>
      <c r="AP71" s="403"/>
      <c r="AQ71" s="403"/>
      <c r="AR71" s="403"/>
      <c r="AS71" s="404"/>
      <c r="AT71" s="404"/>
      <c r="AU71" s="404"/>
      <c r="AV71" s="396"/>
      <c r="AW71" s="396"/>
      <c r="AX71" s="397"/>
      <c r="AY71" s="397"/>
      <c r="AZ71" s="397"/>
      <c r="BA71" s="394"/>
      <c r="BB71" s="394"/>
      <c r="BC71" s="394"/>
      <c r="BD71" s="394"/>
      <c r="BE71" s="405"/>
      <c r="BF71" s="406"/>
      <c r="BG71" s="406"/>
      <c r="BH71" s="407"/>
      <c r="BI71" s="407"/>
      <c r="BJ71" s="408"/>
      <c r="BK71" s="408"/>
      <c r="BL71" s="404"/>
      <c r="BM71" s="404"/>
      <c r="BN71" s="403"/>
      <c r="BO71" s="403"/>
      <c r="BP71" s="409"/>
      <c r="BQ71" s="409"/>
      <c r="BR71" s="410"/>
      <c r="BS71" s="410"/>
      <c r="BT71" s="410"/>
    </row>
    <row r="72" spans="1:72" s="70" customFormat="1" x14ac:dyDescent="0.15">
      <c r="A72" s="114" t="s">
        <v>135</v>
      </c>
      <c r="B72" s="82">
        <f>STDEV(D52:D68)</f>
        <v>0.70398654733135879</v>
      </c>
      <c r="D72" s="115">
        <f>AVERAGE(D52:D68)</f>
        <v>3.467058823529412</v>
      </c>
      <c r="E72" s="73">
        <f>MEDIAN(E52:E68)</f>
        <v>207</v>
      </c>
      <c r="F72" s="73">
        <f>STDEV(E52:E67)</f>
        <v>138.95604820709795</v>
      </c>
      <c r="G72" s="73"/>
      <c r="H72" s="73"/>
      <c r="I72" s="73"/>
      <c r="J72" s="73"/>
      <c r="Q72" s="73"/>
      <c r="R72" s="73"/>
      <c r="S72" s="73">
        <f>AVERAGE(S52:S67)</f>
        <v>447.6875</v>
      </c>
      <c r="T72" s="73">
        <f>AVERAGE(T52:T53)</f>
        <v>337</v>
      </c>
      <c r="U72" s="73">
        <f>SUM(S72:T72)</f>
        <v>784.6875</v>
      </c>
      <c r="V72" s="116"/>
      <c r="W72" s="133"/>
      <c r="X72" s="82"/>
      <c r="Y72" s="82"/>
      <c r="Z72" s="82">
        <f>MEDIAN(Z52:Z67)</f>
        <v>76.375</v>
      </c>
      <c r="AA72" s="83">
        <f>STDEV(Z52:Z67)</f>
        <v>11.759207385420675</v>
      </c>
      <c r="AG72" s="70">
        <f>(AI72/AVERAGE(AG52:AG67))*AG3</f>
        <v>0</v>
      </c>
      <c r="AH72" s="84">
        <f>AVERAGE(AH52:AH68)</f>
        <v>0.2977514099697538</v>
      </c>
      <c r="AI72" s="70">
        <f t="shared" ref="AI72:AU72" si="24">AVERAGE(AI52:AI67)</f>
        <v>8.9068000000000005</v>
      </c>
      <c r="AP72" s="133">
        <f t="shared" si="24"/>
        <v>0.34276809656785751</v>
      </c>
      <c r="AQ72" s="133">
        <f t="shared" si="24"/>
        <v>6.5944259396284843E-2</v>
      </c>
      <c r="AR72" s="133">
        <f t="shared" si="24"/>
        <v>1.9059263718112361E-2</v>
      </c>
      <c r="AS72" s="133">
        <f t="shared" si="24"/>
        <v>0.27625270453828726</v>
      </c>
      <c r="AT72" s="133">
        <f t="shared" si="24"/>
        <v>3.7962841331549139E-2</v>
      </c>
      <c r="AU72" s="133">
        <f t="shared" si="24"/>
        <v>1.3216899691957341E-2</v>
      </c>
      <c r="AV72" s="73"/>
      <c r="AW72" s="73"/>
      <c r="AX72" s="73"/>
      <c r="AY72" s="73"/>
      <c r="AZ72" s="73"/>
      <c r="BA72" s="138"/>
      <c r="BB72" s="138"/>
      <c r="BC72" s="138"/>
      <c r="BD72" s="138"/>
      <c r="BE72" s="138"/>
      <c r="BF72" s="139"/>
      <c r="BG72" s="139"/>
      <c r="BH72" s="140"/>
      <c r="BI72" s="140"/>
      <c r="BJ72" s="141"/>
      <c r="BK72" s="141"/>
      <c r="BL72" s="142"/>
      <c r="BM72" s="142"/>
      <c r="BN72" s="143"/>
      <c r="BO72" s="143"/>
      <c r="BP72" s="144"/>
      <c r="BQ72" s="144"/>
      <c r="BR72" s="145"/>
      <c r="BS72" s="145"/>
      <c r="BT72" s="145"/>
    </row>
    <row r="73" spans="1:72" s="106" customFormat="1" x14ac:dyDescent="0.15">
      <c r="A73" s="146" t="s">
        <v>136</v>
      </c>
      <c r="B73" s="92" t="s">
        <v>137</v>
      </c>
      <c r="C73" s="93">
        <v>8</v>
      </c>
      <c r="D73" s="94">
        <v>4.99</v>
      </c>
      <c r="E73" s="95">
        <v>80</v>
      </c>
      <c r="F73" s="96"/>
      <c r="G73" s="96"/>
      <c r="H73" s="97"/>
      <c r="I73" s="97"/>
      <c r="J73" s="97"/>
      <c r="K73" s="98"/>
      <c r="L73" s="98"/>
      <c r="M73" s="98"/>
      <c r="N73" s="99"/>
      <c r="O73" s="99"/>
      <c r="P73" s="99"/>
      <c r="Q73" s="97">
        <v>43</v>
      </c>
      <c r="R73" s="96">
        <v>77</v>
      </c>
      <c r="S73" s="97">
        <f>314+V73</f>
        <v>490</v>
      </c>
      <c r="T73" s="96">
        <f>435+V73</f>
        <v>611</v>
      </c>
      <c r="U73" s="93">
        <f t="shared" ref="U73:U98" si="25">IF(S73&gt;0.9,SUM(S73:T73)-V73,"")</f>
        <v>925</v>
      </c>
      <c r="V73" s="100">
        <v>176</v>
      </c>
      <c r="W73" s="101">
        <f t="shared" ref="W73:W98" si="26">IF(V73&gt;0.9,(IF(S73&gt;T73,V73/T73,V73/S73)),"")</f>
        <v>0.35918367346938773</v>
      </c>
      <c r="X73" s="102">
        <v>50.8</v>
      </c>
      <c r="Y73" s="103">
        <v>59.7</v>
      </c>
      <c r="Z73" s="104">
        <f>IF(A73="x","x",IF(X73&gt;1,(IF(S73&gt;1,(IF(S73&gt;T73,(IF((S73/T73)&lt;5,AVERAGE(X73:Y73),"")),IF(S73&lt;T73,(IF((T73/S73)&lt;5,AVERAGE(X73:Y73),""))))),"")),""))</f>
        <v>55.25</v>
      </c>
      <c r="AD73" s="99"/>
      <c r="AE73" s="98"/>
      <c r="AF73" s="99"/>
      <c r="AG73" s="106">
        <v>26.872</v>
      </c>
      <c r="AH73" s="106">
        <f t="shared" ref="AH73:AH82" si="27">AI73/AG73</f>
        <v>0.28829264662101817</v>
      </c>
      <c r="AI73" s="106">
        <v>7.7469999999999999</v>
      </c>
      <c r="AP73" s="147">
        <f>1.045/AI73</f>
        <v>0.13489092551955595</v>
      </c>
      <c r="AQ73" s="147">
        <f>0.157/AI73</f>
        <v>2.0265909384277785E-2</v>
      </c>
      <c r="AR73" s="147">
        <f>0.015/AI73</f>
        <v>1.9362333806634826E-3</v>
      </c>
      <c r="AS73" s="108">
        <f>1.3/AI73</f>
        <v>0.16780689299083518</v>
      </c>
      <c r="AT73" s="108">
        <f>0.128/AI73</f>
        <v>1.6522524848328387E-2</v>
      </c>
      <c r="AU73" s="108">
        <f>0.015/AI73</f>
        <v>1.9362333806634826E-3</v>
      </c>
      <c r="AV73" s="96">
        <v>-1200</v>
      </c>
      <c r="AW73" s="96">
        <v>-1117</v>
      </c>
      <c r="AX73" s="97">
        <v>-1350</v>
      </c>
      <c r="AY73" s="97">
        <v>-1067</v>
      </c>
      <c r="AZ73" s="97"/>
      <c r="BA73" s="93"/>
      <c r="BB73" s="93"/>
      <c r="BC73" s="93"/>
      <c r="BD73" s="93"/>
      <c r="BE73" s="93"/>
      <c r="BF73" s="97"/>
      <c r="BG73" s="97"/>
      <c r="BH73" s="96"/>
      <c r="BI73" s="96"/>
      <c r="BJ73" s="110"/>
      <c r="BK73" s="110"/>
      <c r="BL73" s="108"/>
      <c r="BM73" s="108"/>
      <c r="BN73" s="107"/>
      <c r="BO73" s="107"/>
      <c r="BP73" s="111"/>
      <c r="BQ73" s="111"/>
      <c r="BR73" s="112"/>
      <c r="BS73" s="112"/>
      <c r="BT73" s="112"/>
    </row>
    <row r="74" spans="1:72" s="106" customFormat="1" x14ac:dyDescent="0.15">
      <c r="A74" s="146"/>
      <c r="B74" s="92" t="s">
        <v>138</v>
      </c>
      <c r="C74" s="93">
        <v>8</v>
      </c>
      <c r="D74" s="94">
        <v>4.2</v>
      </c>
      <c r="E74" s="95">
        <v>281</v>
      </c>
      <c r="F74" s="96">
        <v>447</v>
      </c>
      <c r="G74" s="96"/>
      <c r="H74" s="97">
        <v>473</v>
      </c>
      <c r="I74" s="97"/>
      <c r="J74" s="97"/>
      <c r="K74" s="98"/>
      <c r="L74" s="98"/>
      <c r="M74" s="98"/>
      <c r="N74" s="99"/>
      <c r="O74" s="99"/>
      <c r="P74" s="99"/>
      <c r="Q74" s="97">
        <v>103</v>
      </c>
      <c r="R74" s="96">
        <v>75</v>
      </c>
      <c r="S74" s="97">
        <f>891+V74</f>
        <v>894</v>
      </c>
      <c r="T74" s="96">
        <f>700+V74</f>
        <v>703</v>
      </c>
      <c r="U74" s="93">
        <f t="shared" si="25"/>
        <v>1594</v>
      </c>
      <c r="V74" s="100">
        <v>3</v>
      </c>
      <c r="W74" s="101">
        <f t="shared" si="26"/>
        <v>4.2674253200568994E-3</v>
      </c>
      <c r="X74" s="102">
        <v>87.9</v>
      </c>
      <c r="Y74" s="103">
        <v>83.1</v>
      </c>
      <c r="Z74" s="104">
        <f t="shared" ref="Z74:Z98" si="28">IF(A74="x","x",IF(X74&gt;1,(IF(S74&gt;1,(IF(S74&gt;T74,(IF((S74/T74)&lt;5,AVERAGE(X74:Y74),"")),IF(S74&lt;T74,(IF((T74/S74)&lt;5,AVERAGE(X74:Y74),""))))),"")),""))</f>
        <v>85.5</v>
      </c>
      <c r="AD74" s="99"/>
      <c r="AE74" s="98"/>
      <c r="AF74" s="99"/>
      <c r="AG74" s="106">
        <v>54.997999999999998</v>
      </c>
      <c r="AH74" s="106">
        <f>AI74/AG74</f>
        <v>0.33726680970217099</v>
      </c>
      <c r="AI74" s="106">
        <v>18.548999999999999</v>
      </c>
      <c r="AP74" s="147">
        <f>3.268/AI74</f>
        <v>0.17618200442072349</v>
      </c>
      <c r="AQ74" s="147">
        <f>0.458/AI74</f>
        <v>2.469135802469136E-2</v>
      </c>
      <c r="AR74" s="147">
        <f>0.221/AI74</f>
        <v>1.191438891584452E-2</v>
      </c>
      <c r="AS74" s="108">
        <f>4.49/AI74</f>
        <v>0.24206156666127557</v>
      </c>
      <c r="AT74" s="108">
        <f>0.53/AI74</f>
        <v>2.8572968893201791E-2</v>
      </c>
      <c r="AU74" s="108">
        <f>0.281/AI74</f>
        <v>1.5149064639603214E-2</v>
      </c>
      <c r="AV74" s="96">
        <v>-1317</v>
      </c>
      <c r="AW74" s="96">
        <v>-133</v>
      </c>
      <c r="AX74" s="97">
        <v>-483</v>
      </c>
      <c r="AY74" s="97">
        <v>-167</v>
      </c>
      <c r="AZ74" s="97"/>
      <c r="BA74" s="93">
        <v>155</v>
      </c>
      <c r="BB74" s="93"/>
      <c r="BC74" s="93">
        <v>-3780</v>
      </c>
      <c r="BD74" s="93">
        <v>3970</v>
      </c>
      <c r="BE74" s="93">
        <v>275</v>
      </c>
      <c r="BF74" s="97">
        <v>0</v>
      </c>
      <c r="BG74" s="97">
        <v>891</v>
      </c>
      <c r="BH74" s="96">
        <v>700</v>
      </c>
      <c r="BI74" s="96">
        <v>0</v>
      </c>
      <c r="BJ74" s="110">
        <v>0</v>
      </c>
      <c r="BK74" s="110">
        <v>3</v>
      </c>
      <c r="BL74" s="108">
        <f>BF74/($S74-$V74)</f>
        <v>0</v>
      </c>
      <c r="BM74" s="108">
        <f>BG74/($S74-$V74)</f>
        <v>1</v>
      </c>
      <c r="BN74" s="107">
        <f>BH74/($T74-$V74)</f>
        <v>1</v>
      </c>
      <c r="BO74" s="107">
        <f>BI74/($T74-$V74)</f>
        <v>0</v>
      </c>
      <c r="BP74" s="111">
        <f>BJ74/$V74</f>
        <v>0</v>
      </c>
      <c r="BQ74" s="111">
        <f>BK74/$V74</f>
        <v>1</v>
      </c>
      <c r="BR74" s="112">
        <f>IF((BL74+BM74)=1,BL74,"CHECK red")</f>
        <v>0</v>
      </c>
      <c r="BS74" s="112">
        <f>IF((BN74+BO74)=1,BN74,"CHECK gre")</f>
        <v>1</v>
      </c>
      <c r="BT74" s="112">
        <f>IF((BP74+BQ74)=1,BP74,"CHECK dou")</f>
        <v>0</v>
      </c>
    </row>
    <row r="75" spans="1:72" s="106" customFormat="1" x14ac:dyDescent="0.15">
      <c r="A75" s="146"/>
      <c r="B75" s="92" t="s">
        <v>139</v>
      </c>
      <c r="C75" s="93">
        <v>8</v>
      </c>
      <c r="D75" s="94">
        <v>5.6</v>
      </c>
      <c r="E75" s="95">
        <v>101</v>
      </c>
      <c r="F75" s="96"/>
      <c r="G75" s="96"/>
      <c r="H75" s="97"/>
      <c r="I75" s="97"/>
      <c r="J75" s="97"/>
      <c r="K75" s="98"/>
      <c r="L75" s="98"/>
      <c r="M75" s="98"/>
      <c r="N75" s="99"/>
      <c r="O75" s="99"/>
      <c r="P75" s="99"/>
      <c r="Q75" s="97">
        <v>66</v>
      </c>
      <c r="R75" s="96">
        <v>69</v>
      </c>
      <c r="S75" s="97">
        <f>361+V75</f>
        <v>378</v>
      </c>
      <c r="T75" s="96">
        <f>242+V75</f>
        <v>259</v>
      </c>
      <c r="U75" s="93">
        <f t="shared" si="25"/>
        <v>620</v>
      </c>
      <c r="V75" s="100">
        <v>17</v>
      </c>
      <c r="W75" s="101">
        <f t="shared" si="26"/>
        <v>6.5637065637065631E-2</v>
      </c>
      <c r="X75" s="102">
        <v>78.400000000000006</v>
      </c>
      <c r="Y75" s="103">
        <v>68.900000000000006</v>
      </c>
      <c r="Z75" s="104">
        <f t="shared" si="28"/>
        <v>73.650000000000006</v>
      </c>
      <c r="AD75" s="99"/>
      <c r="AE75" s="98"/>
      <c r="AF75" s="99"/>
      <c r="AG75" s="106">
        <v>30.620999999999999</v>
      </c>
      <c r="AH75" s="106">
        <f t="shared" si="27"/>
        <v>0.37908624799973878</v>
      </c>
      <c r="AI75" s="106">
        <v>11.608000000000001</v>
      </c>
      <c r="AP75" s="147">
        <f>0.716/AI75</f>
        <v>6.1681598897312194E-2</v>
      </c>
      <c r="AQ75" s="147">
        <f>0.109/AI75</f>
        <v>9.3900758097863538E-3</v>
      </c>
      <c r="AR75" s="147">
        <f>0.032/AI75</f>
        <v>2.7567195037904893E-3</v>
      </c>
      <c r="AS75" s="108"/>
      <c r="AT75" s="108"/>
      <c r="AU75" s="108"/>
      <c r="AV75" s="96">
        <v>-1000</v>
      </c>
      <c r="AW75" s="96">
        <v>200</v>
      </c>
      <c r="AX75" s="97">
        <v>-780</v>
      </c>
      <c r="AY75" s="97">
        <v>130</v>
      </c>
      <c r="AZ75" s="97"/>
      <c r="BA75" s="93"/>
      <c r="BB75" s="93"/>
      <c r="BC75" s="93"/>
      <c r="BD75" s="93"/>
      <c r="BE75" s="93"/>
      <c r="BF75" s="97"/>
      <c r="BG75" s="97"/>
      <c r="BH75" s="96"/>
      <c r="BI75" s="96"/>
      <c r="BJ75" s="110"/>
      <c r="BK75" s="110"/>
      <c r="BL75" s="108"/>
      <c r="BM75" s="108"/>
      <c r="BN75" s="107"/>
      <c r="BO75" s="107"/>
      <c r="BP75" s="111"/>
      <c r="BQ75" s="111"/>
      <c r="BR75" s="112"/>
      <c r="BS75" s="112"/>
      <c r="BT75" s="112"/>
    </row>
    <row r="76" spans="1:72" s="106" customFormat="1" x14ac:dyDescent="0.15">
      <c r="A76" s="146"/>
      <c r="B76" s="92" t="s">
        <v>140</v>
      </c>
      <c r="C76" s="93">
        <v>8</v>
      </c>
      <c r="D76" s="94">
        <v>5.3</v>
      </c>
      <c r="E76" s="95">
        <v>40</v>
      </c>
      <c r="F76" s="96">
        <v>352</v>
      </c>
      <c r="G76" s="96"/>
      <c r="H76" s="97">
        <v>342</v>
      </c>
      <c r="I76" s="97"/>
      <c r="J76" s="97"/>
      <c r="K76" s="98"/>
      <c r="L76" s="98"/>
      <c r="M76" s="98"/>
      <c r="N76" s="99"/>
      <c r="O76" s="99"/>
      <c r="P76" s="99"/>
      <c r="Q76" s="97">
        <v>74</v>
      </c>
      <c r="R76" s="96">
        <v>55</v>
      </c>
      <c r="S76" s="97">
        <f>313+V76</f>
        <v>368</v>
      </c>
      <c r="T76" s="96">
        <f>101+V76</f>
        <v>156</v>
      </c>
      <c r="U76" s="93">
        <f t="shared" si="25"/>
        <v>469</v>
      </c>
      <c r="V76" s="100">
        <v>55</v>
      </c>
      <c r="W76" s="101">
        <f t="shared" si="26"/>
        <v>0.35256410256410259</v>
      </c>
      <c r="X76" s="102">
        <v>72.099999999999994</v>
      </c>
      <c r="Y76" s="103">
        <v>41</v>
      </c>
      <c r="Z76" s="104">
        <f t="shared" si="28"/>
        <v>56.55</v>
      </c>
      <c r="AD76" s="99"/>
      <c r="AE76" s="98"/>
      <c r="AF76" s="99"/>
      <c r="AG76" s="106">
        <v>30.457999999999998</v>
      </c>
      <c r="AH76" s="106">
        <f t="shared" si="27"/>
        <v>0.33744828944776417</v>
      </c>
      <c r="AI76" s="106">
        <v>10.278</v>
      </c>
      <c r="AP76" s="147">
        <f>0.214/AI76</f>
        <v>2.0821171434131154E-2</v>
      </c>
      <c r="AQ76" s="147">
        <f>0.081/AI76</f>
        <v>7.8809106830122592E-3</v>
      </c>
      <c r="AR76" s="147">
        <f>0.023/AI76</f>
        <v>2.2377894532010119E-3</v>
      </c>
      <c r="AS76" s="108">
        <f>0.56/AI76</f>
        <v>5.4485308425763768E-2</v>
      </c>
      <c r="AT76" s="108">
        <f>0.163/AI76</f>
        <v>1.5859116559641954E-2</v>
      </c>
      <c r="AU76" s="108">
        <f>0.051/AI76</f>
        <v>4.9620548744891994E-3</v>
      </c>
      <c r="AV76" s="96">
        <v>-1183</v>
      </c>
      <c r="AW76" s="96">
        <v>-1150</v>
      </c>
      <c r="AX76" s="97">
        <v>-1320</v>
      </c>
      <c r="AY76" s="97">
        <v>-1160</v>
      </c>
      <c r="AZ76" s="97"/>
      <c r="BA76" s="93">
        <v>160</v>
      </c>
      <c r="BB76" s="93"/>
      <c r="BC76" s="93">
        <v>-1670</v>
      </c>
      <c r="BD76" s="93">
        <v>6330</v>
      </c>
      <c r="BE76" s="93">
        <v>1705</v>
      </c>
      <c r="BF76" s="97">
        <v>0</v>
      </c>
      <c r="BG76" s="97">
        <v>313</v>
      </c>
      <c r="BH76" s="96">
        <v>0</v>
      </c>
      <c r="BI76" s="96">
        <v>156</v>
      </c>
      <c r="BJ76" s="110">
        <v>55</v>
      </c>
      <c r="BK76" s="110">
        <v>0</v>
      </c>
      <c r="BL76" s="108">
        <f>BF76/($S76-$V76)</f>
        <v>0</v>
      </c>
      <c r="BM76" s="108">
        <f>BG76/($S76-$V76)</f>
        <v>1</v>
      </c>
      <c r="BN76" s="107">
        <f>BH76/($T76)</f>
        <v>0</v>
      </c>
      <c r="BO76" s="107">
        <f>BI76/($T76)</f>
        <v>1</v>
      </c>
      <c r="BP76" s="111">
        <f>BJ76/$V76</f>
        <v>1</v>
      </c>
      <c r="BQ76" s="111">
        <f>BK76/$V76</f>
        <v>0</v>
      </c>
      <c r="BR76" s="112">
        <f>IF((BL76+BM76)=1,BL76,"CHECK red")</f>
        <v>0</v>
      </c>
      <c r="BS76" s="112">
        <f>IF((BN76+BO76)=1,BN76,"CHECK gre")</f>
        <v>0</v>
      </c>
      <c r="BT76" s="112">
        <f>IF((BP76+BQ76)=1,BP76,"CHECK dou")</f>
        <v>1</v>
      </c>
    </row>
    <row r="77" spans="1:72" s="327" customFormat="1" x14ac:dyDescent="0.15">
      <c r="A77" s="338"/>
      <c r="B77" s="317" t="s">
        <v>141</v>
      </c>
      <c r="C77" s="318">
        <v>8</v>
      </c>
      <c r="D77" s="319">
        <v>3.3</v>
      </c>
      <c r="E77" s="352">
        <v>195</v>
      </c>
      <c r="F77" s="321"/>
      <c r="G77" s="321"/>
      <c r="H77" s="322"/>
      <c r="I77" s="322"/>
      <c r="J77" s="322"/>
      <c r="K77" s="341"/>
      <c r="L77" s="341"/>
      <c r="M77" s="341"/>
      <c r="N77" s="340"/>
      <c r="O77" s="340"/>
      <c r="P77" s="340"/>
      <c r="Q77" s="322">
        <v>38</v>
      </c>
      <c r="R77" s="321">
        <v>15</v>
      </c>
      <c r="S77" s="322">
        <v>271</v>
      </c>
      <c r="T77" s="321">
        <v>49</v>
      </c>
      <c r="U77" s="318">
        <f t="shared" si="25"/>
        <v>320</v>
      </c>
      <c r="V77" s="343">
        <v>0</v>
      </c>
      <c r="W77" s="323" t="str">
        <f t="shared" si="26"/>
        <v/>
      </c>
      <c r="X77" s="324">
        <v>94.1</v>
      </c>
      <c r="Y77" s="325">
        <v>65.3</v>
      </c>
      <c r="Z77" s="334">
        <f>AVERAGE(X77:Y77)</f>
        <v>79.699999999999989</v>
      </c>
      <c r="AD77" s="340"/>
      <c r="AE77" s="341"/>
      <c r="AF77" s="340"/>
      <c r="AG77" s="327">
        <v>30.620999999999999</v>
      </c>
      <c r="AH77" s="327">
        <f t="shared" si="27"/>
        <v>0.30567257764279415</v>
      </c>
      <c r="AI77" s="327">
        <v>9.36</v>
      </c>
      <c r="AP77" s="328"/>
      <c r="AQ77" s="328"/>
      <c r="AR77" s="328"/>
      <c r="AS77" s="337">
        <f>(0.438+0.39)/AI77</f>
        <v>8.846153846153848E-2</v>
      </c>
      <c r="AT77" s="337">
        <f>(0.136+0.125)/AI77</f>
        <v>2.7884615384615386E-2</v>
      </c>
      <c r="AU77" s="337">
        <f>(0.062+0.038)/AI77</f>
        <v>1.0683760683760686E-2</v>
      </c>
      <c r="AV77" s="321"/>
      <c r="AW77" s="321"/>
      <c r="AX77" s="322"/>
      <c r="AY77" s="322"/>
      <c r="AZ77" s="322"/>
      <c r="BA77" s="318"/>
      <c r="BB77" s="318"/>
      <c r="BC77" s="318"/>
      <c r="BD77" s="318"/>
      <c r="BE77" s="318"/>
      <c r="BF77" s="322"/>
      <c r="BG77" s="322"/>
      <c r="BH77" s="321"/>
      <c r="BI77" s="321"/>
      <c r="BJ77" s="344"/>
      <c r="BK77" s="344"/>
      <c r="BL77" s="337"/>
      <c r="BM77" s="337"/>
      <c r="BN77" s="336"/>
      <c r="BO77" s="336"/>
      <c r="BP77" s="345"/>
      <c r="BQ77" s="345"/>
      <c r="BR77" s="346"/>
      <c r="BS77" s="346"/>
      <c r="BT77" s="346"/>
    </row>
    <row r="78" spans="1:72" s="106" customFormat="1" x14ac:dyDescent="0.15">
      <c r="A78" s="91"/>
      <c r="B78" s="92" t="s">
        <v>142</v>
      </c>
      <c r="C78" s="93">
        <v>8</v>
      </c>
      <c r="D78" s="94">
        <v>2.6</v>
      </c>
      <c r="E78" s="95">
        <v>79</v>
      </c>
      <c r="F78" s="96"/>
      <c r="G78" s="96"/>
      <c r="H78" s="97"/>
      <c r="I78" s="97"/>
      <c r="J78" s="97"/>
      <c r="K78" s="98"/>
      <c r="L78" s="98"/>
      <c r="M78" s="98"/>
      <c r="N78" s="99"/>
      <c r="O78" s="99"/>
      <c r="P78" s="99"/>
      <c r="Q78" s="97">
        <v>57</v>
      </c>
      <c r="R78" s="96">
        <v>72</v>
      </c>
      <c r="S78" s="97">
        <f>434+V78</f>
        <v>445</v>
      </c>
      <c r="T78" s="96">
        <f>321+V78</f>
        <v>332</v>
      </c>
      <c r="U78" s="93">
        <f t="shared" si="25"/>
        <v>766</v>
      </c>
      <c r="V78" s="100">
        <v>11</v>
      </c>
      <c r="W78" s="101">
        <f t="shared" si="26"/>
        <v>3.313253012048193E-2</v>
      </c>
      <c r="X78" s="102">
        <v>69.2</v>
      </c>
      <c r="Y78" s="103">
        <v>63.4</v>
      </c>
      <c r="Z78" s="104">
        <f t="shared" si="28"/>
        <v>66.3</v>
      </c>
      <c r="AG78" s="106">
        <v>67.834999999999994</v>
      </c>
      <c r="AH78" s="106">
        <f t="shared" si="27"/>
        <v>0.23430382545883396</v>
      </c>
      <c r="AI78" s="106">
        <v>15.894</v>
      </c>
      <c r="AP78" s="147">
        <f>2.452/AI78</f>
        <v>0.15427205234679753</v>
      </c>
      <c r="AQ78" s="147">
        <f>0.235/AI78</f>
        <v>1.4785453630300741E-2</v>
      </c>
      <c r="AR78" s="147">
        <f>0.045/AI78</f>
        <v>2.8312570781426952E-3</v>
      </c>
      <c r="AS78" s="108">
        <f>2.419/AI78</f>
        <v>0.15219579715615955</v>
      </c>
      <c r="AT78" s="108">
        <f>0.521/AI78</f>
        <v>3.277966528249654E-2</v>
      </c>
      <c r="AU78" s="108">
        <f>0.262/AI78</f>
        <v>1.6484207877186359E-2</v>
      </c>
      <c r="AV78" s="96"/>
      <c r="AW78" s="96"/>
      <c r="AX78" s="97"/>
      <c r="AY78" s="97"/>
      <c r="AZ78" s="97"/>
      <c r="BA78" s="93">
        <v>140</v>
      </c>
      <c r="BB78" s="93"/>
      <c r="BC78" s="93"/>
      <c r="BD78" s="93"/>
      <c r="BE78" s="93"/>
      <c r="BF78" s="97"/>
      <c r="BG78" s="97"/>
      <c r="BH78" s="96"/>
      <c r="BI78" s="96"/>
      <c r="BJ78" s="110"/>
      <c r="BK78" s="110"/>
      <c r="BL78" s="108"/>
      <c r="BM78" s="108"/>
      <c r="BN78" s="107"/>
      <c r="BO78" s="107"/>
      <c r="BP78" s="111"/>
      <c r="BQ78" s="111"/>
      <c r="BR78" s="112"/>
      <c r="BS78" s="112"/>
      <c r="BT78" s="112"/>
    </row>
    <row r="79" spans="1:72" s="327" customFormat="1" x14ac:dyDescent="0.15">
      <c r="A79" s="331"/>
      <c r="B79" s="317" t="s">
        <v>143</v>
      </c>
      <c r="C79" s="318">
        <v>8</v>
      </c>
      <c r="D79" s="319">
        <v>2.6</v>
      </c>
      <c r="E79" s="353">
        <v>154</v>
      </c>
      <c r="F79" s="321" t="s">
        <v>144</v>
      </c>
      <c r="G79" s="321"/>
      <c r="H79" s="322"/>
      <c r="I79" s="322"/>
      <c r="J79" s="322"/>
      <c r="K79" s="341"/>
      <c r="L79" s="341"/>
      <c r="M79" s="341"/>
      <c r="N79" s="340"/>
      <c r="O79" s="340"/>
      <c r="P79" s="340"/>
      <c r="Q79" s="322">
        <v>56</v>
      </c>
      <c r="R79" s="321">
        <v>42</v>
      </c>
      <c r="S79" s="322">
        <f>975+V79</f>
        <v>981</v>
      </c>
      <c r="T79" s="321">
        <f>451+V79</f>
        <v>457</v>
      </c>
      <c r="U79" s="318">
        <f t="shared" si="25"/>
        <v>1432</v>
      </c>
      <c r="V79" s="343">
        <v>6</v>
      </c>
      <c r="W79" s="323">
        <f t="shared" si="26"/>
        <v>1.3129102844638949E-2</v>
      </c>
      <c r="X79" s="324">
        <v>72.2</v>
      </c>
      <c r="Y79" s="325">
        <v>45.5</v>
      </c>
      <c r="Z79" s="334">
        <f t="shared" si="28"/>
        <v>58.85</v>
      </c>
      <c r="AG79" s="327">
        <v>68.343000000000004</v>
      </c>
      <c r="AH79" s="327">
        <f t="shared" si="27"/>
        <v>0.24924279004433517</v>
      </c>
      <c r="AI79" s="327">
        <v>17.033999999999999</v>
      </c>
      <c r="AP79" s="329">
        <f>5.46/AI79</f>
        <v>0.32053539978865797</v>
      </c>
      <c r="AQ79" s="329">
        <f>0.472/AI79</f>
        <v>2.7709287307737467E-2</v>
      </c>
      <c r="AR79" s="329">
        <f>0.171/AI79</f>
        <v>1.0038746037337091E-2</v>
      </c>
      <c r="AS79" s="337">
        <f>6.429/AI79</f>
        <v>0.37742162733356821</v>
      </c>
      <c r="AT79" s="337">
        <f>0.779/AI79</f>
        <v>4.5732065281202307E-2</v>
      </c>
      <c r="AU79" s="337">
        <f>0.227/AI79</f>
        <v>1.3326288599272046E-2</v>
      </c>
      <c r="AV79" s="321"/>
      <c r="AW79" s="321"/>
      <c r="AX79" s="322"/>
      <c r="AY79" s="322"/>
      <c r="AZ79" s="322"/>
      <c r="BA79" s="318">
        <v>140</v>
      </c>
      <c r="BB79" s="318"/>
      <c r="BC79" s="318"/>
      <c r="BD79" s="318"/>
      <c r="BE79" s="318"/>
      <c r="BF79" s="322"/>
      <c r="BG79" s="322"/>
      <c r="BH79" s="321"/>
      <c r="BI79" s="321"/>
      <c r="BJ79" s="344"/>
      <c r="BK79" s="344"/>
      <c r="BL79" s="337"/>
      <c r="BM79" s="337"/>
      <c r="BN79" s="336"/>
      <c r="BO79" s="336"/>
      <c r="BP79" s="345"/>
      <c r="BQ79" s="345"/>
      <c r="BR79" s="346"/>
      <c r="BS79" s="346"/>
      <c r="BT79" s="346"/>
    </row>
    <row r="80" spans="1:72" s="327" customFormat="1" x14ac:dyDescent="0.15">
      <c r="A80" s="331"/>
      <c r="B80" s="317" t="s">
        <v>145</v>
      </c>
      <c r="C80" s="318">
        <v>8</v>
      </c>
      <c r="D80" s="319">
        <v>2.4</v>
      </c>
      <c r="E80" s="320">
        <v>124</v>
      </c>
      <c r="F80" s="321"/>
      <c r="G80" s="321"/>
      <c r="H80" s="322"/>
      <c r="I80" s="322"/>
      <c r="J80" s="322"/>
      <c r="K80" s="341"/>
      <c r="L80" s="341"/>
      <c r="M80" s="341"/>
      <c r="N80" s="340"/>
      <c r="O80" s="340"/>
      <c r="P80" s="340"/>
      <c r="Q80" s="322">
        <v>76</v>
      </c>
      <c r="R80" s="321">
        <v>67</v>
      </c>
      <c r="S80" s="322">
        <f>1121+V80</f>
        <v>1142</v>
      </c>
      <c r="T80" s="321">
        <f>500+V80</f>
        <v>521</v>
      </c>
      <c r="U80" s="318">
        <f t="shared" si="25"/>
        <v>1642</v>
      </c>
      <c r="V80" s="343">
        <v>21</v>
      </c>
      <c r="W80" s="323">
        <f t="shared" si="26"/>
        <v>4.0307101727447218E-2</v>
      </c>
      <c r="X80" s="324">
        <v>68.3</v>
      </c>
      <c r="Y80" s="325">
        <v>36.799999999999997</v>
      </c>
      <c r="Z80" s="334">
        <f t="shared" si="28"/>
        <v>52.55</v>
      </c>
      <c r="AG80" s="327">
        <v>68.852999999999994</v>
      </c>
      <c r="AH80" s="327">
        <f t="shared" si="27"/>
        <v>0.19412371283749438</v>
      </c>
      <c r="AI80" s="327">
        <v>13.366</v>
      </c>
      <c r="AP80" s="328">
        <f>3.857/AI80</f>
        <v>0.28856800837947033</v>
      </c>
      <c r="AQ80" s="328">
        <f>0.406/AI80</f>
        <v>3.037557982941793E-2</v>
      </c>
      <c r="AR80" s="328">
        <f>0.084/AI80</f>
        <v>6.2846027233278475E-3</v>
      </c>
      <c r="AS80" s="337">
        <f>5.965/AI80</f>
        <v>0.44628161005536438</v>
      </c>
      <c r="AT80" s="337">
        <f>0.581/AI80</f>
        <v>4.3468502169684273E-2</v>
      </c>
      <c r="AU80" s="337">
        <f>0.191/AI80</f>
        <v>1.4289989525662128E-2</v>
      </c>
      <c r="AV80" s="321"/>
      <c r="AW80" s="321"/>
      <c r="AX80" s="322"/>
      <c r="AY80" s="322"/>
      <c r="AZ80" s="322"/>
      <c r="BA80" s="318">
        <v>140</v>
      </c>
      <c r="BB80" s="318"/>
      <c r="BC80" s="318"/>
      <c r="BD80" s="318"/>
      <c r="BE80" s="318"/>
      <c r="BF80" s="322"/>
      <c r="BG80" s="322"/>
      <c r="BH80" s="321"/>
      <c r="BI80" s="321"/>
      <c r="BJ80" s="344"/>
      <c r="BK80" s="344"/>
      <c r="BL80" s="337"/>
      <c r="BM80" s="337"/>
      <c r="BN80" s="336"/>
      <c r="BO80" s="336"/>
      <c r="BP80" s="345"/>
      <c r="BQ80" s="345"/>
      <c r="BR80" s="346"/>
      <c r="BS80" s="346"/>
      <c r="BT80" s="346"/>
    </row>
    <row r="81" spans="1:95" s="106" customFormat="1" x14ac:dyDescent="0.15">
      <c r="A81" s="91"/>
      <c r="B81" s="92" t="s">
        <v>146</v>
      </c>
      <c r="C81" s="93">
        <v>8</v>
      </c>
      <c r="D81" s="94">
        <v>2.4</v>
      </c>
      <c r="E81" s="95">
        <v>157</v>
      </c>
      <c r="F81" s="96"/>
      <c r="G81" s="96"/>
      <c r="H81" s="97"/>
      <c r="I81" s="97"/>
      <c r="J81" s="97"/>
      <c r="K81" s="98"/>
      <c r="L81" s="98"/>
      <c r="M81" s="98"/>
      <c r="N81" s="99"/>
      <c r="O81" s="99"/>
      <c r="P81" s="99"/>
      <c r="Q81" s="97">
        <v>124</v>
      </c>
      <c r="R81" s="96">
        <v>69</v>
      </c>
      <c r="S81" s="97">
        <f>1292+V81</f>
        <v>1306</v>
      </c>
      <c r="T81" s="96">
        <f>231+V81</f>
        <v>245</v>
      </c>
      <c r="U81" s="93">
        <f t="shared" si="25"/>
        <v>1537</v>
      </c>
      <c r="V81" s="100">
        <v>14</v>
      </c>
      <c r="W81" s="101">
        <f t="shared" si="26"/>
        <v>5.7142857142857141E-2</v>
      </c>
      <c r="X81" s="102">
        <v>91.8</v>
      </c>
      <c r="Y81" s="103">
        <v>55.9</v>
      </c>
      <c r="Z81" s="104">
        <f>AVERAGE(Y81)</f>
        <v>55.9</v>
      </c>
      <c r="AG81" s="106">
        <v>70.513999999999996</v>
      </c>
      <c r="AH81" s="106">
        <f t="shared" si="27"/>
        <v>0.19450038290268601</v>
      </c>
      <c r="AI81" s="106">
        <v>13.715</v>
      </c>
      <c r="AP81" s="147">
        <f>3.281/AI81</f>
        <v>0.23922712358731318</v>
      </c>
      <c r="AQ81" s="147">
        <f>0.234/AI81</f>
        <v>1.7061611374407586E-2</v>
      </c>
      <c r="AR81" s="147">
        <f>0.044/AI81</f>
        <v>3.2081662413415966E-3</v>
      </c>
      <c r="AS81" s="108">
        <f>4.722/AI81</f>
        <v>0.34429456799125047</v>
      </c>
      <c r="AT81" s="108">
        <f>0.639/AI81</f>
        <v>4.6591323368574557E-2</v>
      </c>
      <c r="AU81" s="108">
        <f>0.245/AI81</f>
        <v>1.7863652934742982E-2</v>
      </c>
      <c r="AV81" s="96"/>
      <c r="AW81" s="96"/>
      <c r="AX81" s="97"/>
      <c r="AY81" s="97"/>
      <c r="AZ81" s="97"/>
      <c r="BA81" s="93">
        <v>140</v>
      </c>
      <c r="BB81" s="93"/>
      <c r="BC81" s="93"/>
      <c r="BD81" s="93"/>
      <c r="BE81" s="93"/>
      <c r="BF81" s="97"/>
      <c r="BG81" s="97"/>
      <c r="BH81" s="96"/>
      <c r="BI81" s="96"/>
      <c r="BJ81" s="110"/>
      <c r="BK81" s="110"/>
      <c r="BL81" s="108"/>
      <c r="BM81" s="108"/>
      <c r="BN81" s="107"/>
      <c r="BO81" s="107"/>
      <c r="BP81" s="111"/>
      <c r="BQ81" s="111"/>
      <c r="BR81" s="112"/>
      <c r="BS81" s="112"/>
      <c r="BT81" s="112"/>
    </row>
    <row r="82" spans="1:95" s="106" customFormat="1" x14ac:dyDescent="0.15">
      <c r="A82" s="91"/>
      <c r="B82" s="92" t="s">
        <v>147</v>
      </c>
      <c r="C82" s="93">
        <v>8</v>
      </c>
      <c r="D82" s="94">
        <v>2.4</v>
      </c>
      <c r="E82" s="95">
        <v>156</v>
      </c>
      <c r="F82" s="96"/>
      <c r="G82" s="96"/>
      <c r="H82" s="97"/>
      <c r="I82" s="97"/>
      <c r="J82" s="97"/>
      <c r="K82" s="98"/>
      <c r="L82" s="98"/>
      <c r="M82" s="98"/>
      <c r="N82" s="99"/>
      <c r="O82" s="99"/>
      <c r="P82" s="99"/>
      <c r="Q82" s="97">
        <v>110</v>
      </c>
      <c r="R82" s="96">
        <v>39</v>
      </c>
      <c r="S82" s="97">
        <v>1656</v>
      </c>
      <c r="T82" s="96">
        <v>416</v>
      </c>
      <c r="U82" s="93">
        <f t="shared" si="25"/>
        <v>2059</v>
      </c>
      <c r="V82" s="100">
        <v>13</v>
      </c>
      <c r="W82" s="101">
        <f t="shared" si="26"/>
        <v>3.125E-2</v>
      </c>
      <c r="X82" s="102">
        <f>86.5</f>
        <v>86.5</v>
      </c>
      <c r="Y82" s="103">
        <v>38.299999999999997</v>
      </c>
      <c r="Z82" s="104">
        <f t="shared" si="28"/>
        <v>62.4</v>
      </c>
      <c r="AG82" s="106">
        <v>67.97</v>
      </c>
      <c r="AH82" s="106">
        <f t="shared" si="27"/>
        <v>0.23104310725319996</v>
      </c>
      <c r="AI82" s="106">
        <v>15.704000000000001</v>
      </c>
      <c r="AP82" s="147">
        <f>3.698/AI82</f>
        <v>0.23548140601120732</v>
      </c>
      <c r="AQ82" s="147">
        <f>0.599/AI82</f>
        <v>3.8143148242485984E-2</v>
      </c>
      <c r="AR82" s="147">
        <f>0.235/AI82</f>
        <v>1.4964340295466122E-2</v>
      </c>
      <c r="AS82" s="108"/>
      <c r="AT82" s="108"/>
      <c r="AU82" s="108"/>
      <c r="AV82" s="96"/>
      <c r="AW82" s="96"/>
      <c r="AX82" s="97"/>
      <c r="AY82" s="97"/>
      <c r="AZ82" s="97"/>
      <c r="BA82" s="93">
        <v>140</v>
      </c>
      <c r="BB82" s="93"/>
      <c r="BC82" s="93"/>
      <c r="BD82" s="93"/>
      <c r="BE82" s="93"/>
      <c r="BF82" s="97"/>
      <c r="BG82" s="97"/>
      <c r="BH82" s="96"/>
      <c r="BI82" s="96"/>
      <c r="BJ82" s="110"/>
      <c r="BK82" s="110"/>
      <c r="BL82" s="108"/>
      <c r="BM82" s="108"/>
      <c r="BN82" s="107"/>
      <c r="BO82" s="107"/>
      <c r="BP82" s="111"/>
      <c r="BQ82" s="111"/>
      <c r="BR82" s="112"/>
      <c r="BS82" s="112"/>
      <c r="BT82" s="112"/>
    </row>
    <row r="83" spans="1:95" s="335" customFormat="1" x14ac:dyDescent="0.15">
      <c r="B83" s="339" t="s">
        <v>148</v>
      </c>
      <c r="C83" s="318">
        <v>8</v>
      </c>
      <c r="D83" s="319">
        <v>5.2</v>
      </c>
      <c r="E83" s="318">
        <v>209</v>
      </c>
      <c r="F83" s="349">
        <v>1041</v>
      </c>
      <c r="G83" s="349"/>
      <c r="H83" s="348">
        <v>1087</v>
      </c>
      <c r="I83" s="348"/>
      <c r="J83" s="348"/>
      <c r="K83" s="348"/>
      <c r="L83" s="348"/>
      <c r="M83" s="348"/>
      <c r="N83" s="349"/>
      <c r="O83" s="349"/>
      <c r="P83" s="349"/>
      <c r="Q83" s="348">
        <v>14</v>
      </c>
      <c r="R83" s="349">
        <v>62</v>
      </c>
      <c r="S83" s="348">
        <f>124+V83</f>
        <v>165</v>
      </c>
      <c r="T83" s="349">
        <f>413+V83</f>
        <v>454</v>
      </c>
      <c r="U83" s="318">
        <f t="shared" si="25"/>
        <v>578</v>
      </c>
      <c r="V83" s="351">
        <v>41</v>
      </c>
      <c r="W83" s="323">
        <f t="shared" si="26"/>
        <v>0.24848484848484848</v>
      </c>
      <c r="X83" s="324">
        <v>45.8</v>
      </c>
      <c r="Y83" s="325">
        <v>77.599999999999994</v>
      </c>
      <c r="Z83" s="334">
        <f t="shared" si="28"/>
        <v>61.699999999999996</v>
      </c>
      <c r="AP83" s="328"/>
      <c r="AQ83" s="328"/>
      <c r="AR83" s="328"/>
      <c r="AS83" s="337"/>
      <c r="AT83" s="337"/>
      <c r="AU83" s="337"/>
      <c r="AV83" s="349"/>
      <c r="AW83" s="349"/>
      <c r="AX83" s="348"/>
      <c r="AY83" s="348"/>
      <c r="AZ83" s="348"/>
      <c r="BA83" s="318">
        <v>140</v>
      </c>
      <c r="BB83" s="318"/>
      <c r="BC83" s="318">
        <v>-3670</v>
      </c>
      <c r="BD83" s="318">
        <v>3330</v>
      </c>
      <c r="BE83" s="318">
        <v>150</v>
      </c>
      <c r="BF83" s="322">
        <v>88</v>
      </c>
      <c r="BG83" s="322">
        <v>36</v>
      </c>
      <c r="BH83" s="321">
        <v>409</v>
      </c>
      <c r="BI83" s="321">
        <v>45</v>
      </c>
      <c r="BJ83" s="344">
        <v>35</v>
      </c>
      <c r="BK83" s="344">
        <v>6</v>
      </c>
      <c r="BL83" s="337">
        <f t="shared" ref="BL83:BM86" si="29">BF83/($S83-$V83)</f>
        <v>0.70967741935483875</v>
      </c>
      <c r="BM83" s="337">
        <f t="shared" si="29"/>
        <v>0.29032258064516131</v>
      </c>
      <c r="BN83" s="336">
        <f t="shared" ref="BN83:BO86" si="30">BH83/($T83)</f>
        <v>0.90088105726872247</v>
      </c>
      <c r="BO83" s="336">
        <f t="shared" si="30"/>
        <v>9.9118942731277526E-2</v>
      </c>
      <c r="BP83" s="345">
        <f t="shared" ref="BP83:BQ86" si="31">BJ83/$V83</f>
        <v>0.85365853658536583</v>
      </c>
      <c r="BQ83" s="345">
        <f t="shared" si="31"/>
        <v>0.14634146341463414</v>
      </c>
      <c r="BR83" s="346">
        <f>IF((BL83+BM83)=1,BL83,"CHECK red")</f>
        <v>0.70967741935483875</v>
      </c>
      <c r="BS83" s="346">
        <f>IF((BN83+BO83)=1,BN83,"CHECK gre")</f>
        <v>0.90088105726872247</v>
      </c>
      <c r="BT83" s="346">
        <f>IF((BP83+BQ83)=1,BP83,"CHECK dou")</f>
        <v>0.85365853658536583</v>
      </c>
    </row>
    <row r="84" spans="1:95" s="150" customFormat="1" x14ac:dyDescent="0.15">
      <c r="B84" s="151" t="s">
        <v>149</v>
      </c>
      <c r="C84" s="93">
        <v>8</v>
      </c>
      <c r="D84" s="5">
        <v>4.8</v>
      </c>
      <c r="E84" s="152">
        <v>258</v>
      </c>
      <c r="F84" s="153">
        <v>895</v>
      </c>
      <c r="G84" s="153"/>
      <c r="H84" s="154">
        <v>914</v>
      </c>
      <c r="I84" s="154"/>
      <c r="J84" s="154"/>
      <c r="K84" s="154"/>
      <c r="L84" s="154"/>
      <c r="M84" s="154"/>
      <c r="N84" s="153"/>
      <c r="O84" s="153"/>
      <c r="P84" s="153"/>
      <c r="Q84" s="7">
        <v>62</v>
      </c>
      <c r="R84" s="6">
        <v>36</v>
      </c>
      <c r="S84" s="14">
        <f>706+V84</f>
        <v>709</v>
      </c>
      <c r="T84" s="15">
        <v>228</v>
      </c>
      <c r="U84" s="93">
        <f t="shared" si="25"/>
        <v>934</v>
      </c>
      <c r="V84" s="119">
        <v>3</v>
      </c>
      <c r="W84" s="101">
        <f>IF(V84&gt;0.9,(IF(S84&gt;T84,V84/T84,V84/S84)),"")</f>
        <v>1.3157894736842105E-2</v>
      </c>
      <c r="X84" s="9">
        <v>81.900000000000006</v>
      </c>
      <c r="Y84" s="10">
        <v>46.9</v>
      </c>
      <c r="Z84" s="104">
        <f t="shared" si="28"/>
        <v>64.400000000000006</v>
      </c>
      <c r="AP84" s="155"/>
      <c r="AQ84" s="155"/>
      <c r="AR84" s="155"/>
      <c r="AS84" s="156"/>
      <c r="AT84" s="156"/>
      <c r="AU84" s="156"/>
      <c r="AV84" s="153"/>
      <c r="AW84" s="153"/>
      <c r="AX84" s="154"/>
      <c r="AY84" s="154"/>
      <c r="AZ84" s="154"/>
      <c r="BA84" s="157">
        <v>140</v>
      </c>
      <c r="BB84" s="157"/>
      <c r="BC84" s="157">
        <v>-3950</v>
      </c>
      <c r="BD84" s="157">
        <v>2210</v>
      </c>
      <c r="BE84" s="157">
        <v>730</v>
      </c>
      <c r="BF84" s="158">
        <v>672</v>
      </c>
      <c r="BG84" s="158">
        <v>34</v>
      </c>
      <c r="BH84" s="159">
        <v>221</v>
      </c>
      <c r="BI84" s="159">
        <v>7</v>
      </c>
      <c r="BJ84" s="160">
        <v>3</v>
      </c>
      <c r="BK84" s="160">
        <v>0</v>
      </c>
      <c r="BL84" s="108">
        <f t="shared" si="29"/>
        <v>0.95184135977337114</v>
      </c>
      <c r="BM84" s="108">
        <f t="shared" si="29"/>
        <v>4.8158640226628892E-2</v>
      </c>
      <c r="BN84" s="107">
        <f t="shared" si="30"/>
        <v>0.9692982456140351</v>
      </c>
      <c r="BO84" s="107">
        <f t="shared" si="30"/>
        <v>3.0701754385964911E-2</v>
      </c>
      <c r="BP84" s="111">
        <f t="shared" si="31"/>
        <v>1</v>
      </c>
      <c r="BQ84" s="111">
        <f t="shared" si="31"/>
        <v>0</v>
      </c>
      <c r="BR84" s="112">
        <f>IF((BL84+BM84)=1,BL84,"CHECK red")</f>
        <v>0.95184135977337114</v>
      </c>
      <c r="BS84" s="112">
        <f>IF((BN84+BO84)=1,BN84,"CHECK gre")</f>
        <v>0.9692982456140351</v>
      </c>
      <c r="BT84" s="112">
        <f>IF((BP84+BQ84)=1,BP84,"CHECK dou")</f>
        <v>1</v>
      </c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95" x14ac:dyDescent="0.15">
      <c r="B85" s="3" t="s">
        <v>150</v>
      </c>
      <c r="C85" s="93">
        <v>8</v>
      </c>
      <c r="D85" s="5">
        <v>5.5</v>
      </c>
      <c r="E85" s="118">
        <v>156</v>
      </c>
      <c r="F85" s="6">
        <v>803</v>
      </c>
      <c r="H85" s="7">
        <v>806</v>
      </c>
      <c r="Q85" s="7">
        <v>52</v>
      </c>
      <c r="R85" s="6">
        <v>34</v>
      </c>
      <c r="S85" s="14">
        <f>281+V85</f>
        <v>283</v>
      </c>
      <c r="T85" s="15">
        <f>233+V85</f>
        <v>235</v>
      </c>
      <c r="U85" s="93">
        <f t="shared" si="25"/>
        <v>516</v>
      </c>
      <c r="V85" s="119">
        <v>2</v>
      </c>
      <c r="W85" s="101">
        <f>IF(V85&gt;0.9,(IF(S85&gt;T85,V85/T85,V85/S85)),"")</f>
        <v>8.5106382978723406E-3</v>
      </c>
      <c r="X85" s="9">
        <v>69.099999999999994</v>
      </c>
      <c r="Y85" s="10">
        <v>62.1</v>
      </c>
      <c r="Z85" s="104">
        <f t="shared" si="28"/>
        <v>65.599999999999994</v>
      </c>
      <c r="BA85" s="4">
        <v>140</v>
      </c>
      <c r="BC85" s="4">
        <v>-1890</v>
      </c>
      <c r="BD85" s="4">
        <v>4550</v>
      </c>
      <c r="BE85" s="4">
        <v>1855</v>
      </c>
      <c r="BF85" s="14">
        <v>274</v>
      </c>
      <c r="BG85" s="14">
        <v>7</v>
      </c>
      <c r="BH85" s="15">
        <v>230</v>
      </c>
      <c r="BI85" s="15">
        <v>5</v>
      </c>
      <c r="BJ85" s="16">
        <v>2</v>
      </c>
      <c r="BK85" s="16">
        <v>0</v>
      </c>
      <c r="BL85" s="108">
        <f t="shared" si="29"/>
        <v>0.97508896797153022</v>
      </c>
      <c r="BM85" s="108">
        <f t="shared" si="29"/>
        <v>2.491103202846975E-2</v>
      </c>
      <c r="BN85" s="107">
        <f t="shared" si="30"/>
        <v>0.97872340425531912</v>
      </c>
      <c r="BO85" s="107">
        <f t="shared" si="30"/>
        <v>2.1276595744680851E-2</v>
      </c>
      <c r="BP85" s="111">
        <f t="shared" si="31"/>
        <v>1</v>
      </c>
      <c r="BQ85" s="111">
        <f t="shared" si="31"/>
        <v>0</v>
      </c>
      <c r="BR85" s="112">
        <f>IF((BL85+BM85)=1,BL85,"CHECK red")</f>
        <v>0.97508896797153022</v>
      </c>
      <c r="BS85" s="112">
        <f>IF((BN85+BO85)=1,BN85,"CHECK gre")</f>
        <v>0.97872340425531912</v>
      </c>
      <c r="BT85" s="112">
        <f>IF((BP85+BQ85)=1,BP85,"CHECK dou")</f>
        <v>1</v>
      </c>
    </row>
    <row r="86" spans="1:95" s="161" customFormat="1" x14ac:dyDescent="0.15">
      <c r="B86" s="162" t="s">
        <v>151</v>
      </c>
      <c r="C86" s="163">
        <v>8</v>
      </c>
      <c r="D86" s="164">
        <v>4.3</v>
      </c>
      <c r="E86" s="165">
        <v>300</v>
      </c>
      <c r="F86" s="166">
        <v>271</v>
      </c>
      <c r="G86" s="166"/>
      <c r="H86" s="167">
        <v>271</v>
      </c>
      <c r="I86" s="167"/>
      <c r="J86" s="167"/>
      <c r="K86" s="167"/>
      <c r="L86" s="167"/>
      <c r="M86" s="167"/>
      <c r="N86" s="166"/>
      <c r="O86" s="166"/>
      <c r="P86" s="166"/>
      <c r="Q86" s="167">
        <v>68</v>
      </c>
      <c r="R86" s="166">
        <v>54</v>
      </c>
      <c r="S86" s="167">
        <v>246</v>
      </c>
      <c r="T86" s="166">
        <v>170</v>
      </c>
      <c r="U86" s="163">
        <f t="shared" si="25"/>
        <v>416</v>
      </c>
      <c r="V86" s="168">
        <v>0</v>
      </c>
      <c r="W86" s="169" t="str">
        <f>IF(V86&gt;0.9,(IF(S86&gt;T86,V86/T86,V86/S86)),"")</f>
        <v/>
      </c>
      <c r="X86" s="170">
        <v>89.8</v>
      </c>
      <c r="Y86" s="171">
        <v>82.4</v>
      </c>
      <c r="Z86" s="172">
        <f t="shared" si="28"/>
        <v>86.1</v>
      </c>
      <c r="AP86" s="173"/>
      <c r="AQ86" s="173"/>
      <c r="AR86" s="173"/>
      <c r="AS86" s="174"/>
      <c r="AT86" s="174"/>
      <c r="AU86" s="174"/>
      <c r="AV86" s="166"/>
      <c r="AW86" s="166"/>
      <c r="AX86" s="167"/>
      <c r="AY86" s="167"/>
      <c r="AZ86" s="167"/>
      <c r="BA86" s="175">
        <v>140</v>
      </c>
      <c r="BB86" s="175"/>
      <c r="BC86" s="175">
        <v>-2830</v>
      </c>
      <c r="BD86" s="175">
        <v>3330</v>
      </c>
      <c r="BE86" s="176">
        <v>250</v>
      </c>
      <c r="BF86" s="177">
        <v>214</v>
      </c>
      <c r="BG86" s="177">
        <v>32</v>
      </c>
      <c r="BH86" s="178">
        <v>6</v>
      </c>
      <c r="BI86" s="178">
        <v>164</v>
      </c>
      <c r="BJ86" s="179">
        <v>0</v>
      </c>
      <c r="BK86" s="179">
        <v>0</v>
      </c>
      <c r="BL86" s="180">
        <f t="shared" si="29"/>
        <v>0.86991869918699183</v>
      </c>
      <c r="BM86" s="180">
        <f t="shared" si="29"/>
        <v>0.13008130081300814</v>
      </c>
      <c r="BN86" s="181">
        <f t="shared" si="30"/>
        <v>3.5294117647058823E-2</v>
      </c>
      <c r="BO86" s="181">
        <f t="shared" si="30"/>
        <v>0.96470588235294119</v>
      </c>
      <c r="BP86" s="182" t="e">
        <f t="shared" si="31"/>
        <v>#DIV/0!</v>
      </c>
      <c r="BQ86" s="182" t="e">
        <f t="shared" si="31"/>
        <v>#DIV/0!</v>
      </c>
      <c r="BR86" s="183">
        <f>IF((BL86+BM86)=1,BL86,"CHECK red")</f>
        <v>0.86991869918699183</v>
      </c>
      <c r="BS86" s="183">
        <f>IF((BN86+BO86)=1,BN86,"CHECK gre")</f>
        <v>3.5294117647058823E-2</v>
      </c>
      <c r="BT86" s="183" t="e">
        <f>IF((BP86+BQ86)=1,BP86,"CHECK dou")</f>
        <v>#DIV/0!</v>
      </c>
      <c r="BX86" s="184"/>
      <c r="BY86" s="184"/>
      <c r="BZ86" s="184"/>
      <c r="CA86" s="184"/>
      <c r="CB86" s="184"/>
      <c r="CC86" s="184"/>
      <c r="CD86" s="184"/>
      <c r="CE86" s="184"/>
      <c r="CF86" s="184"/>
      <c r="CG86" s="184"/>
      <c r="CH86" s="184"/>
    </row>
    <row r="87" spans="1:95" s="196" customFormat="1" x14ac:dyDescent="0.15">
      <c r="A87" s="192"/>
      <c r="B87" s="193" t="s">
        <v>152</v>
      </c>
      <c r="C87" s="163">
        <v>8</v>
      </c>
      <c r="D87" s="194">
        <v>5</v>
      </c>
      <c r="E87" s="165">
        <v>500</v>
      </c>
      <c r="F87" s="175"/>
      <c r="G87" s="175"/>
      <c r="H87" s="175"/>
      <c r="I87" s="175"/>
      <c r="J87" s="175"/>
      <c r="K87" s="177"/>
      <c r="L87" s="177"/>
      <c r="M87" s="177"/>
      <c r="N87" s="178"/>
      <c r="O87" s="178"/>
      <c r="P87" s="178"/>
      <c r="Q87" s="177">
        <v>120</v>
      </c>
      <c r="R87" s="178">
        <v>84</v>
      </c>
      <c r="S87" s="177">
        <f>371+V87</f>
        <v>374</v>
      </c>
      <c r="T87" s="178">
        <f>243+V87</f>
        <v>246</v>
      </c>
      <c r="U87" s="163">
        <f t="shared" si="25"/>
        <v>617</v>
      </c>
      <c r="V87" s="195">
        <v>3</v>
      </c>
      <c r="W87" s="169">
        <f t="shared" si="26"/>
        <v>1.2195121951219513E-2</v>
      </c>
      <c r="X87" s="185">
        <v>96.8</v>
      </c>
      <c r="Y87" s="186">
        <v>94.3</v>
      </c>
      <c r="Z87" s="172">
        <f t="shared" si="28"/>
        <v>95.55</v>
      </c>
      <c r="AI87" s="196">
        <v>16.475999999999999</v>
      </c>
      <c r="AP87" s="181">
        <f>2.684/AI87</f>
        <v>0.16290361738285994</v>
      </c>
      <c r="AQ87" s="181">
        <f>0.24/AI87</f>
        <v>1.4566642388929352E-2</v>
      </c>
      <c r="AR87" s="181">
        <f>0.136/AI87</f>
        <v>8.2544306870599663E-3</v>
      </c>
      <c r="AS87" s="180">
        <f>1.953/AI87</f>
        <v>0.11853605243991261</v>
      </c>
      <c r="AT87" s="180">
        <f>0.243/AI87</f>
        <v>1.474872541879097E-2</v>
      </c>
      <c r="AU87" s="180"/>
      <c r="AV87" s="197"/>
      <c r="AW87" s="197"/>
      <c r="AX87" s="198"/>
      <c r="AY87" s="198"/>
      <c r="AZ87" s="198"/>
      <c r="BA87" s="163">
        <v>140</v>
      </c>
      <c r="BB87" s="163"/>
      <c r="BC87" s="163">
        <v>-3670</v>
      </c>
      <c r="BD87" s="163">
        <v>3050</v>
      </c>
      <c r="BE87" s="187">
        <v>-310</v>
      </c>
      <c r="BF87" s="27">
        <v>1</v>
      </c>
      <c r="BG87" s="27">
        <v>370</v>
      </c>
      <c r="BH87" s="188">
        <v>0</v>
      </c>
      <c r="BI87" s="188">
        <v>246</v>
      </c>
      <c r="BJ87" s="189">
        <v>0</v>
      </c>
      <c r="BK87" s="189">
        <v>3</v>
      </c>
      <c r="BL87" s="180">
        <f>BF87/($S87-$V87)</f>
        <v>2.6954177897574125E-3</v>
      </c>
      <c r="BM87" s="180">
        <f>BG87/($S87-$V87)</f>
        <v>0.99730458221024254</v>
      </c>
      <c r="BN87" s="181">
        <f>BH87/($T87-$V87)</f>
        <v>0</v>
      </c>
      <c r="BO87" s="181">
        <f>BI87/($T87)</f>
        <v>1</v>
      </c>
      <c r="BP87" s="182">
        <f>BJ87/$V87</f>
        <v>0</v>
      </c>
      <c r="BQ87" s="182">
        <f>BK87/$V87</f>
        <v>1</v>
      </c>
      <c r="BR87" s="183">
        <f>IF((BL87+BM87)=1,BL87,"CHECK red")</f>
        <v>2.6954177897574125E-3</v>
      </c>
      <c r="BS87" s="183">
        <f>IF((BN87+BO87)=1,BN87,"CHECK gre")</f>
        <v>0</v>
      </c>
      <c r="BT87" s="183">
        <f>IF((BP87+BQ87)=1,BP87,"CHECK dou")</f>
        <v>0</v>
      </c>
      <c r="BU87" s="178"/>
      <c r="BV87" s="177"/>
      <c r="BW87" s="177"/>
      <c r="BX87" s="188"/>
      <c r="BY87" s="188"/>
      <c r="BZ87" s="27"/>
      <c r="CA87" s="27"/>
      <c r="CB87" s="188"/>
      <c r="CC87" s="188"/>
      <c r="CD87" s="27"/>
      <c r="CE87" s="27"/>
      <c r="CF87" s="27"/>
      <c r="CG87" s="199"/>
      <c r="CH87" s="199"/>
      <c r="CI87" s="177"/>
      <c r="CJ87" s="177"/>
      <c r="CK87" s="175"/>
      <c r="CL87" s="175"/>
      <c r="CM87" s="175"/>
      <c r="CN87" s="175"/>
      <c r="CO87" s="175"/>
      <c r="CP87" s="175"/>
      <c r="CQ87" s="175"/>
    </row>
    <row r="88" spans="1:95" s="199" customFormat="1" x14ac:dyDescent="0.15">
      <c r="A88" s="200"/>
      <c r="B88" s="201" t="s">
        <v>153</v>
      </c>
      <c r="C88" s="163">
        <v>8</v>
      </c>
      <c r="D88" s="164">
        <v>5.2</v>
      </c>
      <c r="E88" s="52">
        <v>350</v>
      </c>
      <c r="F88" s="163"/>
      <c r="G88" s="163"/>
      <c r="H88" s="163"/>
      <c r="I88" s="163"/>
      <c r="J88" s="163"/>
      <c r="K88" s="27"/>
      <c r="L88" s="27"/>
      <c r="M88" s="27"/>
      <c r="N88" s="188"/>
      <c r="O88" s="188"/>
      <c r="P88" s="188"/>
      <c r="Q88" s="27">
        <v>37</v>
      </c>
      <c r="R88" s="188">
        <v>46</v>
      </c>
      <c r="S88" s="27">
        <f>443+V88</f>
        <v>471</v>
      </c>
      <c r="T88" s="188">
        <f>293+V88</f>
        <v>321</v>
      </c>
      <c r="U88" s="163">
        <f t="shared" si="25"/>
        <v>764</v>
      </c>
      <c r="V88" s="202">
        <v>28</v>
      </c>
      <c r="W88" s="169">
        <f t="shared" si="26"/>
        <v>8.7227414330218064E-2</v>
      </c>
      <c r="X88" s="185">
        <v>84.2</v>
      </c>
      <c r="Y88" s="186">
        <v>78.5</v>
      </c>
      <c r="Z88" s="172">
        <f t="shared" si="28"/>
        <v>81.349999999999994</v>
      </c>
      <c r="AI88" s="199">
        <v>17.561</v>
      </c>
      <c r="AP88" s="181">
        <f>3.243/AI88</f>
        <v>0.18467057684642105</v>
      </c>
      <c r="AQ88" s="181">
        <f>0.489/AI88</f>
        <v>2.7845794658618528E-2</v>
      </c>
      <c r="AR88" s="181">
        <f>0.182/AI88</f>
        <v>1.0363874494618758E-2</v>
      </c>
      <c r="AS88" s="180">
        <f>1.656/AI88</f>
        <v>9.4299869027959685E-2</v>
      </c>
      <c r="AT88" s="180">
        <f>0.819/AI88</f>
        <v>4.6637435225784403E-2</v>
      </c>
      <c r="AU88" s="180">
        <f>0.245/AI88</f>
        <v>1.3951369511986788E-2</v>
      </c>
      <c r="AV88" s="203"/>
      <c r="AW88" s="203"/>
      <c r="AX88" s="204"/>
      <c r="AY88" s="204"/>
      <c r="AZ88" s="198"/>
      <c r="BA88" s="175"/>
      <c r="BB88" s="175"/>
      <c r="BC88" s="175"/>
      <c r="BD88" s="175"/>
      <c r="BE88" s="175"/>
      <c r="BF88" s="27"/>
      <c r="BG88" s="27"/>
      <c r="BH88" s="188"/>
      <c r="BI88" s="188"/>
      <c r="BJ88" s="189"/>
      <c r="BK88" s="189"/>
      <c r="BL88" s="174"/>
      <c r="BM88" s="174"/>
      <c r="BN88" s="173"/>
      <c r="BO88" s="173"/>
      <c r="BP88" s="190"/>
      <c r="BQ88" s="190"/>
      <c r="BR88" s="191"/>
      <c r="BS88" s="191"/>
      <c r="BT88" s="191"/>
      <c r="BU88" s="188"/>
      <c r="BV88" s="27"/>
      <c r="BW88" s="27"/>
      <c r="BX88" s="188"/>
      <c r="BY88" s="188"/>
      <c r="BZ88" s="27"/>
      <c r="CA88" s="27"/>
      <c r="CB88" s="188"/>
      <c r="CC88" s="188"/>
      <c r="CD88" s="27"/>
      <c r="CE88" s="27"/>
      <c r="CF88" s="27"/>
      <c r="CI88" s="27"/>
      <c r="CJ88" s="27"/>
      <c r="CK88" s="163"/>
      <c r="CL88" s="163"/>
      <c r="CM88" s="163"/>
      <c r="CN88" s="163"/>
      <c r="CO88" s="163"/>
      <c r="CP88" s="163"/>
      <c r="CQ88" s="163"/>
    </row>
    <row r="89" spans="1:95" s="199" customFormat="1" x14ac:dyDescent="0.15">
      <c r="A89" s="200"/>
      <c r="B89" s="201" t="s">
        <v>154</v>
      </c>
      <c r="C89" s="163">
        <v>8</v>
      </c>
      <c r="D89" s="164">
        <v>4.3</v>
      </c>
      <c r="E89" s="52">
        <v>200</v>
      </c>
      <c r="F89" s="163"/>
      <c r="G89" s="163"/>
      <c r="H89" s="163"/>
      <c r="I89" s="163"/>
      <c r="J89" s="163"/>
      <c r="K89" s="27">
        <v>42</v>
      </c>
      <c r="L89" s="27">
        <v>196</v>
      </c>
      <c r="M89" s="27"/>
      <c r="N89" s="188">
        <v>23</v>
      </c>
      <c r="O89" s="188">
        <v>120</v>
      </c>
      <c r="P89" s="188"/>
      <c r="Q89" s="27">
        <v>89</v>
      </c>
      <c r="R89" s="188">
        <v>16</v>
      </c>
      <c r="S89" s="27">
        <f>958+V89</f>
        <v>998</v>
      </c>
      <c r="T89" s="188">
        <f>218+V89</f>
        <v>258</v>
      </c>
      <c r="U89" s="163">
        <f t="shared" si="25"/>
        <v>1216</v>
      </c>
      <c r="V89" s="202">
        <v>40</v>
      </c>
      <c r="W89" s="169">
        <f t="shared" si="26"/>
        <v>0.15503875968992248</v>
      </c>
      <c r="X89" s="185">
        <v>93</v>
      </c>
      <c r="Y89" s="186">
        <v>68.400000000000006</v>
      </c>
      <c r="Z89" s="172">
        <f t="shared" si="28"/>
        <v>80.7</v>
      </c>
      <c r="AI89" s="199">
        <v>17.975999999999999</v>
      </c>
      <c r="AP89" s="181">
        <f>0.437/AI89</f>
        <v>2.4310191366266134E-2</v>
      </c>
      <c r="AQ89" s="181">
        <f>0.207/AI89</f>
        <v>1.1515353805073431E-2</v>
      </c>
      <c r="AR89" s="181">
        <f>0.044/AI89</f>
        <v>2.4477080551846908E-3</v>
      </c>
      <c r="AS89" s="180">
        <f>4.813/AI89</f>
        <v>0.26774588340008898</v>
      </c>
      <c r="AT89" s="180">
        <f>0.912/AI89</f>
        <v>5.0734312416555412E-2</v>
      </c>
      <c r="AU89" s="180">
        <f>0.155/AI89</f>
        <v>8.6226079216733427E-3</v>
      </c>
      <c r="AV89" s="205"/>
      <c r="AW89" s="205"/>
      <c r="AX89" s="206"/>
      <c r="AY89" s="206"/>
      <c r="AZ89" s="206"/>
      <c r="BA89" s="163"/>
      <c r="BB89" s="163"/>
      <c r="BC89" s="163"/>
      <c r="BD89" s="163"/>
      <c r="BE89" s="163"/>
      <c r="BF89" s="27"/>
      <c r="BG89" s="27"/>
      <c r="BH89" s="188"/>
      <c r="BI89" s="188"/>
      <c r="BJ89" s="189"/>
      <c r="BK89" s="189"/>
      <c r="BL89" s="180"/>
      <c r="BM89" s="180"/>
      <c r="BN89" s="181"/>
      <c r="BO89" s="181"/>
      <c r="BP89" s="182"/>
      <c r="BQ89" s="182"/>
      <c r="BR89" s="183"/>
      <c r="BS89" s="183"/>
      <c r="BT89" s="183"/>
      <c r="BU89" s="188"/>
      <c r="BV89" s="27"/>
      <c r="BW89" s="27"/>
      <c r="CB89" s="188"/>
      <c r="CC89" s="188"/>
      <c r="CD89" s="27"/>
      <c r="CE89" s="27"/>
      <c r="CF89" s="27"/>
      <c r="CI89" s="27"/>
      <c r="CJ89" s="27"/>
      <c r="CK89" s="163"/>
      <c r="CL89" s="163"/>
      <c r="CM89" s="163"/>
      <c r="CN89" s="163"/>
      <c r="CO89" s="163"/>
      <c r="CP89" s="163"/>
      <c r="CQ89" s="163"/>
    </row>
    <row r="90" spans="1:95" s="199" customFormat="1" x14ac:dyDescent="0.15">
      <c r="A90" s="200"/>
      <c r="B90" s="201" t="s">
        <v>155</v>
      </c>
      <c r="C90" s="163">
        <v>8</v>
      </c>
      <c r="D90" s="164">
        <v>5.5</v>
      </c>
      <c r="E90" s="52">
        <v>200</v>
      </c>
      <c r="F90" s="163"/>
      <c r="G90" s="163"/>
      <c r="H90" s="163"/>
      <c r="I90" s="163"/>
      <c r="J90" s="163"/>
      <c r="K90" s="27">
        <v>37</v>
      </c>
      <c r="L90" s="27">
        <v>277</v>
      </c>
      <c r="M90" s="27"/>
      <c r="N90" s="188">
        <v>62</v>
      </c>
      <c r="O90" s="188">
        <v>305</v>
      </c>
      <c r="P90" s="188"/>
      <c r="Q90" s="27">
        <v>101</v>
      </c>
      <c r="R90" s="188">
        <v>113</v>
      </c>
      <c r="S90" s="27">
        <f>583+V90</f>
        <v>696</v>
      </c>
      <c r="T90" s="188">
        <f>845+V90</f>
        <v>958</v>
      </c>
      <c r="U90" s="163">
        <f t="shared" si="25"/>
        <v>1541</v>
      </c>
      <c r="V90" s="202">
        <v>113</v>
      </c>
      <c r="W90" s="169">
        <f t="shared" si="26"/>
        <v>0.16235632183908047</v>
      </c>
      <c r="X90" s="185">
        <v>69.3</v>
      </c>
      <c r="Y90" s="186">
        <v>78.2</v>
      </c>
      <c r="Z90" s="172">
        <f t="shared" si="28"/>
        <v>73.75</v>
      </c>
      <c r="AI90" s="199">
        <v>19.103999999999999</v>
      </c>
      <c r="AP90" s="181">
        <f>(2.691+2.296)/AI90</f>
        <v>0.26104480737018426</v>
      </c>
      <c r="AQ90" s="181">
        <f>0.506/AI90</f>
        <v>2.6486599664991627E-2</v>
      </c>
      <c r="AR90" s="181">
        <f>0.155/AI90</f>
        <v>8.1134840871021786E-3</v>
      </c>
      <c r="AS90" s="180">
        <f>(1.365+0.843)/AI90</f>
        <v>0.1155778894472362</v>
      </c>
      <c r="AT90" s="180">
        <f>(0.262+0.051)/AI90</f>
        <v>1.6384003350083751E-2</v>
      </c>
      <c r="AU90" s="180">
        <f>0.12/AI90</f>
        <v>6.2814070351758797E-3</v>
      </c>
      <c r="AV90" s="197"/>
      <c r="AW90" s="197"/>
      <c r="AX90" s="198"/>
      <c r="AY90" s="198"/>
      <c r="AZ90" s="198"/>
      <c r="BA90" s="163"/>
      <c r="BB90" s="163"/>
      <c r="BC90" s="163"/>
      <c r="BD90" s="163"/>
      <c r="BE90" s="163"/>
      <c r="BF90" s="27"/>
      <c r="BG90" s="27"/>
      <c r="BH90" s="188"/>
      <c r="BI90" s="188"/>
      <c r="BJ90" s="189"/>
      <c r="BK90" s="189"/>
      <c r="BL90" s="180"/>
      <c r="BM90" s="180"/>
      <c r="BN90" s="181"/>
      <c r="BO90" s="181"/>
      <c r="BP90" s="182"/>
      <c r="BQ90" s="182"/>
      <c r="BR90" s="183"/>
      <c r="BS90" s="183"/>
      <c r="BT90" s="183"/>
      <c r="BU90" s="188"/>
      <c r="BV90" s="27"/>
      <c r="BW90" s="27"/>
      <c r="BX90" s="188"/>
      <c r="BY90" s="188"/>
      <c r="BZ90" s="27"/>
      <c r="CA90" s="27"/>
      <c r="CB90" s="188"/>
      <c r="CC90" s="188"/>
      <c r="CD90" s="27"/>
      <c r="CE90" s="27"/>
      <c r="CF90" s="27"/>
      <c r="CI90" s="27"/>
      <c r="CJ90" s="27"/>
      <c r="CK90" s="163"/>
      <c r="CL90" s="163"/>
      <c r="CM90" s="163"/>
      <c r="CN90" s="163"/>
      <c r="CO90" s="163"/>
      <c r="CP90" s="163"/>
      <c r="CQ90" s="163"/>
    </row>
    <row r="91" spans="1:95" s="366" customFormat="1" x14ac:dyDescent="0.15">
      <c r="A91" s="354"/>
      <c r="B91" s="355" t="s">
        <v>156</v>
      </c>
      <c r="C91" s="356">
        <v>8</v>
      </c>
      <c r="D91" s="357">
        <v>5.2</v>
      </c>
      <c r="E91" s="358">
        <v>90</v>
      </c>
      <c r="F91" s="356"/>
      <c r="G91" s="356"/>
      <c r="H91" s="356"/>
      <c r="I91" s="356"/>
      <c r="J91" s="356"/>
      <c r="K91" s="359">
        <v>63</v>
      </c>
      <c r="L91" s="359">
        <v>473</v>
      </c>
      <c r="M91" s="359"/>
      <c r="N91" s="360">
        <v>24</v>
      </c>
      <c r="O91" s="360">
        <v>220</v>
      </c>
      <c r="P91" s="360"/>
      <c r="Q91" s="359">
        <v>122</v>
      </c>
      <c r="R91" s="360">
        <v>129</v>
      </c>
      <c r="S91" s="359">
        <v>393</v>
      </c>
      <c r="T91" s="360">
        <v>1420</v>
      </c>
      <c r="U91" s="356">
        <f t="shared" si="25"/>
        <v>1813</v>
      </c>
      <c r="V91" s="361"/>
      <c r="W91" s="362">
        <v>0.65100000000000002</v>
      </c>
      <c r="X91" s="363">
        <v>65.099999999999994</v>
      </c>
      <c r="Y91" s="364">
        <v>38.9</v>
      </c>
      <c r="Z91" s="365">
        <f t="shared" si="28"/>
        <v>52</v>
      </c>
      <c r="AI91" s="366">
        <v>17.475999999999999</v>
      </c>
      <c r="AP91" s="367">
        <f>0.367/AI91</f>
        <v>2.1000228885328452E-2</v>
      </c>
      <c r="AQ91" s="367">
        <f>0.16/AI91</f>
        <v>9.1554131380178535E-3</v>
      </c>
      <c r="AR91" s="367">
        <f>0.043/AI91</f>
        <v>2.4605172808422979E-3</v>
      </c>
      <c r="AS91" s="368">
        <f>4.706/AI91</f>
        <v>0.26928358892195015</v>
      </c>
      <c r="AT91" s="368">
        <f>0.66/AI91</f>
        <v>3.7766079194323648E-2</v>
      </c>
      <c r="AU91" s="368">
        <f>0.218/AI91</f>
        <v>1.2474250400549326E-2</v>
      </c>
      <c r="AV91" s="369"/>
      <c r="AW91" s="369"/>
      <c r="AX91" s="370"/>
      <c r="AY91" s="370"/>
      <c r="AZ91" s="370"/>
      <c r="BA91" s="356"/>
      <c r="BB91" s="356"/>
      <c r="BC91" s="356"/>
      <c r="BD91" s="356"/>
      <c r="BE91" s="356"/>
      <c r="BF91" s="359"/>
      <c r="BG91" s="359"/>
      <c r="BH91" s="360"/>
      <c r="BI91" s="360"/>
      <c r="BJ91" s="371"/>
      <c r="BK91" s="371"/>
      <c r="BL91" s="368"/>
      <c r="BM91" s="368"/>
      <c r="BN91" s="367"/>
      <c r="BO91" s="367"/>
      <c r="BP91" s="372"/>
      <c r="BQ91" s="372"/>
      <c r="BR91" s="373"/>
      <c r="BS91" s="373"/>
      <c r="BT91" s="373"/>
      <c r="BU91" s="360"/>
      <c r="BV91" s="359"/>
      <c r="BW91" s="359"/>
      <c r="BX91" s="360"/>
      <c r="BY91" s="360"/>
      <c r="BZ91" s="359"/>
      <c r="CA91" s="359"/>
      <c r="CB91" s="360"/>
      <c r="CC91" s="360"/>
      <c r="CD91" s="359"/>
      <c r="CE91" s="359"/>
      <c r="CF91" s="359"/>
      <c r="CI91" s="359"/>
      <c r="CJ91" s="359"/>
      <c r="CK91" s="356"/>
      <c r="CL91" s="356"/>
      <c r="CM91" s="356"/>
      <c r="CN91" s="356"/>
      <c r="CO91" s="356"/>
      <c r="CP91" s="356"/>
      <c r="CQ91" s="356"/>
    </row>
    <row r="92" spans="1:95" s="207" customFormat="1" x14ac:dyDescent="0.15">
      <c r="A92" s="200"/>
      <c r="B92" s="201" t="s">
        <v>158</v>
      </c>
      <c r="C92" s="163">
        <v>8</v>
      </c>
      <c r="D92" s="164">
        <v>5</v>
      </c>
      <c r="E92" s="52">
        <v>300</v>
      </c>
      <c r="F92" s="163"/>
      <c r="G92" s="163"/>
      <c r="H92" s="163"/>
      <c r="I92" s="163"/>
      <c r="J92" s="163"/>
      <c r="K92" s="27">
        <v>30</v>
      </c>
      <c r="L92" s="27">
        <v>314</v>
      </c>
      <c r="M92" s="27"/>
      <c r="N92" s="188">
        <v>36</v>
      </c>
      <c r="O92" s="188">
        <v>462</v>
      </c>
      <c r="P92" s="188"/>
      <c r="Q92" s="27">
        <v>122</v>
      </c>
      <c r="R92" s="188">
        <v>142</v>
      </c>
      <c r="S92" s="27">
        <f>525+V92</f>
        <v>689</v>
      </c>
      <c r="T92" s="188">
        <f>1643+V92</f>
        <v>1807</v>
      </c>
      <c r="U92" s="163">
        <f t="shared" si="25"/>
        <v>2332</v>
      </c>
      <c r="V92" s="202">
        <v>164</v>
      </c>
      <c r="W92" s="169">
        <f t="shared" si="26"/>
        <v>0.23802612481857766</v>
      </c>
      <c r="X92" s="185">
        <v>73.099999999999994</v>
      </c>
      <c r="Y92" s="186">
        <v>89.4</v>
      </c>
      <c r="Z92" s="172">
        <f t="shared" si="28"/>
        <v>81.25</v>
      </c>
      <c r="AD92" s="208"/>
      <c r="AE92" s="209"/>
      <c r="AF92" s="208"/>
      <c r="AI92" s="199">
        <v>16.486000000000001</v>
      </c>
      <c r="AJ92" s="199"/>
      <c r="AK92" s="199"/>
      <c r="AL92" s="199"/>
      <c r="AM92" s="199"/>
      <c r="AN92" s="199"/>
      <c r="AO92" s="199"/>
      <c r="AP92" s="181">
        <f>(2.062+1.013)/AI92</f>
        <v>0.18652189736746327</v>
      </c>
      <c r="AQ92" s="181">
        <f>0.822/AI92</f>
        <v>4.986048768652189E-2</v>
      </c>
      <c r="AR92" s="181">
        <f>0.25/AI92</f>
        <v>1.5164381899793763E-2</v>
      </c>
      <c r="AS92" s="180">
        <f>1.621/AI92</f>
        <v>9.8325852238262762E-2</v>
      </c>
      <c r="AT92" s="180">
        <f>0.328/AI92</f>
        <v>1.989566905252942E-2</v>
      </c>
      <c r="AU92" s="180">
        <f>0.12/AI92</f>
        <v>7.2789033119010065E-3</v>
      </c>
      <c r="AV92" s="197"/>
      <c r="AW92" s="197"/>
      <c r="AX92" s="198"/>
      <c r="AY92" s="198"/>
      <c r="AZ92" s="198"/>
      <c r="BA92" s="163"/>
      <c r="BB92" s="163"/>
      <c r="BC92" s="163"/>
      <c r="BD92" s="163"/>
      <c r="BE92" s="163"/>
      <c r="BF92" s="27"/>
      <c r="BG92" s="27"/>
      <c r="BH92" s="188"/>
      <c r="BI92" s="188"/>
      <c r="BJ92" s="189"/>
      <c r="BK92" s="189"/>
      <c r="BL92" s="180"/>
      <c r="BM92" s="180"/>
      <c r="BN92" s="181"/>
      <c r="BO92" s="181"/>
      <c r="BP92" s="182"/>
      <c r="BQ92" s="182"/>
      <c r="BR92" s="183"/>
      <c r="BS92" s="183"/>
      <c r="BT92" s="183"/>
      <c r="BU92" s="188"/>
      <c r="BV92" s="27"/>
      <c r="BW92" s="27"/>
      <c r="BX92" s="188"/>
      <c r="BY92" s="188"/>
      <c r="BZ92" s="27"/>
      <c r="CA92" s="27"/>
      <c r="CB92" s="188"/>
      <c r="CC92" s="188"/>
      <c r="CD92" s="27"/>
      <c r="CE92" s="27"/>
      <c r="CF92" s="27"/>
      <c r="CG92" s="199"/>
      <c r="CH92" s="199"/>
      <c r="CI92" s="27"/>
      <c r="CJ92" s="27"/>
      <c r="CK92" s="163"/>
      <c r="CL92" s="163"/>
      <c r="CM92" s="163"/>
      <c r="CN92" s="175"/>
      <c r="CO92" s="163"/>
      <c r="CP92" s="163"/>
      <c r="CQ92" s="163"/>
    </row>
    <row r="93" spans="1:95" s="207" customFormat="1" x14ac:dyDescent="0.15">
      <c r="A93" s="200"/>
      <c r="B93" s="201" t="s">
        <v>159</v>
      </c>
      <c r="C93" s="163">
        <v>8</v>
      </c>
      <c r="D93" s="164">
        <v>5.8</v>
      </c>
      <c r="E93" s="52">
        <v>190</v>
      </c>
      <c r="F93" s="163"/>
      <c r="G93" s="163"/>
      <c r="H93" s="163"/>
      <c r="I93" s="163"/>
      <c r="J93" s="163"/>
      <c r="K93" s="27"/>
      <c r="L93" s="27"/>
      <c r="M93" s="27"/>
      <c r="N93" s="188"/>
      <c r="O93" s="188"/>
      <c r="P93" s="188"/>
      <c r="Q93" s="27">
        <v>52</v>
      </c>
      <c r="R93" s="188">
        <v>75</v>
      </c>
      <c r="S93" s="27">
        <f>184+V93</f>
        <v>193</v>
      </c>
      <c r="T93" s="188">
        <f>492+V93</f>
        <v>501</v>
      </c>
      <c r="U93" s="163">
        <f t="shared" si="25"/>
        <v>685</v>
      </c>
      <c r="V93" s="202">
        <v>9</v>
      </c>
      <c r="W93" s="169">
        <f t="shared" si="26"/>
        <v>4.6632124352331605E-2</v>
      </c>
      <c r="X93" s="185">
        <v>69.400000000000006</v>
      </c>
      <c r="Y93" s="186">
        <v>84.8</v>
      </c>
      <c r="Z93" s="172">
        <f t="shared" si="28"/>
        <v>77.099999999999994</v>
      </c>
      <c r="AD93" s="208"/>
      <c r="AE93" s="209"/>
      <c r="AF93" s="208"/>
      <c r="AI93" s="199">
        <v>20.13</v>
      </c>
      <c r="AJ93" s="199"/>
      <c r="AK93" s="199"/>
      <c r="AL93" s="199"/>
      <c r="AM93" s="199"/>
      <c r="AN93" s="199"/>
      <c r="AO93" s="199"/>
      <c r="AP93" s="181">
        <f>11.549/AI93</f>
        <v>0.57372081470442127</v>
      </c>
      <c r="AQ93" s="181">
        <f>0.34/AI93</f>
        <v>1.6890213611525089E-2</v>
      </c>
      <c r="AR93" s="181">
        <f>0.112/AI93</f>
        <v>5.5638350720317933E-3</v>
      </c>
      <c r="AS93" s="180">
        <f>7.621/AI93</f>
        <v>0.3785891703924491</v>
      </c>
      <c r="AT93" s="180">
        <f>0.415/AI93</f>
        <v>2.0615996025832091E-2</v>
      </c>
      <c r="AU93" s="180">
        <f>(0.026+0.014)/AI93</f>
        <v>1.987083954297069E-3</v>
      </c>
      <c r="AV93" s="203"/>
      <c r="AW93" s="203"/>
      <c r="AX93" s="204"/>
      <c r="AY93" s="204"/>
      <c r="AZ93" s="204"/>
      <c r="BA93" s="163"/>
      <c r="BB93" s="163"/>
      <c r="BC93" s="163"/>
      <c r="BD93" s="163"/>
      <c r="BE93" s="163"/>
      <c r="BF93" s="27"/>
      <c r="BG93" s="27"/>
      <c r="BH93" s="188"/>
      <c r="BI93" s="188"/>
      <c r="BJ93" s="189"/>
      <c r="BK93" s="189"/>
      <c r="BL93" s="180"/>
      <c r="BM93" s="180"/>
      <c r="BN93" s="181"/>
      <c r="BO93" s="181"/>
      <c r="BP93" s="182"/>
      <c r="BQ93" s="182"/>
      <c r="BR93" s="183"/>
      <c r="BS93" s="183"/>
      <c r="BT93" s="183"/>
      <c r="BU93" s="188"/>
      <c r="BV93" s="27"/>
      <c r="BW93" s="27"/>
      <c r="BX93" s="188"/>
      <c r="BY93" s="188"/>
      <c r="BZ93" s="27"/>
      <c r="CA93" s="27"/>
      <c r="CB93" s="188"/>
      <c r="CC93" s="188"/>
      <c r="CD93" s="27"/>
      <c r="CE93" s="27"/>
      <c r="CF93" s="27"/>
      <c r="CG93" s="199"/>
      <c r="CH93" s="199"/>
      <c r="CI93" s="27"/>
      <c r="CJ93" s="27"/>
      <c r="CK93" s="163"/>
      <c r="CL93" s="163"/>
      <c r="CM93" s="163"/>
      <c r="CN93" s="163"/>
      <c r="CO93" s="163"/>
      <c r="CP93" s="163"/>
      <c r="CQ93" s="163"/>
    </row>
    <row r="94" spans="1:95" s="207" customFormat="1" x14ac:dyDescent="0.15">
      <c r="A94" s="200"/>
      <c r="B94" s="201" t="s">
        <v>160</v>
      </c>
      <c r="C94" s="163">
        <v>8</v>
      </c>
      <c r="D94" s="164">
        <v>5.6</v>
      </c>
      <c r="E94" s="52">
        <v>532</v>
      </c>
      <c r="F94" s="163"/>
      <c r="G94" s="163"/>
      <c r="H94" s="163"/>
      <c r="I94" s="163"/>
      <c r="J94" s="163"/>
      <c r="K94" s="27"/>
      <c r="L94" s="27"/>
      <c r="M94" s="27"/>
      <c r="N94" s="188"/>
      <c r="O94" s="188"/>
      <c r="P94" s="188"/>
      <c r="Q94" s="27">
        <v>82</v>
      </c>
      <c r="R94" s="188">
        <v>36</v>
      </c>
      <c r="S94" s="27">
        <v>1352</v>
      </c>
      <c r="T94" s="188">
        <v>69</v>
      </c>
      <c r="U94" s="163">
        <f t="shared" si="25"/>
        <v>1421</v>
      </c>
      <c r="V94" s="202">
        <v>0</v>
      </c>
      <c r="W94" s="169" t="str">
        <f t="shared" si="26"/>
        <v/>
      </c>
      <c r="X94" s="185">
        <v>99.6</v>
      </c>
      <c r="Y94" s="186">
        <v>97.1</v>
      </c>
      <c r="Z94" s="172">
        <v>98.4</v>
      </c>
      <c r="AD94" s="208"/>
      <c r="AE94" s="209"/>
      <c r="AF94" s="208"/>
      <c r="AI94" s="199"/>
      <c r="AJ94" s="199"/>
      <c r="AK94" s="199"/>
      <c r="AL94" s="199"/>
      <c r="AM94" s="199"/>
      <c r="AN94" s="199"/>
      <c r="AO94" s="199"/>
      <c r="AP94" s="181"/>
      <c r="AQ94" s="181"/>
      <c r="AR94" s="181"/>
      <c r="AS94" s="180"/>
      <c r="AT94" s="180"/>
      <c r="AU94" s="180"/>
      <c r="AV94" s="203"/>
      <c r="AW94" s="203"/>
      <c r="AX94" s="204"/>
      <c r="AY94" s="204"/>
      <c r="AZ94" s="204"/>
      <c r="BA94" s="163"/>
      <c r="BB94" s="163"/>
      <c r="BC94" s="163"/>
      <c r="BD94" s="163"/>
      <c r="BE94" s="163"/>
      <c r="BF94" s="27"/>
      <c r="BG94" s="27"/>
      <c r="BH94" s="188"/>
      <c r="BI94" s="188"/>
      <c r="BJ94" s="189"/>
      <c r="BK94" s="189"/>
      <c r="BL94" s="180"/>
      <c r="BM94" s="180"/>
      <c r="BN94" s="181"/>
      <c r="BO94" s="181"/>
      <c r="BP94" s="182"/>
      <c r="BQ94" s="182"/>
      <c r="BR94" s="183"/>
      <c r="BS94" s="183"/>
      <c r="BT94" s="183"/>
      <c r="BU94" s="188"/>
      <c r="BV94" s="27"/>
      <c r="BW94" s="27"/>
      <c r="BX94" s="188"/>
      <c r="BY94" s="188"/>
      <c r="BZ94" s="27"/>
      <c r="CA94" s="27"/>
      <c r="CB94" s="188"/>
      <c r="CC94" s="188"/>
      <c r="CD94" s="27"/>
      <c r="CE94" s="27"/>
      <c r="CF94" s="27"/>
      <c r="CG94" s="199"/>
      <c r="CH94" s="199"/>
      <c r="CI94" s="27"/>
      <c r="CJ94" s="27"/>
      <c r="CK94" s="163"/>
      <c r="CL94" s="163"/>
      <c r="CM94" s="163"/>
      <c r="CN94" s="163"/>
      <c r="CO94" s="163"/>
      <c r="CP94" s="163"/>
      <c r="CQ94" s="163"/>
    </row>
    <row r="95" spans="1:95" s="207" customFormat="1" x14ac:dyDescent="0.15">
      <c r="A95" s="200"/>
      <c r="B95" s="201" t="s">
        <v>161</v>
      </c>
      <c r="C95" s="163">
        <v>8</v>
      </c>
      <c r="D95" s="164">
        <v>5.7</v>
      </c>
      <c r="E95" s="52">
        <v>100</v>
      </c>
      <c r="F95" s="163" t="s">
        <v>144</v>
      </c>
      <c r="G95" s="163"/>
      <c r="H95" s="163"/>
      <c r="I95" s="163"/>
      <c r="J95" s="163"/>
      <c r="K95" s="27"/>
      <c r="L95" s="27"/>
      <c r="M95" s="27"/>
      <c r="N95" s="188"/>
      <c r="O95" s="188"/>
      <c r="P95" s="188"/>
      <c r="Q95" s="27">
        <v>99</v>
      </c>
      <c r="R95" s="188">
        <v>114</v>
      </c>
      <c r="S95" s="27">
        <f>591+V95</f>
        <v>646</v>
      </c>
      <c r="T95" s="188">
        <f>486+V95</f>
        <v>541</v>
      </c>
      <c r="U95" s="163">
        <f t="shared" si="25"/>
        <v>1132</v>
      </c>
      <c r="V95" s="202">
        <v>55</v>
      </c>
      <c r="W95" s="169">
        <f t="shared" si="26"/>
        <v>0.10166358595194085</v>
      </c>
      <c r="X95" s="185">
        <v>72.8</v>
      </c>
      <c r="Y95" s="186">
        <v>66.8</v>
      </c>
      <c r="Z95" s="172">
        <f t="shared" si="28"/>
        <v>69.8</v>
      </c>
      <c r="AD95" s="208"/>
      <c r="AE95" s="209"/>
      <c r="AF95" s="208"/>
      <c r="AI95" s="199">
        <v>23.3</v>
      </c>
      <c r="AJ95" s="199"/>
      <c r="AK95" s="199"/>
      <c r="AL95" s="199"/>
      <c r="AM95" s="199"/>
      <c r="AN95" s="199"/>
      <c r="AO95" s="199"/>
      <c r="AP95" s="181">
        <f>8.874/AI95</f>
        <v>0.38085836909871246</v>
      </c>
      <c r="AQ95" s="181">
        <f>0.3329/AI95</f>
        <v>1.4287553648068668E-2</v>
      </c>
      <c r="AR95" s="181">
        <f>0.068/AI95</f>
        <v>2.9184549356223179E-3</v>
      </c>
      <c r="AS95" s="180">
        <f>14.054/AI95</f>
        <v>0.60317596566523601</v>
      </c>
      <c r="AT95" s="180">
        <f>0.274/AI95</f>
        <v>1.1759656652360515E-2</v>
      </c>
      <c r="AU95" s="180">
        <f>0.028/AI95</f>
        <v>1.2017167381974249E-3</v>
      </c>
      <c r="AV95" s="203"/>
      <c r="AW95" s="203"/>
      <c r="AX95" s="204"/>
      <c r="AY95" s="204"/>
      <c r="AZ95" s="204"/>
      <c r="BA95" s="163"/>
      <c r="BB95" s="163"/>
      <c r="BC95" s="163"/>
      <c r="BD95" s="163"/>
      <c r="BE95" s="163"/>
      <c r="BF95" s="27"/>
      <c r="BG95" s="27"/>
      <c r="BH95" s="188"/>
      <c r="BI95" s="188"/>
      <c r="BJ95" s="189"/>
      <c r="BK95" s="189"/>
      <c r="BL95" s="180"/>
      <c r="BM95" s="180"/>
      <c r="BN95" s="181"/>
      <c r="BO95" s="181"/>
      <c r="BP95" s="182"/>
      <c r="BQ95" s="182"/>
      <c r="BR95" s="183"/>
      <c r="BS95" s="183"/>
      <c r="BT95" s="183"/>
      <c r="BU95" s="188"/>
      <c r="BV95" s="27"/>
      <c r="BW95" s="27"/>
      <c r="BX95" s="188"/>
      <c r="BY95" s="188"/>
      <c r="BZ95" s="27"/>
      <c r="CA95" s="27"/>
      <c r="CB95" s="188"/>
      <c r="CC95" s="188"/>
      <c r="CD95" s="27"/>
      <c r="CE95" s="27"/>
      <c r="CF95" s="27"/>
      <c r="CG95" s="199"/>
      <c r="CH95" s="199"/>
      <c r="CI95" s="27"/>
      <c r="CJ95" s="27"/>
      <c r="CK95" s="163"/>
      <c r="CL95" s="163"/>
      <c r="CM95" s="163"/>
      <c r="CN95" s="163"/>
      <c r="CO95" s="163"/>
      <c r="CP95" s="163"/>
      <c r="CQ95" s="163"/>
    </row>
    <row r="96" spans="1:95" s="207" customFormat="1" x14ac:dyDescent="0.15">
      <c r="A96" s="200"/>
      <c r="B96" s="201" t="s">
        <v>414</v>
      </c>
      <c r="C96" s="163">
        <v>8</v>
      </c>
      <c r="D96" s="164"/>
      <c r="E96" s="52">
        <f>600*1.92</f>
        <v>1152</v>
      </c>
      <c r="F96" s="163"/>
      <c r="G96" s="163"/>
      <c r="H96" s="163"/>
      <c r="I96" s="163"/>
      <c r="J96" s="163"/>
      <c r="K96" s="27"/>
      <c r="L96" s="27"/>
      <c r="M96" s="27"/>
      <c r="N96" s="188"/>
      <c r="O96" s="188"/>
      <c r="P96" s="188"/>
      <c r="Q96" s="27"/>
      <c r="R96" s="188"/>
      <c r="S96" s="27">
        <v>230</v>
      </c>
      <c r="T96" s="188">
        <v>358</v>
      </c>
      <c r="U96" s="163">
        <f t="shared" si="25"/>
        <v>588</v>
      </c>
      <c r="V96" s="202">
        <v>0</v>
      </c>
      <c r="W96" s="169" t="str">
        <f t="shared" si="26"/>
        <v/>
      </c>
      <c r="X96" s="185">
        <v>100</v>
      </c>
      <c r="Y96" s="186">
        <v>100</v>
      </c>
      <c r="Z96" s="172">
        <f t="shared" si="28"/>
        <v>100</v>
      </c>
      <c r="AD96" s="208"/>
      <c r="AE96" s="209"/>
      <c r="AF96" s="208"/>
      <c r="AI96" s="199"/>
      <c r="AJ96" s="199"/>
      <c r="AK96" s="199"/>
      <c r="AL96" s="199"/>
      <c r="AM96" s="199"/>
      <c r="AN96" s="199"/>
      <c r="AO96" s="199"/>
      <c r="AP96" s="181"/>
      <c r="AQ96" s="181"/>
      <c r="AR96" s="181"/>
      <c r="AS96" s="180"/>
      <c r="AT96" s="180"/>
      <c r="AU96" s="180"/>
      <c r="AV96" s="203"/>
      <c r="AW96" s="203"/>
      <c r="AX96" s="204"/>
      <c r="AY96" s="204"/>
      <c r="AZ96" s="204"/>
      <c r="BA96" s="163"/>
      <c r="BB96" s="163"/>
      <c r="BC96" s="163"/>
      <c r="BD96" s="163"/>
      <c r="BE96" s="163"/>
      <c r="BF96" s="27"/>
      <c r="BG96" s="27"/>
      <c r="BH96" s="188"/>
      <c r="BI96" s="188"/>
      <c r="BJ96" s="189"/>
      <c r="BK96" s="189"/>
      <c r="BL96" s="180"/>
      <c r="BM96" s="180"/>
      <c r="BN96" s="181"/>
      <c r="BO96" s="181"/>
      <c r="BP96" s="182"/>
      <c r="BQ96" s="182"/>
      <c r="BR96" s="183"/>
      <c r="BS96" s="183"/>
      <c r="BT96" s="183"/>
      <c r="BU96" s="188"/>
      <c r="BV96" s="27"/>
      <c r="BW96" s="27"/>
      <c r="BX96" s="188"/>
      <c r="BY96" s="188"/>
      <c r="BZ96" s="27"/>
      <c r="CA96" s="27"/>
      <c r="CB96" s="188"/>
      <c r="CC96" s="188"/>
      <c r="CD96" s="27"/>
      <c r="CE96" s="27"/>
      <c r="CF96" s="27"/>
      <c r="CG96" s="199"/>
      <c r="CH96" s="199"/>
      <c r="CI96" s="27"/>
      <c r="CJ96" s="27"/>
      <c r="CK96" s="163"/>
      <c r="CL96" s="163"/>
      <c r="CM96" s="163"/>
      <c r="CN96" s="163"/>
      <c r="CO96" s="163"/>
      <c r="CP96" s="163"/>
      <c r="CQ96" s="163"/>
    </row>
    <row r="97" spans="1:95" s="474" customFormat="1" x14ac:dyDescent="0.15">
      <c r="A97" s="462"/>
      <c r="B97" s="463" t="s">
        <v>414</v>
      </c>
      <c r="C97" s="464">
        <v>8</v>
      </c>
      <c r="D97" s="465"/>
      <c r="E97" s="466">
        <f>500*1.92</f>
        <v>960</v>
      </c>
      <c r="F97" s="464"/>
      <c r="G97" s="464"/>
      <c r="H97" s="464"/>
      <c r="I97" s="464"/>
      <c r="J97" s="464"/>
      <c r="K97" s="467"/>
      <c r="L97" s="467"/>
      <c r="M97" s="467"/>
      <c r="N97" s="468"/>
      <c r="O97" s="468"/>
      <c r="P97" s="468"/>
      <c r="Q97" s="467"/>
      <c r="R97" s="468"/>
      <c r="S97" s="467">
        <v>112</v>
      </c>
      <c r="T97" s="468">
        <v>40</v>
      </c>
      <c r="U97" s="464">
        <f t="shared" si="25"/>
        <v>152</v>
      </c>
      <c r="V97" s="469">
        <v>0</v>
      </c>
      <c r="W97" s="470" t="str">
        <f t="shared" si="26"/>
        <v/>
      </c>
      <c r="X97" s="471">
        <v>100</v>
      </c>
      <c r="Y97" s="472">
        <v>100</v>
      </c>
      <c r="Z97" s="473">
        <f t="shared" si="28"/>
        <v>100</v>
      </c>
      <c r="AD97" s="475"/>
      <c r="AE97" s="476"/>
      <c r="AF97" s="475"/>
      <c r="AI97" s="477"/>
      <c r="AJ97" s="477"/>
      <c r="AK97" s="477"/>
      <c r="AL97" s="477"/>
      <c r="AM97" s="477"/>
      <c r="AN97" s="477"/>
      <c r="AO97" s="477"/>
      <c r="AP97" s="478"/>
      <c r="AQ97" s="478"/>
      <c r="AR97" s="478"/>
      <c r="AS97" s="479"/>
      <c r="AT97" s="479"/>
      <c r="AU97" s="479"/>
      <c r="AV97" s="480"/>
      <c r="AW97" s="480"/>
      <c r="AX97" s="481"/>
      <c r="AY97" s="481"/>
      <c r="AZ97" s="481"/>
      <c r="BA97" s="464"/>
      <c r="BB97" s="464"/>
      <c r="BC97" s="464"/>
      <c r="BD97" s="464"/>
      <c r="BE97" s="464"/>
      <c r="BF97" s="467"/>
      <c r="BG97" s="467"/>
      <c r="BH97" s="468"/>
      <c r="BI97" s="468"/>
      <c r="BJ97" s="482"/>
      <c r="BK97" s="482"/>
      <c r="BL97" s="479"/>
      <c r="BM97" s="479"/>
      <c r="BN97" s="478"/>
      <c r="BO97" s="478"/>
      <c r="BP97" s="483"/>
      <c r="BQ97" s="483"/>
      <c r="BR97" s="484"/>
      <c r="BS97" s="484"/>
      <c r="BT97" s="484"/>
      <c r="BU97" s="468"/>
      <c r="BV97" s="467"/>
      <c r="BW97" s="467"/>
      <c r="BX97" s="468"/>
      <c r="BY97" s="468"/>
      <c r="BZ97" s="467"/>
      <c r="CA97" s="467"/>
      <c r="CB97" s="468"/>
      <c r="CC97" s="468"/>
      <c r="CD97" s="467"/>
      <c r="CE97" s="467"/>
      <c r="CF97" s="467"/>
      <c r="CG97" s="477"/>
      <c r="CH97" s="477"/>
      <c r="CI97" s="467"/>
      <c r="CJ97" s="467"/>
      <c r="CK97" s="464"/>
      <c r="CL97" s="464"/>
      <c r="CM97" s="464"/>
      <c r="CN97" s="464"/>
      <c r="CO97" s="464"/>
      <c r="CP97" s="464"/>
      <c r="CQ97" s="464"/>
    </row>
    <row r="98" spans="1:95" s="474" customFormat="1" x14ac:dyDescent="0.15">
      <c r="A98" s="462"/>
      <c r="B98" s="463" t="s">
        <v>415</v>
      </c>
      <c r="C98" s="464">
        <v>8</v>
      </c>
      <c r="D98" s="465"/>
      <c r="E98" s="466">
        <f>400*1.92</f>
        <v>768</v>
      </c>
      <c r="F98" s="464"/>
      <c r="G98" s="464"/>
      <c r="H98" s="464"/>
      <c r="I98" s="464"/>
      <c r="J98" s="464"/>
      <c r="K98" s="467"/>
      <c r="L98" s="467"/>
      <c r="M98" s="467"/>
      <c r="N98" s="468"/>
      <c r="O98" s="468"/>
      <c r="P98" s="468"/>
      <c r="Q98" s="467"/>
      <c r="R98" s="468"/>
      <c r="S98" s="467">
        <v>43</v>
      </c>
      <c r="T98" s="468">
        <v>52</v>
      </c>
      <c r="U98" s="464">
        <f t="shared" si="25"/>
        <v>95</v>
      </c>
      <c r="V98" s="469">
        <v>0</v>
      </c>
      <c r="W98" s="470" t="str">
        <f t="shared" si="26"/>
        <v/>
      </c>
      <c r="X98" s="471">
        <v>100</v>
      </c>
      <c r="Y98" s="472">
        <v>100</v>
      </c>
      <c r="Z98" s="473">
        <f t="shared" si="28"/>
        <v>100</v>
      </c>
      <c r="AD98" s="475"/>
      <c r="AE98" s="476"/>
      <c r="AF98" s="475"/>
      <c r="AI98" s="477"/>
      <c r="AJ98" s="477"/>
      <c r="AK98" s="477"/>
      <c r="AL98" s="477"/>
      <c r="AM98" s="477"/>
      <c r="AN98" s="477"/>
      <c r="AO98" s="477"/>
      <c r="AP98" s="478"/>
      <c r="AQ98" s="478"/>
      <c r="AR98" s="478"/>
      <c r="AS98" s="479"/>
      <c r="AT98" s="479"/>
      <c r="AU98" s="479"/>
      <c r="AV98" s="480"/>
      <c r="AW98" s="480"/>
      <c r="AX98" s="481"/>
      <c r="AY98" s="481"/>
      <c r="AZ98" s="481"/>
      <c r="BA98" s="464"/>
      <c r="BB98" s="464"/>
      <c r="BC98" s="464"/>
      <c r="BD98" s="464"/>
      <c r="BE98" s="464"/>
      <c r="BF98" s="467"/>
      <c r="BG98" s="467"/>
      <c r="BH98" s="468"/>
      <c r="BI98" s="468"/>
      <c r="BJ98" s="482"/>
      <c r="BK98" s="482"/>
      <c r="BL98" s="479"/>
      <c r="BM98" s="479"/>
      <c r="BN98" s="478"/>
      <c r="BO98" s="478"/>
      <c r="BP98" s="483"/>
      <c r="BQ98" s="483"/>
      <c r="BR98" s="484"/>
      <c r="BS98" s="484"/>
      <c r="BT98" s="484"/>
      <c r="BU98" s="468"/>
      <c r="BV98" s="467"/>
      <c r="BW98" s="467"/>
      <c r="BX98" s="468"/>
      <c r="BY98" s="468"/>
      <c r="BZ98" s="467"/>
      <c r="CA98" s="467"/>
      <c r="CB98" s="468"/>
      <c r="CC98" s="468"/>
      <c r="CD98" s="467"/>
      <c r="CE98" s="467"/>
      <c r="CF98" s="467"/>
      <c r="CG98" s="477"/>
      <c r="CH98" s="477"/>
      <c r="CI98" s="467"/>
      <c r="CJ98" s="467"/>
      <c r="CK98" s="464"/>
      <c r="CL98" s="464"/>
      <c r="CM98" s="464"/>
      <c r="CN98" s="464"/>
      <c r="CO98" s="464"/>
      <c r="CP98" s="464"/>
      <c r="CQ98" s="464"/>
    </row>
    <row r="99" spans="1:95" s="70" customFormat="1" x14ac:dyDescent="0.15">
      <c r="A99" s="114" t="s">
        <v>162</v>
      </c>
      <c r="B99" s="82">
        <f>STDEV(D73:D95)</f>
        <v>1.2160652221430959</v>
      </c>
      <c r="D99" s="115">
        <f>AVERAGE(D73:D95)</f>
        <v>4.4734782608695642</v>
      </c>
      <c r="E99" s="73">
        <f>MEDIAN(E73:E95)</f>
        <v>190</v>
      </c>
      <c r="F99" s="73">
        <f>STDEV(E73:E95)</f>
        <v>126.49209070869888</v>
      </c>
      <c r="G99" s="73"/>
      <c r="H99" s="73"/>
      <c r="I99" s="73"/>
      <c r="J99" s="73"/>
      <c r="Q99" s="73"/>
      <c r="R99" s="73"/>
      <c r="S99" s="73">
        <f>AVERAGE(S73:S95)</f>
        <v>658.52173913043475</v>
      </c>
      <c r="T99" s="73">
        <f>AVERAGE(T73:T95)</f>
        <v>476.39130434782606</v>
      </c>
      <c r="U99" s="73">
        <f>SUM(S99:T99)</f>
        <v>1134.9130434782608</v>
      </c>
      <c r="V99" s="116"/>
      <c r="W99" s="133"/>
      <c r="X99" s="82"/>
      <c r="Y99" s="82"/>
      <c r="Z99" s="82">
        <f>MEDIAN(Z73:Z95)</f>
        <v>69.8</v>
      </c>
      <c r="AA99" s="83">
        <f>STDEV(Z73:Z95)</f>
        <v>13.510943814804314</v>
      </c>
      <c r="AG99" s="70">
        <f>(AI99/AVERAGE(AG72:AG77))*AG9</f>
        <v>0</v>
      </c>
      <c r="AH99" s="84">
        <f>AVERAGE(AH73:AH87)</f>
        <v>0.27509803899100355</v>
      </c>
      <c r="AI99" s="70">
        <f>AVERAGE(AI73:AI77)</f>
        <v>11.508399999999998</v>
      </c>
      <c r="AP99" s="133">
        <f t="shared" ref="AP99:AU99" si="32">AVERAGE(AP73:AP82)</f>
        <v>0.18129552115390768</v>
      </c>
      <c r="AQ99" s="133">
        <f t="shared" si="32"/>
        <v>2.1144814920679721E-2</v>
      </c>
      <c r="AR99" s="133">
        <f t="shared" si="32"/>
        <v>6.2413604032349849E-3</v>
      </c>
      <c r="AS99" s="133">
        <f t="shared" si="32"/>
        <v>0.23412611363446945</v>
      </c>
      <c r="AT99" s="133">
        <f t="shared" si="32"/>
        <v>3.2176347723468154E-2</v>
      </c>
      <c r="AU99" s="133">
        <f t="shared" si="32"/>
        <v>1.1836906564422512E-2</v>
      </c>
      <c r="AV99" s="73"/>
      <c r="AW99" s="73"/>
      <c r="AX99" s="73"/>
      <c r="AY99" s="73"/>
      <c r="AZ99" s="73"/>
      <c r="BA99" s="138"/>
      <c r="BB99" s="138"/>
      <c r="BC99" s="138"/>
      <c r="BD99" s="138"/>
      <c r="BE99" s="138"/>
      <c r="BF99" s="139"/>
      <c r="BG99" s="139"/>
      <c r="BH99" s="140"/>
      <c r="BI99" s="140"/>
      <c r="BJ99" s="141"/>
      <c r="BK99" s="141"/>
      <c r="BL99" s="142"/>
      <c r="BM99" s="142"/>
      <c r="BN99" s="143"/>
      <c r="BO99" s="143"/>
      <c r="BP99" s="144"/>
      <c r="BQ99" s="144"/>
      <c r="BR99" s="145"/>
      <c r="BS99" s="145"/>
      <c r="BT99" s="145"/>
    </row>
    <row r="100" spans="1:95" x14ac:dyDescent="0.15">
      <c r="A100" s="117" t="s">
        <v>163</v>
      </c>
      <c r="B100" s="19" t="s">
        <v>164</v>
      </c>
      <c r="C100" s="4">
        <v>12</v>
      </c>
      <c r="D100" s="94">
        <v>5.3</v>
      </c>
      <c r="E100" s="118">
        <v>200</v>
      </c>
      <c r="F100" s="15"/>
      <c r="G100" s="15"/>
      <c r="H100" s="14"/>
      <c r="I100" s="14"/>
      <c r="J100" s="14"/>
      <c r="Q100" s="14">
        <v>52</v>
      </c>
      <c r="R100" s="15">
        <v>42</v>
      </c>
      <c r="S100" s="14">
        <v>187</v>
      </c>
      <c r="T100" s="15">
        <v>62</v>
      </c>
      <c r="U100" s="93">
        <f t="shared" ref="U100:U115" si="33">IF(S100&gt;0.9,SUM(S100:T100)-V100,"")</f>
        <v>249</v>
      </c>
      <c r="V100" s="119">
        <v>0</v>
      </c>
      <c r="W100" s="101" t="str">
        <f t="shared" ref="W100:W111" si="34">IF(V100&gt;0.9,(IF(S100&gt;T100,V100/T100,V100/S100)),"")</f>
        <v/>
      </c>
      <c r="X100" s="9">
        <v>95.7</v>
      </c>
      <c r="Y100" s="10">
        <v>77.400000000000006</v>
      </c>
      <c r="Z100" s="104">
        <f>IF(A100="x","x",IF(X100&gt;1,(IF(S100&gt;1,(IF(S100&gt;T100,(IF((S100/T100)&lt;5,AVERAGE(X100:Y100),"")),IF(S100&lt;T100,(IF((T100/S100)&lt;5,AVERAGE(X100:Y100),""))))),"")),""))</f>
        <v>86.550000000000011</v>
      </c>
    </row>
    <row r="101" spans="1:95" s="106" customFormat="1" x14ac:dyDescent="0.15">
      <c r="A101" s="130"/>
      <c r="B101" s="92" t="s">
        <v>165</v>
      </c>
      <c r="C101" s="4">
        <v>12</v>
      </c>
      <c r="D101" s="94">
        <v>5.6</v>
      </c>
      <c r="E101" s="95">
        <v>280</v>
      </c>
      <c r="F101" s="96"/>
      <c r="G101" s="96"/>
      <c r="H101" s="97"/>
      <c r="I101" s="97"/>
      <c r="J101" s="97"/>
      <c r="K101" s="98"/>
      <c r="L101" s="98"/>
      <c r="M101" s="98"/>
      <c r="N101" s="99"/>
      <c r="O101" s="99"/>
      <c r="P101" s="99"/>
      <c r="Q101" s="97">
        <v>60</v>
      </c>
      <c r="R101" s="96">
        <v>48</v>
      </c>
      <c r="S101" s="97">
        <v>244</v>
      </c>
      <c r="T101" s="96">
        <v>195</v>
      </c>
      <c r="U101" s="93">
        <f t="shared" si="33"/>
        <v>439</v>
      </c>
      <c r="V101" s="100">
        <v>0</v>
      </c>
      <c r="W101" s="101" t="str">
        <f t="shared" si="34"/>
        <v/>
      </c>
      <c r="X101" s="102">
        <v>93</v>
      </c>
      <c r="Y101" s="103">
        <v>89.7</v>
      </c>
      <c r="Z101" s="104">
        <f t="shared" ref="Z101:Z115" si="35">IF(A101="x","x",IF(X101&gt;1,(IF(S101&gt;1,(IF(S101&gt;T101,(IF((S101/T101)&lt;5,AVERAGE(X101:Y101),"")),IF(S101&lt;T101,(IF((T101/S101)&lt;5,AVERAGE(X101:Y101),""))))),"")),""))</f>
        <v>91.35</v>
      </c>
      <c r="AG101" s="106">
        <v>30.68</v>
      </c>
      <c r="AH101" s="106">
        <f>AI101/AG101</f>
        <v>0.33282268578878749</v>
      </c>
      <c r="AI101" s="106">
        <v>10.211</v>
      </c>
      <c r="AP101" s="107">
        <f>0.358/AI101</f>
        <v>3.506022916462638E-2</v>
      </c>
      <c r="AQ101" s="107">
        <f>0.161/AI101</f>
        <v>1.5767309763980022E-2</v>
      </c>
      <c r="AR101" s="107">
        <f>0.088/AI101</f>
        <v>8.6181568896288308E-3</v>
      </c>
      <c r="AS101" s="108">
        <f>0.2916/AI101</f>
        <v>2.8557438056997359E-2</v>
      </c>
      <c r="AT101" s="108">
        <f>0.171/AI101</f>
        <v>1.6746645774165118E-2</v>
      </c>
      <c r="AU101" s="108">
        <f>0.077/AI101</f>
        <v>7.5408872784252278E-3</v>
      </c>
      <c r="AV101" s="96"/>
      <c r="AW101" s="96"/>
      <c r="AX101" s="97"/>
      <c r="AY101" s="97"/>
      <c r="AZ101" s="97"/>
      <c r="BA101" s="93"/>
      <c r="BB101" s="93"/>
      <c r="BC101" s="93"/>
      <c r="BD101" s="93"/>
      <c r="BE101" s="93"/>
      <c r="BF101" s="97"/>
      <c r="BG101" s="97"/>
      <c r="BH101" s="96"/>
      <c r="BI101" s="96"/>
      <c r="BJ101" s="110"/>
      <c r="BK101" s="110"/>
      <c r="BL101" s="108"/>
      <c r="BM101" s="108"/>
      <c r="BN101" s="107"/>
      <c r="BO101" s="107"/>
      <c r="BP101" s="111"/>
      <c r="BQ101" s="111"/>
      <c r="BR101" s="112"/>
      <c r="BS101" s="112"/>
      <c r="BT101" s="112"/>
    </row>
    <row r="102" spans="1:95" s="106" customFormat="1" x14ac:dyDescent="0.15">
      <c r="A102" s="132"/>
      <c r="B102" s="92" t="s">
        <v>166</v>
      </c>
      <c r="C102" s="4">
        <v>12</v>
      </c>
      <c r="D102" s="94">
        <v>5.6</v>
      </c>
      <c r="E102" s="95">
        <v>280</v>
      </c>
      <c r="F102" s="96"/>
      <c r="G102" s="96"/>
      <c r="H102" s="97"/>
      <c r="I102" s="97"/>
      <c r="J102" s="97"/>
      <c r="K102" s="98"/>
      <c r="L102" s="98"/>
      <c r="M102" s="98"/>
      <c r="N102" s="99"/>
      <c r="O102" s="99"/>
      <c r="P102" s="99"/>
      <c r="Q102" s="97">
        <v>47</v>
      </c>
      <c r="R102" s="96">
        <v>41</v>
      </c>
      <c r="S102" s="97">
        <v>117</v>
      </c>
      <c r="T102" s="96">
        <v>72</v>
      </c>
      <c r="U102" s="93">
        <f t="shared" si="33"/>
        <v>189</v>
      </c>
      <c r="V102" s="100">
        <v>0</v>
      </c>
      <c r="W102" s="101" t="str">
        <f t="shared" si="34"/>
        <v/>
      </c>
      <c r="X102" s="102">
        <v>100</v>
      </c>
      <c r="Y102" s="103">
        <v>100</v>
      </c>
      <c r="Z102" s="104">
        <f t="shared" si="35"/>
        <v>100</v>
      </c>
      <c r="AP102" s="107"/>
      <c r="AQ102" s="107"/>
      <c r="AR102" s="107"/>
      <c r="AS102" s="108"/>
      <c r="AT102" s="108"/>
      <c r="AU102" s="108"/>
      <c r="AV102" s="96"/>
      <c r="AW102" s="96"/>
      <c r="AX102" s="97"/>
      <c r="AY102" s="97"/>
      <c r="AZ102" s="97"/>
      <c r="BA102" s="93"/>
      <c r="BB102" s="93"/>
      <c r="BC102" s="93"/>
      <c r="BD102" s="93"/>
      <c r="BE102" s="93"/>
      <c r="BF102" s="97"/>
      <c r="BG102" s="97"/>
      <c r="BH102" s="96"/>
      <c r="BI102" s="96"/>
      <c r="BJ102" s="110"/>
      <c r="BK102" s="110"/>
      <c r="BL102" s="108"/>
      <c r="BM102" s="108"/>
      <c r="BN102" s="107"/>
      <c r="BO102" s="107"/>
      <c r="BP102" s="111"/>
      <c r="BQ102" s="111"/>
      <c r="BR102" s="112"/>
      <c r="BS102" s="112"/>
      <c r="BT102" s="112"/>
    </row>
    <row r="103" spans="1:95" s="106" customFormat="1" x14ac:dyDescent="0.15">
      <c r="A103" s="132"/>
      <c r="B103" s="92" t="s">
        <v>167</v>
      </c>
      <c r="C103" s="4">
        <v>12</v>
      </c>
      <c r="D103" s="94">
        <v>5.5</v>
      </c>
      <c r="E103" s="95">
        <v>250</v>
      </c>
      <c r="F103" s="96"/>
      <c r="G103" s="96"/>
      <c r="H103" s="97"/>
      <c r="I103" s="97"/>
      <c r="J103" s="97"/>
      <c r="K103" s="98"/>
      <c r="L103" s="98"/>
      <c r="M103" s="98"/>
      <c r="N103" s="99"/>
      <c r="O103" s="99"/>
      <c r="P103" s="99"/>
      <c r="Q103" s="97">
        <v>20</v>
      </c>
      <c r="R103" s="96">
        <v>28</v>
      </c>
      <c r="S103" s="97">
        <v>67</v>
      </c>
      <c r="T103" s="96">
        <v>206</v>
      </c>
      <c r="U103" s="93">
        <f t="shared" si="33"/>
        <v>273</v>
      </c>
      <c r="V103" s="100">
        <v>0</v>
      </c>
      <c r="W103" s="101" t="str">
        <f t="shared" si="34"/>
        <v/>
      </c>
      <c r="X103" s="102">
        <v>82.1</v>
      </c>
      <c r="Y103" s="103">
        <v>92.7</v>
      </c>
      <c r="Z103" s="104">
        <f t="shared" si="35"/>
        <v>87.4</v>
      </c>
      <c r="AG103" s="106">
        <v>20.620999999999999</v>
      </c>
      <c r="AH103" s="106">
        <f>AI103/AG103</f>
        <v>0.50337035061345237</v>
      </c>
      <c r="AI103" s="106">
        <v>10.38</v>
      </c>
      <c r="AP103" s="107">
        <f>1.07/AI103</f>
        <v>0.10308285163776493</v>
      </c>
      <c r="AQ103" s="107">
        <f>0.19/AI103</f>
        <v>1.8304431599229287E-2</v>
      </c>
      <c r="AR103" s="107">
        <f>0.053/AI103</f>
        <v>5.105973025048169E-3</v>
      </c>
      <c r="AS103" s="108">
        <f>0.358/AI103</f>
        <v>3.4489402697495182E-2</v>
      </c>
      <c r="AT103" s="108">
        <f>0.124/AI103</f>
        <v>1.1946050096339113E-2</v>
      </c>
      <c r="AU103" s="108">
        <f>0.055/AI103</f>
        <v>5.2986512524084775E-3</v>
      </c>
      <c r="AV103" s="96"/>
      <c r="AW103" s="96"/>
      <c r="AX103" s="97"/>
      <c r="AY103" s="97"/>
      <c r="AZ103" s="97"/>
      <c r="BA103" s="93"/>
      <c r="BB103" s="93"/>
      <c r="BC103" s="93"/>
      <c r="BD103" s="93"/>
      <c r="BE103" s="93"/>
      <c r="BF103" s="97"/>
      <c r="BG103" s="97"/>
      <c r="BH103" s="96"/>
      <c r="BI103" s="96"/>
      <c r="BJ103" s="110"/>
      <c r="BK103" s="110"/>
      <c r="BL103" s="108"/>
      <c r="BM103" s="108"/>
      <c r="BN103" s="107"/>
      <c r="BO103" s="107"/>
      <c r="BP103" s="111"/>
      <c r="BQ103" s="111"/>
      <c r="BR103" s="112"/>
      <c r="BS103" s="112"/>
      <c r="BT103" s="112"/>
    </row>
    <row r="104" spans="1:95" s="106" customFormat="1" x14ac:dyDescent="0.15">
      <c r="A104" s="132"/>
      <c r="B104" s="92" t="s">
        <v>168</v>
      </c>
      <c r="C104" s="4">
        <v>12</v>
      </c>
      <c r="D104" s="94">
        <v>5.0999999999999996</v>
      </c>
      <c r="E104" s="95">
        <v>415</v>
      </c>
      <c r="F104" s="96"/>
      <c r="G104" s="96"/>
      <c r="H104" s="97"/>
      <c r="I104" s="97"/>
      <c r="J104" s="97"/>
      <c r="K104" s="98"/>
      <c r="L104" s="98"/>
      <c r="M104" s="98"/>
      <c r="N104" s="99"/>
      <c r="O104" s="99"/>
      <c r="P104" s="99"/>
      <c r="Q104" s="97">
        <v>28</v>
      </c>
      <c r="R104" s="96">
        <v>24</v>
      </c>
      <c r="S104" s="97">
        <v>88</v>
      </c>
      <c r="T104" s="96">
        <v>61</v>
      </c>
      <c r="U104" s="93">
        <f t="shared" si="33"/>
        <v>149</v>
      </c>
      <c r="V104" s="100">
        <v>0</v>
      </c>
      <c r="W104" s="101" t="str">
        <f t="shared" si="34"/>
        <v/>
      </c>
      <c r="X104" s="102">
        <v>94.3</v>
      </c>
      <c r="Y104" s="103">
        <v>93.4</v>
      </c>
      <c r="Z104" s="104">
        <f t="shared" si="35"/>
        <v>93.85</v>
      </c>
      <c r="AG104" s="106">
        <v>30.620999999999999</v>
      </c>
      <c r="AH104" s="106">
        <f>AI104/AG104</f>
        <v>0.38571568531400019</v>
      </c>
      <c r="AI104" s="106">
        <v>11.811</v>
      </c>
      <c r="AP104" s="107">
        <f>0.277/AI104</f>
        <v>2.3452713572093813E-2</v>
      </c>
      <c r="AQ104" s="107">
        <f>0.138/AI104</f>
        <v>1.1684023368046737E-2</v>
      </c>
      <c r="AR104" s="107">
        <f>0.078/AI104</f>
        <v>6.6040132080264161E-3</v>
      </c>
      <c r="AS104" s="108">
        <f>0.159/AI104</f>
        <v>1.3462026924053848E-2</v>
      </c>
      <c r="AT104" s="108">
        <f>0.081/AI104</f>
        <v>6.8580137160274323E-3</v>
      </c>
      <c r="AU104" s="108">
        <f>0.039/AI104</f>
        <v>3.3020066040132081E-3</v>
      </c>
      <c r="AV104" s="96"/>
      <c r="AW104" s="96"/>
      <c r="AX104" s="97"/>
      <c r="AY104" s="97"/>
      <c r="AZ104" s="97"/>
      <c r="BA104" s="93"/>
      <c r="BB104" s="93"/>
      <c r="BC104" s="93"/>
      <c r="BD104" s="93"/>
      <c r="BE104" s="93"/>
      <c r="BF104" s="97"/>
      <c r="BG104" s="97"/>
      <c r="BH104" s="96"/>
      <c r="BI104" s="96"/>
      <c r="BJ104" s="110"/>
      <c r="BK104" s="110"/>
      <c r="BL104" s="108"/>
      <c r="BM104" s="108"/>
      <c r="BN104" s="107"/>
      <c r="BO104" s="107"/>
      <c r="BP104" s="111"/>
      <c r="BQ104" s="111"/>
      <c r="BR104" s="112"/>
      <c r="BS104" s="112"/>
      <c r="BT104" s="112"/>
    </row>
    <row r="105" spans="1:95" s="106" customFormat="1" x14ac:dyDescent="0.15">
      <c r="A105" s="132"/>
      <c r="B105" s="92" t="s">
        <v>169</v>
      </c>
      <c r="C105" s="4">
        <v>12</v>
      </c>
      <c r="D105" s="94">
        <v>5</v>
      </c>
      <c r="E105" s="95">
        <v>119</v>
      </c>
      <c r="F105" s="96"/>
      <c r="G105" s="96"/>
      <c r="H105" s="97"/>
      <c r="I105" s="97"/>
      <c r="J105" s="97"/>
      <c r="K105" s="98"/>
      <c r="L105" s="98"/>
      <c r="M105" s="98"/>
      <c r="N105" s="99"/>
      <c r="O105" s="99"/>
      <c r="P105" s="99"/>
      <c r="Q105" s="97">
        <v>106</v>
      </c>
      <c r="R105" s="96">
        <v>92</v>
      </c>
      <c r="S105" s="97">
        <f>127+V105</f>
        <v>165</v>
      </c>
      <c r="T105" s="96">
        <f>558+V105</f>
        <v>596</v>
      </c>
      <c r="U105" s="93">
        <f t="shared" si="33"/>
        <v>723</v>
      </c>
      <c r="V105" s="100">
        <v>38</v>
      </c>
      <c r="W105" s="101">
        <f t="shared" si="34"/>
        <v>0.23030303030303031</v>
      </c>
      <c r="X105" s="102">
        <v>55.8</v>
      </c>
      <c r="Y105" s="103">
        <v>85.1</v>
      </c>
      <c r="Z105" s="104">
        <f t="shared" si="35"/>
        <v>70.449999999999989</v>
      </c>
      <c r="AG105" s="106">
        <v>30.68</v>
      </c>
      <c r="AH105" s="106">
        <f>AI105/AG105</f>
        <v>0.23494132985658411</v>
      </c>
      <c r="AI105" s="106">
        <v>7.2080000000000002</v>
      </c>
      <c r="AP105" s="107">
        <f>0.1542/AI105</f>
        <v>2.1392896781354052E-2</v>
      </c>
      <c r="AQ105" s="107">
        <f>0.192/AI105</f>
        <v>2.6637069922308545E-2</v>
      </c>
      <c r="AR105" s="107">
        <f>0.102/AI105</f>
        <v>1.4150943396226414E-2</v>
      </c>
      <c r="AS105" s="108">
        <f>0.8/AG105</f>
        <v>2.607561929595828E-2</v>
      </c>
      <c r="AT105" s="108">
        <f>0.025/AI105</f>
        <v>3.4683684794672587E-3</v>
      </c>
      <c r="AU105" s="108">
        <f>0.014/AI105</f>
        <v>1.9422863485016649E-3</v>
      </c>
      <c r="AV105" s="96"/>
      <c r="AW105" s="96"/>
      <c r="AX105" s="97"/>
      <c r="AY105" s="97"/>
      <c r="AZ105" s="97"/>
      <c r="BA105" s="93"/>
      <c r="BB105" s="93"/>
      <c r="BC105" s="93"/>
      <c r="BD105" s="93"/>
      <c r="BE105" s="93"/>
      <c r="BF105" s="97"/>
      <c r="BG105" s="97"/>
      <c r="BH105" s="96"/>
      <c r="BI105" s="96"/>
      <c r="BJ105" s="110"/>
      <c r="BK105" s="110"/>
      <c r="BL105" s="108"/>
      <c r="BM105" s="108"/>
      <c r="BN105" s="107"/>
      <c r="BO105" s="107"/>
      <c r="BP105" s="111"/>
      <c r="BQ105" s="111"/>
      <c r="BR105" s="112"/>
      <c r="BS105" s="112"/>
      <c r="BT105" s="112"/>
    </row>
    <row r="106" spans="1:95" s="106" customFormat="1" x14ac:dyDescent="0.15">
      <c r="A106" s="132"/>
      <c r="B106" s="92" t="s">
        <v>170</v>
      </c>
      <c r="C106" s="4">
        <v>12</v>
      </c>
      <c r="D106" s="94">
        <v>6</v>
      </c>
      <c r="E106" s="95">
        <v>100</v>
      </c>
      <c r="F106" s="96"/>
      <c r="G106" s="96"/>
      <c r="H106" s="97"/>
      <c r="I106" s="97"/>
      <c r="J106" s="97"/>
      <c r="K106" s="98"/>
      <c r="L106" s="98"/>
      <c r="M106" s="98"/>
      <c r="N106" s="99"/>
      <c r="O106" s="99"/>
      <c r="P106" s="99"/>
      <c r="Q106" s="97">
        <v>50</v>
      </c>
      <c r="R106" s="96">
        <v>55</v>
      </c>
      <c r="S106" s="97">
        <f>47+V106</f>
        <v>69</v>
      </c>
      <c r="T106" s="96">
        <f>93+V106</f>
        <v>115</v>
      </c>
      <c r="U106" s="93">
        <f t="shared" si="33"/>
        <v>162</v>
      </c>
      <c r="V106" s="100">
        <v>22</v>
      </c>
      <c r="W106" s="101">
        <f t="shared" si="34"/>
        <v>0.3188405797101449</v>
      </c>
      <c r="X106" s="102">
        <v>44.2</v>
      </c>
      <c r="Y106" s="103">
        <v>64.8</v>
      </c>
      <c r="Z106" s="104">
        <f t="shared" si="35"/>
        <v>54.5</v>
      </c>
      <c r="AG106" s="106">
        <v>30.85</v>
      </c>
      <c r="AH106" s="106">
        <f>AI106/AG106</f>
        <v>0.27442463533225281</v>
      </c>
      <c r="AI106" s="106">
        <v>8.4659999999999993</v>
      </c>
      <c r="AP106" s="107">
        <f>0.235/AI106</f>
        <v>2.7758091188282541E-2</v>
      </c>
      <c r="AQ106" s="107">
        <f>0.091/AI106</f>
        <v>1.0748877864398772E-2</v>
      </c>
      <c r="AR106" s="107">
        <f>0.014/AI106</f>
        <v>1.6536735175998111E-3</v>
      </c>
      <c r="AS106" s="108">
        <f>0.214/AI106</f>
        <v>2.5277580911882827E-2</v>
      </c>
      <c r="AT106" s="108">
        <f>0.04/AI106</f>
        <v>4.7247814788566036E-3</v>
      </c>
      <c r="AU106" s="108">
        <f>0.009/AI106</f>
        <v>1.0630758327427356E-3</v>
      </c>
      <c r="AV106" s="96"/>
      <c r="AW106" s="96"/>
      <c r="AX106" s="97"/>
      <c r="AY106" s="97"/>
      <c r="AZ106" s="97"/>
      <c r="BA106" s="93"/>
      <c r="BB106" s="93"/>
      <c r="BC106" s="93"/>
      <c r="BD106" s="93"/>
      <c r="BE106" s="93"/>
      <c r="BF106" s="97"/>
      <c r="BG106" s="97"/>
      <c r="BH106" s="96"/>
      <c r="BI106" s="96"/>
      <c r="BJ106" s="110"/>
      <c r="BK106" s="110"/>
      <c r="BL106" s="108"/>
      <c r="BM106" s="108"/>
      <c r="BN106" s="107"/>
      <c r="BO106" s="107"/>
      <c r="BP106" s="111"/>
      <c r="BQ106" s="111"/>
      <c r="BR106" s="112"/>
      <c r="BS106" s="112"/>
      <c r="BT106" s="112"/>
    </row>
    <row r="107" spans="1:95" s="106" customFormat="1" x14ac:dyDescent="0.15">
      <c r="A107" s="132"/>
      <c r="B107" s="92" t="s">
        <v>171</v>
      </c>
      <c r="C107" s="4">
        <v>12</v>
      </c>
      <c r="D107" s="94">
        <v>4.9000000000000004</v>
      </c>
      <c r="E107" s="95">
        <v>85</v>
      </c>
      <c r="F107" s="96"/>
      <c r="G107" s="96"/>
      <c r="H107" s="97"/>
      <c r="I107" s="97"/>
      <c r="J107" s="97"/>
      <c r="K107" s="98"/>
      <c r="L107" s="98"/>
      <c r="M107" s="98"/>
      <c r="N107" s="99"/>
      <c r="O107" s="99"/>
      <c r="P107" s="99"/>
      <c r="Q107" s="97">
        <v>72</v>
      </c>
      <c r="R107" s="96">
        <v>46</v>
      </c>
      <c r="S107" s="97">
        <f>316+V107</f>
        <v>333</v>
      </c>
      <c r="T107" s="96">
        <f>107+V107</f>
        <v>124</v>
      </c>
      <c r="U107" s="93">
        <f t="shared" si="33"/>
        <v>440</v>
      </c>
      <c r="V107" s="100">
        <v>17</v>
      </c>
      <c r="W107" s="101">
        <f t="shared" si="34"/>
        <v>0.13709677419354838</v>
      </c>
      <c r="X107" s="102">
        <v>75.7</v>
      </c>
      <c r="Y107" s="103">
        <v>37.9</v>
      </c>
      <c r="Z107" s="104">
        <f t="shared" si="35"/>
        <v>56.8</v>
      </c>
      <c r="AG107" s="106">
        <v>30.791</v>
      </c>
      <c r="AH107" s="106">
        <f>AI107/AG107</f>
        <v>0.25065765970575815</v>
      </c>
      <c r="AI107" s="106">
        <v>7.718</v>
      </c>
      <c r="AP107" s="107">
        <f>0.176/AI107</f>
        <v>2.2803835190463851E-2</v>
      </c>
      <c r="AQ107" s="107">
        <f>0.078/AI107</f>
        <v>1.0106245141228298E-2</v>
      </c>
      <c r="AR107" s="107">
        <f>0.022/AI107</f>
        <v>2.8504793988079814E-3</v>
      </c>
      <c r="AS107" s="108">
        <f>0.437/AI107</f>
        <v>5.6620886239958541E-2</v>
      </c>
      <c r="AT107" s="108">
        <f>0.221/AI107</f>
        <v>2.8634361233480177E-2</v>
      </c>
      <c r="AU107" s="108">
        <f>0.091/AI107</f>
        <v>1.1790619331433013E-2</v>
      </c>
      <c r="AV107" s="96"/>
      <c r="AW107" s="96"/>
      <c r="AX107" s="97"/>
      <c r="AY107" s="97"/>
      <c r="AZ107" s="97"/>
      <c r="BA107" s="93"/>
      <c r="BB107" s="93"/>
      <c r="BC107" s="93"/>
      <c r="BD107" s="93"/>
      <c r="BE107" s="93"/>
      <c r="BF107" s="97"/>
      <c r="BG107" s="97"/>
      <c r="BH107" s="96"/>
      <c r="BI107" s="96"/>
      <c r="BJ107" s="110"/>
      <c r="BK107" s="110"/>
      <c r="BL107" s="108"/>
      <c r="BM107" s="108"/>
      <c r="BN107" s="107"/>
      <c r="BO107" s="107"/>
      <c r="BP107" s="111"/>
      <c r="BQ107" s="111"/>
      <c r="BR107" s="112"/>
      <c r="BS107" s="112"/>
      <c r="BT107" s="112"/>
    </row>
    <row r="108" spans="1:95" s="106" customFormat="1" x14ac:dyDescent="0.15">
      <c r="A108" s="132"/>
      <c r="B108" s="92" t="s">
        <v>172</v>
      </c>
      <c r="C108" s="4">
        <v>12</v>
      </c>
      <c r="D108" s="94">
        <v>5.5</v>
      </c>
      <c r="E108" s="95">
        <v>80</v>
      </c>
      <c r="F108" s="96"/>
      <c r="G108" s="96"/>
      <c r="H108" s="97"/>
      <c r="I108" s="97"/>
      <c r="J108" s="97"/>
      <c r="K108" s="98"/>
      <c r="L108" s="98"/>
      <c r="M108" s="98"/>
      <c r="N108" s="99"/>
      <c r="O108" s="99"/>
      <c r="P108" s="99"/>
      <c r="Q108" s="97">
        <v>48</v>
      </c>
      <c r="R108" s="96">
        <v>40</v>
      </c>
      <c r="S108" s="97">
        <f>216+V108</f>
        <v>230</v>
      </c>
      <c r="T108" s="96">
        <f>65+V108</f>
        <v>79</v>
      </c>
      <c r="U108" s="93">
        <f t="shared" si="33"/>
        <v>295</v>
      </c>
      <c r="V108" s="100">
        <v>14</v>
      </c>
      <c r="W108" s="101">
        <f t="shared" si="34"/>
        <v>0.17721518987341772</v>
      </c>
      <c r="X108" s="102">
        <v>79.099999999999994</v>
      </c>
      <c r="Y108" s="103">
        <v>42.4</v>
      </c>
      <c r="Z108" s="104">
        <f t="shared" si="35"/>
        <v>60.75</v>
      </c>
      <c r="AP108" s="107"/>
      <c r="AQ108" s="107"/>
      <c r="AR108" s="107"/>
      <c r="AS108" s="108"/>
      <c r="AT108" s="108"/>
      <c r="AU108" s="108"/>
      <c r="AV108" s="96"/>
      <c r="AW108" s="96"/>
      <c r="AX108" s="97"/>
      <c r="AY108" s="97"/>
      <c r="AZ108" s="97"/>
      <c r="BA108" s="93"/>
      <c r="BB108" s="93"/>
      <c r="BC108" s="93"/>
      <c r="BD108" s="93"/>
      <c r="BE108" s="93"/>
      <c r="BF108" s="97"/>
      <c r="BG108" s="97"/>
      <c r="BH108" s="96"/>
      <c r="BI108" s="96"/>
      <c r="BJ108" s="110"/>
      <c r="BK108" s="110"/>
      <c r="BL108" s="108"/>
      <c r="BM108" s="108"/>
      <c r="BN108" s="107"/>
      <c r="BO108" s="107"/>
      <c r="BP108" s="111"/>
      <c r="BQ108" s="111"/>
      <c r="BR108" s="112"/>
      <c r="BS108" s="112"/>
      <c r="BT108" s="112"/>
    </row>
    <row r="109" spans="1:95" s="106" customFormat="1" x14ac:dyDescent="0.15">
      <c r="A109" s="132"/>
      <c r="B109" s="92" t="s">
        <v>173</v>
      </c>
      <c r="C109" s="4">
        <v>12</v>
      </c>
      <c r="D109" s="94">
        <v>5.3</v>
      </c>
      <c r="E109" s="95">
        <v>176</v>
      </c>
      <c r="F109" s="96"/>
      <c r="G109" s="96"/>
      <c r="H109" s="97"/>
      <c r="I109" s="97"/>
      <c r="J109" s="97"/>
      <c r="K109" s="98"/>
      <c r="L109" s="98"/>
      <c r="M109" s="98"/>
      <c r="N109" s="99"/>
      <c r="O109" s="99"/>
      <c r="P109" s="99"/>
      <c r="Q109" s="97">
        <v>47</v>
      </c>
      <c r="R109" s="96">
        <v>68</v>
      </c>
      <c r="S109" s="97">
        <v>94</v>
      </c>
      <c r="T109" s="96">
        <v>123</v>
      </c>
      <c r="U109" s="93">
        <f t="shared" si="33"/>
        <v>217</v>
      </c>
      <c r="V109" s="100">
        <v>0</v>
      </c>
      <c r="W109" s="101" t="str">
        <f t="shared" si="34"/>
        <v/>
      </c>
      <c r="X109" s="102">
        <v>90.4</v>
      </c>
      <c r="Y109" s="103">
        <v>92.7</v>
      </c>
      <c r="Z109" s="104">
        <f t="shared" si="35"/>
        <v>91.550000000000011</v>
      </c>
      <c r="AP109" s="107"/>
      <c r="AQ109" s="107"/>
      <c r="AR109" s="107"/>
      <c r="AS109" s="108"/>
      <c r="AT109" s="108"/>
      <c r="AU109" s="108"/>
      <c r="AV109" s="96"/>
      <c r="AW109" s="96"/>
      <c r="AX109" s="97"/>
      <c r="AY109" s="97"/>
      <c r="AZ109" s="97"/>
      <c r="BA109" s="93"/>
      <c r="BB109" s="93"/>
      <c r="BC109" s="93"/>
      <c r="BD109" s="93"/>
      <c r="BE109" s="93"/>
      <c r="BF109" s="97"/>
      <c r="BG109" s="97"/>
      <c r="BH109" s="96"/>
      <c r="BI109" s="96"/>
      <c r="BJ109" s="110"/>
      <c r="BK109" s="110"/>
      <c r="BL109" s="108"/>
      <c r="BM109" s="108"/>
      <c r="BN109" s="107"/>
      <c r="BO109" s="107"/>
      <c r="BP109" s="111"/>
      <c r="BQ109" s="111"/>
      <c r="BR109" s="112"/>
      <c r="BS109" s="112"/>
      <c r="BT109" s="112"/>
    </row>
    <row r="110" spans="1:95" x14ac:dyDescent="0.15">
      <c r="B110" s="3" t="s">
        <v>174</v>
      </c>
      <c r="C110" s="4">
        <v>12</v>
      </c>
      <c r="D110" s="5">
        <v>6.5</v>
      </c>
      <c r="E110" s="210">
        <v>250</v>
      </c>
      <c r="F110" s="6">
        <v>1126</v>
      </c>
      <c r="H110" s="7">
        <v>1105</v>
      </c>
      <c r="Q110" s="7">
        <v>49</v>
      </c>
      <c r="R110" s="6">
        <v>45</v>
      </c>
      <c r="S110" s="7">
        <v>146</v>
      </c>
      <c r="T110" s="6">
        <v>186</v>
      </c>
      <c r="U110" s="93">
        <f t="shared" si="33"/>
        <v>332</v>
      </c>
      <c r="V110" s="8">
        <v>0</v>
      </c>
      <c r="W110" s="101" t="str">
        <f t="shared" si="34"/>
        <v/>
      </c>
      <c r="X110" s="9">
        <v>93.2</v>
      </c>
      <c r="Y110" s="10">
        <v>92.5</v>
      </c>
      <c r="Z110" s="104">
        <f t="shared" si="35"/>
        <v>92.85</v>
      </c>
      <c r="BA110" s="4">
        <v>140</v>
      </c>
      <c r="BC110" s="4">
        <v>-1430</v>
      </c>
      <c r="BD110" s="4">
        <v>5010</v>
      </c>
      <c r="BE110" s="4">
        <v>1790</v>
      </c>
      <c r="BF110" s="14">
        <v>145</v>
      </c>
      <c r="BG110" s="14">
        <v>1</v>
      </c>
      <c r="BH110" s="15">
        <v>186</v>
      </c>
      <c r="BI110" s="15">
        <v>0</v>
      </c>
      <c r="BJ110" s="16">
        <v>0</v>
      </c>
      <c r="BK110" s="16">
        <v>0</v>
      </c>
      <c r="BL110" s="108">
        <f t="shared" ref="BL110:BM113" si="36">BF110/($S110-$V110)</f>
        <v>0.99315068493150682</v>
      </c>
      <c r="BM110" s="108">
        <f t="shared" si="36"/>
        <v>6.8493150684931503E-3</v>
      </c>
      <c r="BN110" s="107">
        <f t="shared" ref="BN110:BO113" si="37">BH110/($T110)</f>
        <v>1</v>
      </c>
      <c r="BO110" s="107">
        <f t="shared" si="37"/>
        <v>0</v>
      </c>
      <c r="BP110" s="111" t="e">
        <f t="shared" ref="BP110:BQ113" si="38">BJ110/$V110</f>
        <v>#DIV/0!</v>
      </c>
      <c r="BQ110" s="111" t="e">
        <f t="shared" si="38"/>
        <v>#DIV/0!</v>
      </c>
      <c r="BR110" s="112">
        <f>IF((BL110+BM110)=1,BL110,"CHECK red")</f>
        <v>0.99315068493150682</v>
      </c>
      <c r="BS110" s="112">
        <f>IF((BN110+BO110)=1,BN110,"CHECK gre")</f>
        <v>1</v>
      </c>
      <c r="BT110" s="112" t="e">
        <f>IF((BP110+BQ110)=1,BP110,"CHECK dou")</f>
        <v>#DIV/0!</v>
      </c>
    </row>
    <row r="111" spans="1:95" x14ac:dyDescent="0.15">
      <c r="B111" s="3" t="s">
        <v>175</v>
      </c>
      <c r="C111" s="4">
        <v>12</v>
      </c>
      <c r="D111" s="5">
        <v>6.6</v>
      </c>
      <c r="E111" s="210">
        <v>240</v>
      </c>
      <c r="F111" s="6">
        <v>792</v>
      </c>
      <c r="H111" s="7">
        <v>774</v>
      </c>
      <c r="Q111" s="7">
        <v>35</v>
      </c>
      <c r="R111" s="6">
        <v>39</v>
      </c>
      <c r="S111" s="7">
        <f>545+V111</f>
        <v>546</v>
      </c>
      <c r="T111" s="6">
        <v>81</v>
      </c>
      <c r="U111" s="93">
        <f t="shared" si="33"/>
        <v>626</v>
      </c>
      <c r="V111" s="8">
        <v>1</v>
      </c>
      <c r="W111" s="101">
        <f t="shared" si="34"/>
        <v>1.2345679012345678E-2</v>
      </c>
      <c r="X111" s="9">
        <v>96.8</v>
      </c>
      <c r="Y111" s="10">
        <v>83.3</v>
      </c>
      <c r="Z111" s="104">
        <f>AVERAGE(X111:Y111)</f>
        <v>90.05</v>
      </c>
      <c r="BA111" s="4">
        <v>140</v>
      </c>
      <c r="BC111" s="4">
        <v>-3270</v>
      </c>
      <c r="BD111" s="4">
        <v>4010</v>
      </c>
      <c r="BE111" s="4">
        <v>775</v>
      </c>
      <c r="BF111" s="14">
        <v>449</v>
      </c>
      <c r="BG111" s="14">
        <v>96</v>
      </c>
      <c r="BH111" s="15">
        <v>81</v>
      </c>
      <c r="BI111" s="15">
        <v>0</v>
      </c>
      <c r="BJ111" s="16">
        <v>1</v>
      </c>
      <c r="BK111" s="16">
        <v>0</v>
      </c>
      <c r="BL111" s="108">
        <f t="shared" si="36"/>
        <v>0.8238532110091743</v>
      </c>
      <c r="BM111" s="108">
        <f t="shared" si="36"/>
        <v>0.1761467889908257</v>
      </c>
      <c r="BN111" s="107">
        <f t="shared" si="37"/>
        <v>1</v>
      </c>
      <c r="BO111" s="107">
        <f t="shared" si="37"/>
        <v>0</v>
      </c>
      <c r="BP111" s="111">
        <f t="shared" si="38"/>
        <v>1</v>
      </c>
      <c r="BQ111" s="111">
        <f t="shared" si="38"/>
        <v>0</v>
      </c>
      <c r="BR111" s="112">
        <f>IF((BL111+BM111)=1,BL111,"CHECK red")</f>
        <v>0.8238532110091743</v>
      </c>
      <c r="BS111" s="112">
        <f>IF((BN111+BO111)=1,BN111,"CHECK gre")</f>
        <v>1</v>
      </c>
      <c r="BT111" s="112">
        <f>IF((BP111+BQ111)=1,BP111,"CHECK dou")</f>
        <v>1</v>
      </c>
    </row>
    <row r="112" spans="1:95" x14ac:dyDescent="0.15">
      <c r="B112" s="3" t="s">
        <v>176</v>
      </c>
      <c r="C112" s="4">
        <v>12</v>
      </c>
      <c r="D112" s="5">
        <v>5.5</v>
      </c>
      <c r="E112" s="210">
        <v>366</v>
      </c>
      <c r="F112" s="6">
        <v>960</v>
      </c>
      <c r="H112" s="7">
        <v>1025</v>
      </c>
      <c r="Q112" s="7">
        <v>40</v>
      </c>
      <c r="R112" s="6">
        <v>83</v>
      </c>
      <c r="S112" s="7">
        <v>133</v>
      </c>
      <c r="T112" s="96">
        <v>178</v>
      </c>
      <c r="U112" s="93">
        <f t="shared" si="33"/>
        <v>311</v>
      </c>
      <c r="V112" s="8">
        <v>0</v>
      </c>
      <c r="W112" s="101" t="str">
        <f>IF(V112&gt;0.9,(IF(S112&gt;T112,V112/T112,V112/S112)),"")</f>
        <v/>
      </c>
      <c r="X112" s="9">
        <v>99.2</v>
      </c>
      <c r="Y112" s="10">
        <v>98.9</v>
      </c>
      <c r="Z112" s="104">
        <f t="shared" si="35"/>
        <v>99.050000000000011</v>
      </c>
      <c r="BA112" s="4">
        <v>140</v>
      </c>
      <c r="BC112" s="4">
        <v>-2030</v>
      </c>
      <c r="BD112" s="4">
        <v>4130</v>
      </c>
      <c r="BE112" s="4">
        <v>1480</v>
      </c>
      <c r="BF112" s="14">
        <v>133</v>
      </c>
      <c r="BG112" s="14">
        <v>0</v>
      </c>
      <c r="BH112" s="15">
        <v>177</v>
      </c>
      <c r="BI112" s="15">
        <v>1</v>
      </c>
      <c r="BJ112" s="16">
        <v>0</v>
      </c>
      <c r="BK112" s="16">
        <v>0</v>
      </c>
      <c r="BL112" s="108">
        <f t="shared" si="36"/>
        <v>1</v>
      </c>
      <c r="BM112" s="108">
        <f t="shared" si="36"/>
        <v>0</v>
      </c>
      <c r="BN112" s="107">
        <f t="shared" si="37"/>
        <v>0.9943820224719101</v>
      </c>
      <c r="BO112" s="107">
        <f t="shared" si="37"/>
        <v>5.6179775280898875E-3</v>
      </c>
      <c r="BP112" s="111" t="e">
        <f t="shared" si="38"/>
        <v>#DIV/0!</v>
      </c>
      <c r="BQ112" s="111" t="e">
        <f t="shared" si="38"/>
        <v>#DIV/0!</v>
      </c>
      <c r="BR112" s="112">
        <f>IF((BL112+BM112)=1,BL112,"CHECK red")</f>
        <v>1</v>
      </c>
      <c r="BS112" s="112">
        <f>IF((BN112+BO112)=1,BN112,"CHECK gre")</f>
        <v>0.9943820224719101</v>
      </c>
      <c r="BT112" s="112" t="e">
        <f>IF((BP112+BQ112)=1,BP112,"CHECK dou")</f>
        <v>#DIV/0!</v>
      </c>
    </row>
    <row r="113" spans="1:72" x14ac:dyDescent="0.15">
      <c r="B113" s="3" t="s">
        <v>177</v>
      </c>
      <c r="C113" s="4">
        <v>12</v>
      </c>
      <c r="D113" s="5">
        <v>5.8</v>
      </c>
      <c r="E113" s="210">
        <v>55</v>
      </c>
      <c r="F113" s="6">
        <v>826</v>
      </c>
      <c r="H113" s="7">
        <v>817</v>
      </c>
      <c r="Q113" s="7">
        <v>27</v>
      </c>
      <c r="R113" s="6">
        <v>25</v>
      </c>
      <c r="S113" s="7">
        <v>169</v>
      </c>
      <c r="T113" s="6">
        <v>116</v>
      </c>
      <c r="U113" s="93">
        <f t="shared" si="33"/>
        <v>285</v>
      </c>
      <c r="V113" s="8">
        <v>0</v>
      </c>
      <c r="W113" s="101" t="str">
        <f>IF(V113&gt;0.9,(IF(S113&gt;T113,V113/T113,V113/S113)),"")</f>
        <v/>
      </c>
      <c r="X113" s="9">
        <v>55</v>
      </c>
      <c r="Y113" s="10">
        <v>45.3</v>
      </c>
      <c r="Z113" s="104">
        <f t="shared" si="35"/>
        <v>50.15</v>
      </c>
      <c r="BA113" s="4">
        <v>140</v>
      </c>
      <c r="BC113" s="4">
        <v>-3110</v>
      </c>
      <c r="BD113" s="4">
        <v>3890</v>
      </c>
      <c r="BE113" s="4">
        <v>540</v>
      </c>
      <c r="BF113" s="14">
        <v>141</v>
      </c>
      <c r="BG113" s="14">
        <v>28</v>
      </c>
      <c r="BH113" s="15">
        <v>81</v>
      </c>
      <c r="BI113" s="15">
        <v>35</v>
      </c>
      <c r="BJ113" s="16">
        <v>0</v>
      </c>
      <c r="BK113" s="16">
        <v>0</v>
      </c>
      <c r="BL113" s="108">
        <f t="shared" si="36"/>
        <v>0.83431952662721898</v>
      </c>
      <c r="BM113" s="108">
        <f t="shared" si="36"/>
        <v>0.16568047337278108</v>
      </c>
      <c r="BN113" s="107">
        <f t="shared" si="37"/>
        <v>0.69827586206896552</v>
      </c>
      <c r="BO113" s="107">
        <f t="shared" si="37"/>
        <v>0.30172413793103448</v>
      </c>
      <c r="BP113" s="111" t="e">
        <f t="shared" si="38"/>
        <v>#DIV/0!</v>
      </c>
      <c r="BQ113" s="111" t="e">
        <f t="shared" si="38"/>
        <v>#DIV/0!</v>
      </c>
      <c r="BR113" s="112">
        <f>IF((BL113+BM113)=1,BL113,"CHECK red")</f>
        <v>0.83431952662721898</v>
      </c>
      <c r="BS113" s="112">
        <f>IF((BN113+BO113)=1,BN113,"CHECK gre")</f>
        <v>0.69827586206896552</v>
      </c>
      <c r="BT113" s="112" t="e">
        <f>IF((BP113+BQ113)=1,BP113,"CHECK dou")</f>
        <v>#DIV/0!</v>
      </c>
    </row>
    <row r="114" spans="1:72" x14ac:dyDescent="0.15">
      <c r="B114" s="3" t="s">
        <v>178</v>
      </c>
      <c r="C114" s="4">
        <v>12</v>
      </c>
      <c r="D114" s="5">
        <v>5.8</v>
      </c>
      <c r="E114" s="210">
        <v>26</v>
      </c>
      <c r="F114" s="6">
        <v>1040</v>
      </c>
      <c r="H114" s="7">
        <v>1020</v>
      </c>
      <c r="Q114" s="7">
        <v>21</v>
      </c>
      <c r="R114" s="6">
        <v>37</v>
      </c>
      <c r="S114" s="7">
        <v>70</v>
      </c>
      <c r="T114" s="6">
        <v>41</v>
      </c>
      <c r="U114" s="93">
        <f t="shared" si="33"/>
        <v>106</v>
      </c>
      <c r="V114" s="8">
        <v>5</v>
      </c>
      <c r="W114" s="101">
        <f>IF(V114&gt;0.9,(IF(S114&gt;T114,V114/T114,V114/S114)),"")</f>
        <v>0.12195121951219512</v>
      </c>
      <c r="X114" s="9">
        <v>58</v>
      </c>
      <c r="Y114" s="10">
        <v>41.3</v>
      </c>
      <c r="Z114" s="104">
        <f t="shared" si="35"/>
        <v>49.65</v>
      </c>
      <c r="BN114" s="107"/>
      <c r="BO114" s="107"/>
    </row>
    <row r="115" spans="1:72" x14ac:dyDescent="0.15">
      <c r="B115" s="3" t="s">
        <v>179</v>
      </c>
      <c r="C115" s="4">
        <v>12</v>
      </c>
      <c r="D115" s="5">
        <v>6.4</v>
      </c>
      <c r="E115" s="211">
        <f>140*1.92</f>
        <v>268.8</v>
      </c>
      <c r="F115" s="6">
        <v>1029</v>
      </c>
      <c r="H115" s="7">
        <v>1032</v>
      </c>
      <c r="Q115" s="7">
        <v>33</v>
      </c>
      <c r="R115" s="6">
        <v>33</v>
      </c>
      <c r="S115" s="14">
        <v>98</v>
      </c>
      <c r="T115" s="15">
        <v>35</v>
      </c>
      <c r="U115" s="93">
        <f t="shared" si="33"/>
        <v>133</v>
      </c>
      <c r="V115" s="119">
        <v>0</v>
      </c>
      <c r="W115" s="101" t="str">
        <f>IF(V115&gt;0.9,(IF(S115&gt;T115,V115/T115,V115/S115)),"")</f>
        <v/>
      </c>
      <c r="X115" s="9">
        <v>99</v>
      </c>
      <c r="Y115" s="10">
        <v>100</v>
      </c>
      <c r="Z115" s="104">
        <f t="shared" si="35"/>
        <v>99.5</v>
      </c>
      <c r="AG115" s="212"/>
      <c r="AH115" s="212"/>
      <c r="AI115" s="212"/>
      <c r="AJ115" s="212"/>
      <c r="AK115" s="212"/>
      <c r="AL115" s="212"/>
      <c r="AM115" s="212"/>
      <c r="AN115" s="212"/>
      <c r="AO115" s="212"/>
      <c r="BA115" s="4">
        <v>140</v>
      </c>
      <c r="BC115" s="4">
        <v>-1150</v>
      </c>
      <c r="BD115" s="4">
        <v>5570</v>
      </c>
      <c r="BE115" s="213">
        <v>2210</v>
      </c>
      <c r="BF115" s="14">
        <v>98</v>
      </c>
      <c r="BG115" s="14">
        <v>0</v>
      </c>
      <c r="BH115" s="15">
        <v>35</v>
      </c>
      <c r="BI115" s="15">
        <v>0</v>
      </c>
      <c r="BJ115" s="16">
        <v>0</v>
      </c>
      <c r="BK115" s="16">
        <v>0</v>
      </c>
      <c r="BL115" s="108">
        <f>BF115/($S115-$V115)</f>
        <v>1</v>
      </c>
      <c r="BM115" s="108">
        <f>BG115/($S115-$V115)</f>
        <v>0</v>
      </c>
      <c r="BN115" s="107">
        <f>BH115/($T115)</f>
        <v>1</v>
      </c>
      <c r="BO115" s="107">
        <f>BI115/($T115)</f>
        <v>0</v>
      </c>
      <c r="BP115" s="111" t="e">
        <f>BJ115/$V115</f>
        <v>#DIV/0!</v>
      </c>
      <c r="BQ115" s="111" t="e">
        <f>BK115/$V115</f>
        <v>#DIV/0!</v>
      </c>
      <c r="BR115" s="112">
        <f>IF((BL115+BM115)=1,BL115,"CHECK red")</f>
        <v>1</v>
      </c>
      <c r="BS115" s="112">
        <f>IF((BN115+BO115)=1,BN115,"CHECK gre")</f>
        <v>1</v>
      </c>
      <c r="BT115" s="112" t="e">
        <f>IF((BP115+BQ115)=1,BP115,"CHECK dou")</f>
        <v>#DIV/0!</v>
      </c>
    </row>
    <row r="116" spans="1:72" s="335" customFormat="1" x14ac:dyDescent="0.15">
      <c r="A116" s="331">
        <f>COUNT(D100:D115)</f>
        <v>16</v>
      </c>
      <c r="B116" s="339" t="s">
        <v>180</v>
      </c>
      <c r="C116" s="318">
        <v>12</v>
      </c>
      <c r="D116" s="319">
        <v>5.7</v>
      </c>
      <c r="E116" s="320">
        <v>252</v>
      </c>
      <c r="F116" s="349">
        <v>842</v>
      </c>
      <c r="G116" s="349"/>
      <c r="H116" s="348">
        <v>872</v>
      </c>
      <c r="I116" s="348"/>
      <c r="J116" s="348"/>
      <c r="K116" s="348"/>
      <c r="L116" s="348"/>
      <c r="M116" s="348"/>
      <c r="N116" s="349"/>
      <c r="O116" s="349"/>
      <c r="P116" s="349"/>
      <c r="Q116" s="348"/>
      <c r="R116" s="349"/>
      <c r="S116" s="348"/>
      <c r="T116" s="349"/>
      <c r="U116" s="318" t="str">
        <f>IF(S116&gt;0.9,SUM(S116:T116)-V116,"")</f>
        <v/>
      </c>
      <c r="V116" s="351"/>
      <c r="X116" s="324"/>
      <c r="Y116" s="325"/>
      <c r="Z116" s="334">
        <v>98</v>
      </c>
      <c r="AP116" s="336"/>
      <c r="AQ116" s="336"/>
      <c r="AR116" s="336"/>
      <c r="AS116" s="337"/>
      <c r="AT116" s="337"/>
      <c r="AU116" s="337"/>
      <c r="AV116" s="349"/>
      <c r="AW116" s="349"/>
      <c r="AX116" s="348"/>
      <c r="AY116" s="348"/>
      <c r="AZ116" s="348"/>
      <c r="BA116" s="318"/>
      <c r="BB116" s="318"/>
      <c r="BC116" s="318"/>
      <c r="BD116" s="318"/>
      <c r="BE116" s="318"/>
      <c r="BF116" s="322"/>
      <c r="BG116" s="322"/>
      <c r="BH116" s="321"/>
      <c r="BI116" s="321"/>
      <c r="BJ116" s="344"/>
      <c r="BK116" s="344"/>
      <c r="BL116" s="337"/>
      <c r="BM116" s="337"/>
      <c r="BN116" s="336"/>
      <c r="BO116" s="336"/>
      <c r="BP116" s="345"/>
      <c r="BQ116" s="345"/>
      <c r="BR116" s="346"/>
      <c r="BS116" s="346"/>
      <c r="BT116" s="346"/>
    </row>
    <row r="117" spans="1:72" s="335" customFormat="1" x14ac:dyDescent="0.15">
      <c r="B117" s="339" t="s">
        <v>181</v>
      </c>
      <c r="C117" s="318">
        <v>12</v>
      </c>
      <c r="D117" s="319">
        <v>6</v>
      </c>
      <c r="E117" s="318">
        <v>384</v>
      </c>
      <c r="F117" s="349"/>
      <c r="G117" s="349"/>
      <c r="H117" s="348"/>
      <c r="I117" s="348"/>
      <c r="J117" s="348"/>
      <c r="K117" s="348"/>
      <c r="L117" s="348"/>
      <c r="M117" s="348"/>
      <c r="N117" s="349"/>
      <c r="O117" s="349"/>
      <c r="P117" s="349"/>
      <c r="Q117" s="348"/>
      <c r="R117" s="349"/>
      <c r="S117" s="348"/>
      <c r="T117" s="349"/>
      <c r="V117" s="351"/>
      <c r="X117" s="324"/>
      <c r="Y117" s="325"/>
      <c r="Z117" s="334">
        <v>99</v>
      </c>
      <c r="AP117" s="336"/>
      <c r="AQ117" s="336"/>
      <c r="AR117" s="336"/>
      <c r="AS117" s="337"/>
      <c r="AT117" s="337"/>
      <c r="AU117" s="337"/>
      <c r="AV117" s="349"/>
      <c r="AW117" s="349"/>
      <c r="AX117" s="348"/>
      <c r="AY117" s="348"/>
      <c r="AZ117" s="348"/>
      <c r="BA117" s="318"/>
      <c r="BB117" s="318"/>
      <c r="BC117" s="318"/>
      <c r="BD117" s="318"/>
      <c r="BE117" s="318"/>
      <c r="BF117" s="322"/>
      <c r="BG117" s="322"/>
      <c r="BH117" s="321"/>
      <c r="BI117" s="321"/>
      <c r="BJ117" s="344"/>
      <c r="BK117" s="344"/>
      <c r="BL117" s="337"/>
      <c r="BM117" s="337"/>
      <c r="BN117" s="336"/>
      <c r="BO117" s="336"/>
      <c r="BP117" s="345"/>
      <c r="BQ117" s="345"/>
      <c r="BR117" s="346"/>
      <c r="BS117" s="346"/>
      <c r="BT117" s="346"/>
    </row>
    <row r="118" spans="1:72" s="83" customFormat="1" x14ac:dyDescent="0.15">
      <c r="A118" s="214" t="s">
        <v>182</v>
      </c>
      <c r="B118" s="82">
        <f>STDEV(D100:D115)</f>
        <v>0.51380930314660522</v>
      </c>
      <c r="D118" s="115">
        <f>AVERAGE(D100:D117)</f>
        <v>5.6722222222222216</v>
      </c>
      <c r="E118" s="73">
        <f>MEDIAN(E100:E115)</f>
        <v>220</v>
      </c>
      <c r="F118" s="73">
        <f>STDEV(E100:E115)</f>
        <v>113.71665078899686</v>
      </c>
      <c r="G118" s="73"/>
      <c r="H118" s="73"/>
      <c r="I118" s="73"/>
      <c r="J118" s="73"/>
      <c r="Q118" s="73"/>
      <c r="R118" s="73"/>
      <c r="S118" s="73">
        <f>AVERAGE(S100:S109)</f>
        <v>159.4</v>
      </c>
      <c r="T118" s="73">
        <f>AVERAGE(T100:T109)</f>
        <v>163.30000000000001</v>
      </c>
      <c r="U118" s="73">
        <f>SUM(S118:T118)</f>
        <v>322.70000000000005</v>
      </c>
      <c r="V118" s="116"/>
      <c r="W118" s="133"/>
      <c r="X118" s="82"/>
      <c r="Y118" s="82"/>
      <c r="Z118" s="82">
        <f>MEDIAN(Z100:Z116)</f>
        <v>90.05</v>
      </c>
      <c r="AA118" s="83">
        <f>STDEV(Z100:Z115)</f>
        <v>19.011334064622229</v>
      </c>
      <c r="AG118" s="70">
        <f>(AI118/AVERAGE(AG78:AG109))*AG3</f>
        <v>0</v>
      </c>
      <c r="AH118" s="84">
        <f>AVERAGE(AH101:AH107)</f>
        <v>0.33032205776847251</v>
      </c>
      <c r="AI118" s="70">
        <f t="shared" ref="AI118:AU118" si="39">AVERAGE(AI100:AI116)</f>
        <v>9.2989999999999995</v>
      </c>
      <c r="AJ118" s="70"/>
      <c r="AK118" s="70"/>
      <c r="AL118" s="70"/>
      <c r="AM118" s="70"/>
      <c r="AN118" s="70"/>
      <c r="AO118" s="70"/>
      <c r="AP118" s="215">
        <f t="shared" si="39"/>
        <v>3.8925102922430926E-2</v>
      </c>
      <c r="AQ118" s="215">
        <f t="shared" si="39"/>
        <v>1.5541326276531944E-2</v>
      </c>
      <c r="AR118" s="215">
        <f t="shared" si="39"/>
        <v>6.4972065725562708E-3</v>
      </c>
      <c r="AS118" s="215">
        <f t="shared" si="39"/>
        <v>3.0747159021057669E-2</v>
      </c>
      <c r="AT118" s="215">
        <f t="shared" si="39"/>
        <v>1.2063036796389282E-2</v>
      </c>
      <c r="AU118" s="215">
        <f t="shared" si="39"/>
        <v>5.156254441254054E-3</v>
      </c>
      <c r="BA118" s="87"/>
      <c r="BB118" s="87"/>
      <c r="BC118" s="87"/>
      <c r="BD118" s="87"/>
      <c r="BE118" s="87"/>
      <c r="BF118" s="75"/>
      <c r="BG118" s="75"/>
      <c r="BH118" s="74"/>
      <c r="BI118" s="74"/>
      <c r="BJ118" s="88"/>
      <c r="BK118" s="88"/>
      <c r="BL118" s="86"/>
      <c r="BM118" s="86"/>
      <c r="BN118" s="85"/>
      <c r="BO118" s="85"/>
      <c r="BP118" s="89"/>
      <c r="BQ118" s="89"/>
      <c r="BR118" s="90"/>
      <c r="BS118" s="90"/>
      <c r="BT118" s="90"/>
    </row>
    <row r="119" spans="1:72" s="106" customFormat="1" x14ac:dyDescent="0.15">
      <c r="A119" s="146" t="s">
        <v>183</v>
      </c>
      <c r="B119" s="92" t="s">
        <v>184</v>
      </c>
      <c r="C119" s="4">
        <v>16</v>
      </c>
      <c r="D119" s="94">
        <v>8.1</v>
      </c>
      <c r="E119" s="216">
        <v>195</v>
      </c>
      <c r="F119" s="96">
        <v>343</v>
      </c>
      <c r="G119" s="96"/>
      <c r="H119" s="97">
        <v>427</v>
      </c>
      <c r="I119" s="97"/>
      <c r="J119" s="97"/>
      <c r="K119" s="98"/>
      <c r="L119" s="98"/>
      <c r="M119" s="98"/>
      <c r="N119" s="99"/>
      <c r="O119" s="99"/>
      <c r="P119" s="99"/>
      <c r="Q119" s="97">
        <v>10</v>
      </c>
      <c r="R119" s="96">
        <v>37</v>
      </c>
      <c r="S119" s="97">
        <v>27</v>
      </c>
      <c r="T119" s="96">
        <v>91</v>
      </c>
      <c r="U119" s="93">
        <f t="shared" ref="U119:U131" si="40">IF(S119&gt;0.9,SUM(S119:T119)-V119,"")</f>
        <v>118</v>
      </c>
      <c r="V119" s="100">
        <v>0</v>
      </c>
      <c r="W119" s="101" t="str">
        <f>IF(V119&gt;0.9,(IF(S119&gt;T119,V119/T119,V119/S119)),"")</f>
        <v/>
      </c>
      <c r="X119" s="102">
        <v>74.099999999999994</v>
      </c>
      <c r="Y119" s="103">
        <v>90.1</v>
      </c>
      <c r="Z119" s="104">
        <f>IF(A119="x","x",IF(X119&gt;1,(IF(S119&gt;1,(IF(S119&gt;T119,(IF((S119/T119)&lt;5,AVERAGE(X119:Y119),"")),IF(S119&lt;T119,(IF((T119/S119)&lt;5,AVERAGE(X119:Y119),""))))),"")),""))</f>
        <v>82.1</v>
      </c>
      <c r="AD119" s="99"/>
      <c r="AE119" s="98"/>
      <c r="AF119" s="99"/>
      <c r="AG119" s="106">
        <v>30.620999999999999</v>
      </c>
      <c r="AH119" s="106">
        <f>AI119/AG119</f>
        <v>0.40468959210998989</v>
      </c>
      <c r="AI119" s="106">
        <v>12.391999999999999</v>
      </c>
      <c r="AP119" s="107">
        <f>0.122/AI119</f>
        <v>9.8450613298902527E-3</v>
      </c>
      <c r="AQ119" s="107">
        <f>0.07/AI119</f>
        <v>5.6488056810845714E-3</v>
      </c>
      <c r="AR119" s="107">
        <f>0.037/AI119</f>
        <v>2.985797288573273E-3</v>
      </c>
      <c r="AS119" s="108"/>
      <c r="AT119" s="108"/>
      <c r="AU119" s="108"/>
      <c r="AV119" s="96"/>
      <c r="AW119" s="96"/>
      <c r="AX119" s="97"/>
      <c r="AY119" s="97"/>
      <c r="AZ119" s="97"/>
      <c r="BA119" s="93"/>
      <c r="BB119" s="93"/>
      <c r="BC119" s="93"/>
      <c r="BD119" s="93"/>
      <c r="BE119" s="93"/>
      <c r="BF119" s="97"/>
      <c r="BG119" s="97"/>
      <c r="BH119" s="96"/>
      <c r="BI119" s="96"/>
      <c r="BJ119" s="110"/>
      <c r="BK119" s="110"/>
      <c r="BL119" s="108"/>
      <c r="BM119" s="108"/>
      <c r="BN119" s="107"/>
      <c r="BO119" s="107"/>
      <c r="BP119" s="111"/>
      <c r="BQ119" s="111"/>
      <c r="BR119" s="112"/>
      <c r="BS119" s="112"/>
      <c r="BT119" s="112"/>
    </row>
    <row r="120" spans="1:72" s="106" customFormat="1" x14ac:dyDescent="0.15">
      <c r="A120" s="146"/>
      <c r="B120" s="92" t="s">
        <v>185</v>
      </c>
      <c r="C120" s="4">
        <v>16</v>
      </c>
      <c r="D120" s="94">
        <v>7.5</v>
      </c>
      <c r="E120" s="113">
        <v>150</v>
      </c>
      <c r="F120" s="96" t="s">
        <v>157</v>
      </c>
      <c r="G120" s="96"/>
      <c r="H120" s="97" t="s">
        <v>157</v>
      </c>
      <c r="I120" s="97"/>
      <c r="J120" s="97"/>
      <c r="K120" s="98"/>
      <c r="L120" s="98"/>
      <c r="M120" s="98"/>
      <c r="N120" s="99"/>
      <c r="O120" s="99"/>
      <c r="P120" s="99"/>
      <c r="Q120" s="97">
        <v>40</v>
      </c>
      <c r="R120" s="96">
        <v>41</v>
      </c>
      <c r="S120" s="97">
        <f>200+V120</f>
        <v>201</v>
      </c>
      <c r="T120" s="96">
        <f>88+V120</f>
        <v>89</v>
      </c>
      <c r="U120" s="93">
        <f t="shared" si="40"/>
        <v>289</v>
      </c>
      <c r="V120" s="100">
        <v>1</v>
      </c>
      <c r="W120" s="101">
        <f>IF(V120&gt;0.9,(IF(S120&gt;T120,V120/T120,V120/S120)),"")</f>
        <v>1.1235955056179775E-2</v>
      </c>
      <c r="X120" s="102">
        <v>83.1</v>
      </c>
      <c r="Y120" s="103">
        <v>62.4</v>
      </c>
      <c r="Z120" s="104">
        <f t="shared" ref="Z120:Z131" si="41">IF(A120="x","x",IF(X120&gt;1,(IF(S120&gt;1,(IF(S120&gt;T120,(IF((S120/T120)&lt;5,AVERAGE(X120:Y120),"")),IF(S120&lt;T120,(IF((T120/S120)&lt;5,AVERAGE(X120:Y120),""))))),"")),""))</f>
        <v>72.75</v>
      </c>
      <c r="AD120" s="99"/>
      <c r="AE120" s="98"/>
      <c r="AF120" s="99"/>
      <c r="AG120" s="106">
        <v>30.457999999999998</v>
      </c>
      <c r="AH120" s="106">
        <f>AI120/AG120</f>
        <v>0.26154048197517893</v>
      </c>
      <c r="AI120" s="106">
        <v>7.9660000000000002</v>
      </c>
      <c r="AP120" s="107">
        <f>0.148/AI120</f>
        <v>1.8578960582475521E-2</v>
      </c>
      <c r="AQ120" s="107">
        <f>0.07/AI120</f>
        <v>8.7873462214411256E-3</v>
      </c>
      <c r="AR120" s="107">
        <f>0.03/AI120</f>
        <v>3.7660055234747677E-3</v>
      </c>
      <c r="AS120" s="108">
        <f>0.42/AI120</f>
        <v>5.2724077328646743E-2</v>
      </c>
      <c r="AT120" s="108">
        <f>0.22/AI120</f>
        <v>2.7617373838814963E-2</v>
      </c>
      <c r="AU120" s="108">
        <f>0.033/AI120</f>
        <v>4.1426060758222444E-3</v>
      </c>
      <c r="AV120" s="96"/>
      <c r="AW120" s="96"/>
      <c r="AX120" s="97"/>
      <c r="AY120" s="97"/>
      <c r="AZ120" s="97"/>
      <c r="BA120" s="93"/>
      <c r="BB120" s="93"/>
      <c r="BC120" s="93"/>
      <c r="BD120" s="93"/>
      <c r="BE120" s="93"/>
      <c r="BF120" s="97"/>
      <c r="BG120" s="97"/>
      <c r="BH120" s="96"/>
      <c r="BI120" s="96"/>
      <c r="BJ120" s="110"/>
      <c r="BK120" s="110"/>
      <c r="BL120" s="108"/>
      <c r="BM120" s="108"/>
      <c r="BN120" s="107"/>
      <c r="BO120" s="107"/>
      <c r="BP120" s="111"/>
      <c r="BQ120" s="111"/>
      <c r="BR120" s="112"/>
      <c r="BS120" s="112"/>
      <c r="BT120" s="112"/>
    </row>
    <row r="121" spans="1:72" s="106" customFormat="1" x14ac:dyDescent="0.15">
      <c r="A121" s="146"/>
      <c r="B121" s="92" t="s">
        <v>186</v>
      </c>
      <c r="C121" s="4">
        <v>16</v>
      </c>
      <c r="D121" s="94">
        <v>8.4</v>
      </c>
      <c r="E121" s="216">
        <v>160</v>
      </c>
      <c r="F121" s="96">
        <v>578</v>
      </c>
      <c r="G121" s="96"/>
      <c r="H121" s="97">
        <v>587</v>
      </c>
      <c r="I121" s="97"/>
      <c r="J121" s="97"/>
      <c r="K121" s="98"/>
      <c r="L121" s="98"/>
      <c r="M121" s="98"/>
      <c r="N121" s="99"/>
      <c r="O121" s="99"/>
      <c r="P121" s="99"/>
      <c r="Q121" s="97">
        <v>45</v>
      </c>
      <c r="R121" s="96">
        <v>74</v>
      </c>
      <c r="S121" s="97">
        <v>108</v>
      </c>
      <c r="T121" s="96">
        <v>207</v>
      </c>
      <c r="U121" s="93">
        <f t="shared" si="40"/>
        <v>313</v>
      </c>
      <c r="V121" s="100">
        <v>2</v>
      </c>
      <c r="W121" s="101">
        <f t="shared" ref="W121:W131" si="42">IF(V121&gt;0.9,(IF(S121&gt;T121,V121/T121,V121/S121)),"")</f>
        <v>1.8518518518518517E-2</v>
      </c>
      <c r="X121" s="102">
        <v>49.1</v>
      </c>
      <c r="Y121" s="103">
        <v>78.5</v>
      </c>
      <c r="Z121" s="104">
        <f t="shared" si="41"/>
        <v>63.8</v>
      </c>
      <c r="AD121" s="99"/>
      <c r="AE121" s="98"/>
      <c r="AF121" s="99"/>
      <c r="AP121" s="107"/>
      <c r="AQ121" s="107"/>
      <c r="AR121" s="107"/>
      <c r="AS121" s="108"/>
      <c r="AT121" s="108"/>
      <c r="AU121" s="108"/>
      <c r="AV121" s="96"/>
      <c r="AW121" s="96"/>
      <c r="AX121" s="97"/>
      <c r="AY121" s="97"/>
      <c r="AZ121" s="97"/>
      <c r="BA121" s="93"/>
      <c r="BB121" s="93"/>
      <c r="BC121" s="93"/>
      <c r="BD121" s="93"/>
      <c r="BE121" s="93"/>
      <c r="BF121" s="97"/>
      <c r="BG121" s="97"/>
      <c r="BH121" s="96"/>
      <c r="BI121" s="96"/>
      <c r="BJ121" s="110"/>
      <c r="BK121" s="110"/>
      <c r="BL121" s="108"/>
      <c r="BM121" s="108"/>
      <c r="BN121" s="107"/>
      <c r="BO121" s="107"/>
      <c r="BP121" s="111"/>
      <c r="BQ121" s="111"/>
      <c r="BR121" s="112"/>
      <c r="BS121" s="112"/>
      <c r="BT121" s="112"/>
    </row>
    <row r="122" spans="1:72" x14ac:dyDescent="0.15">
      <c r="B122" s="3" t="s">
        <v>187</v>
      </c>
      <c r="C122" s="4">
        <v>16</v>
      </c>
      <c r="D122" s="5">
        <v>7.6</v>
      </c>
      <c r="E122" s="210">
        <v>212</v>
      </c>
      <c r="F122" s="6">
        <v>943</v>
      </c>
      <c r="H122" s="7">
        <v>960</v>
      </c>
      <c r="Q122" s="7">
        <v>31</v>
      </c>
      <c r="R122" s="6">
        <v>22</v>
      </c>
      <c r="S122" s="7">
        <v>66</v>
      </c>
      <c r="T122" s="6">
        <v>35</v>
      </c>
      <c r="U122" s="93">
        <f t="shared" si="40"/>
        <v>101</v>
      </c>
      <c r="V122" s="8">
        <v>0</v>
      </c>
      <c r="W122" s="101" t="str">
        <f t="shared" si="42"/>
        <v/>
      </c>
      <c r="X122" s="9">
        <v>95.5</v>
      </c>
      <c r="Y122" s="10">
        <v>100</v>
      </c>
      <c r="Z122" s="104">
        <f t="shared" si="41"/>
        <v>97.75</v>
      </c>
      <c r="BA122" s="4">
        <v>140</v>
      </c>
      <c r="BC122" s="4">
        <v>-1710</v>
      </c>
      <c r="BD122" s="4">
        <v>5010</v>
      </c>
      <c r="BE122" s="4">
        <v>1550</v>
      </c>
      <c r="BF122" s="14">
        <v>66</v>
      </c>
      <c r="BG122" s="14">
        <v>0</v>
      </c>
      <c r="BH122" s="15">
        <v>35</v>
      </c>
      <c r="BI122" s="15">
        <v>0</v>
      </c>
      <c r="BJ122" s="16">
        <v>0</v>
      </c>
      <c r="BK122" s="16">
        <v>0</v>
      </c>
      <c r="BL122" s="108">
        <f>BF122/($S122-$V122)</f>
        <v>1</v>
      </c>
      <c r="BM122" s="108">
        <f>BG122/($S122-$V122)</f>
        <v>0</v>
      </c>
      <c r="BN122" s="107">
        <f>BH122/($T122-$V122)</f>
        <v>1</v>
      </c>
      <c r="BO122" s="107">
        <f>BI122/($T122-$V122)</f>
        <v>0</v>
      </c>
      <c r="BP122" s="111" t="e">
        <f>BJ122/$V122</f>
        <v>#DIV/0!</v>
      </c>
      <c r="BQ122" s="111" t="e">
        <f>BK122/$V122</f>
        <v>#DIV/0!</v>
      </c>
      <c r="BR122" s="112">
        <f>IF((BL122+BM122)=1,BL122,"CHECK red")</f>
        <v>1</v>
      </c>
      <c r="BS122" s="112">
        <f>IF((BN122+BO122)=1,BN122,"CHECK gre")</f>
        <v>1</v>
      </c>
      <c r="BT122" s="112" t="e">
        <f>IF((BP122+BQ122)=1,BP122,"CHECK dou")</f>
        <v>#DIV/0!</v>
      </c>
    </row>
    <row r="123" spans="1:72" x14ac:dyDescent="0.15">
      <c r="B123" s="3" t="s">
        <v>188</v>
      </c>
      <c r="C123" s="4">
        <v>16</v>
      </c>
      <c r="D123" s="5">
        <v>6.7</v>
      </c>
      <c r="E123" s="118">
        <v>91</v>
      </c>
      <c r="F123" s="6">
        <v>725</v>
      </c>
      <c r="H123" s="7">
        <v>669</v>
      </c>
      <c r="Q123" s="7">
        <v>30</v>
      </c>
      <c r="R123" s="6">
        <v>43</v>
      </c>
      <c r="S123" s="14">
        <v>55</v>
      </c>
      <c r="T123" s="15">
        <v>88</v>
      </c>
      <c r="U123" s="93">
        <f t="shared" si="40"/>
        <v>143</v>
      </c>
      <c r="V123" s="119">
        <v>0</v>
      </c>
      <c r="W123" s="101" t="str">
        <f>IF(V123&gt;0.9,(IF(S123&gt;T123,V123/T123,V123/S123)),"")</f>
        <v/>
      </c>
      <c r="X123" s="9">
        <v>40</v>
      </c>
      <c r="Y123" s="10">
        <v>67</v>
      </c>
      <c r="Z123" s="104">
        <f t="shared" si="41"/>
        <v>53.5</v>
      </c>
      <c r="AG123" s="212"/>
      <c r="AH123" s="212"/>
      <c r="AI123" s="212"/>
      <c r="AJ123" s="212"/>
      <c r="AK123" s="212"/>
      <c r="AL123" s="212"/>
      <c r="AM123" s="212"/>
      <c r="AN123" s="212"/>
      <c r="AO123" s="212"/>
      <c r="BA123" s="4">
        <v>140</v>
      </c>
      <c r="BC123" s="4">
        <v>-1710</v>
      </c>
      <c r="BD123" s="4">
        <v>4730</v>
      </c>
      <c r="BE123" s="213">
        <v>1510</v>
      </c>
      <c r="BF123" s="14">
        <v>55</v>
      </c>
      <c r="BG123" s="14">
        <v>0</v>
      </c>
      <c r="BH123" s="15">
        <v>88</v>
      </c>
      <c r="BI123" s="15">
        <v>0</v>
      </c>
      <c r="BJ123" s="16">
        <v>0</v>
      </c>
      <c r="BK123" s="16">
        <v>0</v>
      </c>
      <c r="BL123" s="108">
        <f>BF123/($S123-$V123)</f>
        <v>1</v>
      </c>
      <c r="BM123" s="108">
        <f>BG123/($S123-$V123)</f>
        <v>0</v>
      </c>
      <c r="BN123" s="107">
        <f>BH123/($T123-$V123)</f>
        <v>1</v>
      </c>
      <c r="BO123" s="107">
        <f>BI123/($T123-$V123)</f>
        <v>0</v>
      </c>
      <c r="BP123" s="111" t="e">
        <f>BJ123/$V123</f>
        <v>#DIV/0!</v>
      </c>
      <c r="BQ123" s="111" t="e">
        <f>BK123/$V123</f>
        <v>#DIV/0!</v>
      </c>
      <c r="BR123" s="112">
        <f>IF((BL123+BM123)=1,BL123,"CHECK red")</f>
        <v>1</v>
      </c>
      <c r="BS123" s="112">
        <f>IF((BN123+BO123)=1,BN123,"CHECK gre")</f>
        <v>1</v>
      </c>
      <c r="BT123" s="112" t="e">
        <f>IF((BP123+BQ123)=1,BP123,"CHECK dou")</f>
        <v>#DIV/0!</v>
      </c>
    </row>
    <row r="124" spans="1:72" x14ac:dyDescent="0.15">
      <c r="E124" s="437">
        <v>250</v>
      </c>
      <c r="U124" s="93" t="str">
        <f t="shared" si="40"/>
        <v/>
      </c>
      <c r="W124" s="101" t="str">
        <f t="shared" si="42"/>
        <v/>
      </c>
      <c r="X124" s="431">
        <v>82.1</v>
      </c>
      <c r="Y124" s="432">
        <v>92.7</v>
      </c>
      <c r="Z124" s="104">
        <f>AVERAGE(X124:Y124)</f>
        <v>87.4</v>
      </c>
    </row>
    <row r="125" spans="1:72" x14ac:dyDescent="0.15">
      <c r="E125" s="438">
        <v>400</v>
      </c>
      <c r="U125" s="93" t="str">
        <f t="shared" si="40"/>
        <v/>
      </c>
      <c r="W125" s="101" t="str">
        <f t="shared" si="42"/>
        <v/>
      </c>
      <c r="X125" s="433">
        <v>94.3</v>
      </c>
      <c r="Y125" s="434">
        <v>93.4</v>
      </c>
      <c r="Z125" s="104">
        <f>AVERAGE(X125:Y125)</f>
        <v>93.85</v>
      </c>
    </row>
    <row r="126" spans="1:72" x14ac:dyDescent="0.15">
      <c r="E126" s="438">
        <v>119</v>
      </c>
      <c r="U126" s="93" t="str">
        <f t="shared" si="40"/>
        <v/>
      </c>
      <c r="W126" s="101" t="str">
        <f t="shared" si="42"/>
        <v/>
      </c>
      <c r="X126" s="433">
        <v>55.8</v>
      </c>
      <c r="Y126" s="434">
        <v>85.1</v>
      </c>
      <c r="Z126" s="104">
        <f>AVERAGE(X126:Y126)</f>
        <v>70.449999999999989</v>
      </c>
    </row>
    <row r="127" spans="1:72" x14ac:dyDescent="0.15">
      <c r="E127" s="438">
        <v>100</v>
      </c>
      <c r="U127" s="93" t="str">
        <f t="shared" si="40"/>
        <v/>
      </c>
      <c r="W127" s="101" t="str">
        <f t="shared" si="42"/>
        <v/>
      </c>
      <c r="X127" s="433">
        <v>44.2</v>
      </c>
      <c r="Y127" s="434">
        <v>64.8</v>
      </c>
      <c r="Z127" s="104">
        <f>AVERAGE(X127:Y127)</f>
        <v>54.5</v>
      </c>
    </row>
    <row r="128" spans="1:72" x14ac:dyDescent="0.15">
      <c r="E128" s="439">
        <v>85</v>
      </c>
      <c r="U128" s="93" t="str">
        <f t="shared" si="40"/>
        <v/>
      </c>
      <c r="W128" s="101" t="str">
        <f t="shared" si="42"/>
        <v/>
      </c>
      <c r="X128" s="435">
        <v>75.7</v>
      </c>
      <c r="Y128" s="436">
        <v>37.9</v>
      </c>
      <c r="Z128" s="104">
        <f>AVERAGE(X128:Y128)</f>
        <v>56.8</v>
      </c>
    </row>
    <row r="129" spans="1:72" x14ac:dyDescent="0.15">
      <c r="U129" s="93" t="str">
        <f t="shared" si="40"/>
        <v/>
      </c>
      <c r="W129" s="101" t="str">
        <f t="shared" si="42"/>
        <v/>
      </c>
      <c r="Z129" s="104"/>
    </row>
    <row r="130" spans="1:72" x14ac:dyDescent="0.15">
      <c r="E130" s="131"/>
      <c r="U130" s="93" t="str">
        <f t="shared" si="40"/>
        <v/>
      </c>
      <c r="W130" s="101" t="str">
        <f t="shared" si="42"/>
        <v/>
      </c>
      <c r="Z130" s="104" t="str">
        <f t="shared" si="41"/>
        <v/>
      </c>
    </row>
    <row r="131" spans="1:72" x14ac:dyDescent="0.15">
      <c r="A131" s="91">
        <f>COUNT(D119:D131)</f>
        <v>5</v>
      </c>
      <c r="E131" s="131"/>
      <c r="U131" s="93" t="str">
        <f t="shared" si="40"/>
        <v/>
      </c>
      <c r="W131" s="101" t="str">
        <f t="shared" si="42"/>
        <v/>
      </c>
      <c r="Z131" s="104" t="str">
        <f t="shared" si="41"/>
        <v/>
      </c>
    </row>
    <row r="132" spans="1:72" s="70" customFormat="1" x14ac:dyDescent="0.15">
      <c r="A132" s="114" t="s">
        <v>189</v>
      </c>
      <c r="B132" s="82">
        <f>STDEV(D119:D131)</f>
        <v>0.65038450166036399</v>
      </c>
      <c r="D132" s="115">
        <f>AVERAGE(D119:D131)</f>
        <v>7.660000000000001</v>
      </c>
      <c r="E132" s="73">
        <f>MEDIAN(E119:E131)</f>
        <v>155</v>
      </c>
      <c r="F132" s="73">
        <f>STDEV(E119:E131)</f>
        <v>95.900179585047923</v>
      </c>
      <c r="G132" s="73"/>
      <c r="H132" s="73"/>
      <c r="I132" s="73"/>
      <c r="J132" s="73"/>
      <c r="Q132" s="73"/>
      <c r="R132" s="73"/>
      <c r="S132" s="73">
        <f>AVERAGE(S119:S120)</f>
        <v>114</v>
      </c>
      <c r="T132" s="73">
        <f>AVERAGE(T119:T120)</f>
        <v>90</v>
      </c>
      <c r="U132" s="73">
        <f>SUM(S132:T132)</f>
        <v>204</v>
      </c>
      <c r="V132" s="116"/>
      <c r="W132" s="133"/>
      <c r="X132" s="82"/>
      <c r="Y132" s="82"/>
      <c r="Z132" s="82">
        <f>MEDIAN(Z119:Z131)</f>
        <v>71.599999999999994</v>
      </c>
      <c r="AA132" s="83">
        <f>STDEV(Z119:Z131)</f>
        <v>16.373281080264114</v>
      </c>
      <c r="AG132" s="70">
        <f>(AI132/AVERAGE(AG119:AG120))*AG3</f>
        <v>0</v>
      </c>
      <c r="AI132" s="70">
        <f t="shared" ref="AI132:AU132" si="43">AVERAGE(AI119:AI120)</f>
        <v>10.179</v>
      </c>
      <c r="AP132" s="133">
        <f t="shared" si="43"/>
        <v>1.4212010956182887E-2</v>
      </c>
      <c r="AQ132" s="133">
        <f t="shared" si="43"/>
        <v>7.2180759512628489E-3</v>
      </c>
      <c r="AR132" s="133">
        <f t="shared" si="43"/>
        <v>3.3759014060240206E-3</v>
      </c>
      <c r="AS132" s="133">
        <f t="shared" si="43"/>
        <v>5.2724077328646743E-2</v>
      </c>
      <c r="AT132" s="133">
        <f t="shared" si="43"/>
        <v>2.7617373838814963E-2</v>
      </c>
      <c r="AU132" s="133">
        <f t="shared" si="43"/>
        <v>4.1426060758222444E-3</v>
      </c>
      <c r="AV132" s="73"/>
      <c r="AW132" s="73"/>
      <c r="AX132" s="73"/>
      <c r="AY132" s="73"/>
      <c r="AZ132" s="73"/>
      <c r="BA132" s="138"/>
      <c r="BB132" s="138"/>
      <c r="BC132" s="138"/>
      <c r="BD132" s="138"/>
      <c r="BE132" s="138"/>
      <c r="BF132" s="139"/>
      <c r="BG132" s="139"/>
      <c r="BH132" s="140"/>
      <c r="BI132" s="140"/>
      <c r="BJ132" s="141"/>
      <c r="BK132" s="141"/>
      <c r="BL132" s="142"/>
      <c r="BM132" s="142"/>
      <c r="BN132" s="143"/>
      <c r="BO132" s="143"/>
      <c r="BP132" s="144"/>
      <c r="BQ132" s="144"/>
      <c r="BR132" s="145"/>
      <c r="BS132" s="145"/>
      <c r="BT132" s="145"/>
    </row>
    <row r="133" spans="1:72" s="106" customFormat="1" x14ac:dyDescent="0.15">
      <c r="A133" s="146" t="s">
        <v>190</v>
      </c>
      <c r="B133" s="92" t="s">
        <v>191</v>
      </c>
      <c r="C133" s="93">
        <v>21</v>
      </c>
      <c r="D133" s="94">
        <v>7</v>
      </c>
      <c r="E133" s="95">
        <v>60</v>
      </c>
      <c r="F133" s="96"/>
      <c r="G133" s="96"/>
      <c r="H133" s="97"/>
      <c r="I133" s="97"/>
      <c r="J133" s="97"/>
      <c r="K133" s="98"/>
      <c r="L133" s="98"/>
      <c r="M133" s="98"/>
      <c r="N133" s="99"/>
      <c r="O133" s="99"/>
      <c r="P133" s="99"/>
      <c r="Q133" s="97">
        <v>44</v>
      </c>
      <c r="R133" s="96">
        <v>27</v>
      </c>
      <c r="S133" s="97">
        <f>128+V133</f>
        <v>140</v>
      </c>
      <c r="T133" s="96">
        <f>117+V133</f>
        <v>129</v>
      </c>
      <c r="U133" s="93">
        <f t="shared" ref="U133:U146" si="44">IF(S133&gt;0.9,SUM(S133:T133)-V133,"")</f>
        <v>257</v>
      </c>
      <c r="V133" s="100">
        <v>12</v>
      </c>
      <c r="W133" s="101">
        <f t="shared" ref="W133:W146" si="45">IF(V133&gt;0.9,(IF(S133&gt;T133,V133/T133,V133/S133)),"")</f>
        <v>9.3023255813953487E-2</v>
      </c>
      <c r="X133" s="102">
        <v>63.9</v>
      </c>
      <c r="Y133" s="103">
        <v>60.9</v>
      </c>
      <c r="Z133" s="104">
        <f>IF(A133="x","x",IF(X133&gt;1,(IF(S133&gt;1,(IF(S133&gt;T133,(IF((S133/T133)&lt;5,AVERAGE(X133:Y133),"")),IF(S133&lt;T133,(IF((T133/S133)&lt;5,AVERAGE(X133:Y133),""))))),"")),""))</f>
        <v>62.4</v>
      </c>
      <c r="AD133" s="99"/>
      <c r="AE133" s="98"/>
      <c r="AF133" s="99"/>
      <c r="AG133" s="106">
        <v>30.791</v>
      </c>
      <c r="AH133" s="106">
        <f>AI133/AG133</f>
        <v>0.29034458120879475</v>
      </c>
      <c r="AI133" s="106">
        <v>8.94</v>
      </c>
      <c r="AP133" s="107">
        <f>0.68/AI133</f>
        <v>7.6062639821029093E-2</v>
      </c>
      <c r="AQ133" s="107">
        <f>0.142/AI133</f>
        <v>1.5883668903803133E-2</v>
      </c>
      <c r="AR133" s="107">
        <f>0.052/AI133</f>
        <v>5.8165548098434005E-3</v>
      </c>
      <c r="AS133" s="108">
        <f>0.31/AI133</f>
        <v>3.4675615212527967E-2</v>
      </c>
      <c r="AT133" s="108">
        <f>0.128/AI133</f>
        <v>1.4317673378076063E-2</v>
      </c>
      <c r="AU133" s="108">
        <f>0.047/AI133</f>
        <v>5.2572706935123045E-3</v>
      </c>
      <c r="AV133" s="96">
        <v>870</v>
      </c>
      <c r="AW133" s="96">
        <v>-230</v>
      </c>
      <c r="AX133" s="97">
        <v>970</v>
      </c>
      <c r="AY133" s="97">
        <v>-300</v>
      </c>
      <c r="AZ133" s="97"/>
      <c r="BA133" s="93"/>
      <c r="BB133" s="93"/>
      <c r="BC133" s="93"/>
      <c r="BD133" s="93"/>
      <c r="BE133" s="93"/>
      <c r="BF133" s="97"/>
      <c r="BG133" s="97"/>
      <c r="BH133" s="96"/>
      <c r="BI133" s="96"/>
      <c r="BJ133" s="110"/>
      <c r="BK133" s="110"/>
      <c r="BL133" s="108"/>
      <c r="BM133" s="108"/>
      <c r="BN133" s="107"/>
      <c r="BO133" s="107"/>
      <c r="BP133" s="111"/>
      <c r="BQ133" s="111"/>
      <c r="BR133" s="112"/>
      <c r="BS133" s="112"/>
      <c r="BT133" s="112"/>
    </row>
    <row r="134" spans="1:72" s="106" customFormat="1" x14ac:dyDescent="0.15">
      <c r="A134" s="146"/>
      <c r="B134" s="92" t="s">
        <v>192</v>
      </c>
      <c r="C134" s="93">
        <v>21</v>
      </c>
      <c r="D134" s="94">
        <v>5.8</v>
      </c>
      <c r="E134" s="95">
        <v>150</v>
      </c>
      <c r="F134" s="96"/>
      <c r="G134" s="96"/>
      <c r="H134" s="97"/>
      <c r="I134" s="97"/>
      <c r="J134" s="97"/>
      <c r="K134" s="98"/>
      <c r="L134" s="98"/>
      <c r="M134" s="98"/>
      <c r="N134" s="99"/>
      <c r="O134" s="99"/>
      <c r="P134" s="99"/>
      <c r="Q134" s="97">
        <v>34</v>
      </c>
      <c r="R134" s="96">
        <v>65</v>
      </c>
      <c r="S134" s="97">
        <v>151</v>
      </c>
      <c r="T134" s="96">
        <v>234</v>
      </c>
      <c r="U134" s="93">
        <f t="shared" si="44"/>
        <v>385</v>
      </c>
      <c r="V134" s="100">
        <v>0</v>
      </c>
      <c r="W134" s="101" t="str">
        <f t="shared" si="45"/>
        <v/>
      </c>
      <c r="X134" s="102">
        <v>86.1</v>
      </c>
      <c r="Y134" s="103">
        <v>92.7</v>
      </c>
      <c r="Z134" s="104">
        <f t="shared" ref="Z134:Z146" si="46">IF(A134="x","x",IF(X134&gt;1,(IF(S134&gt;1,(IF(S134&gt;T134,(IF((S134/T134)&lt;5,AVERAGE(X134:Y134),"")),IF(S134&lt;T134,(IF((T134/S134)&lt;5,AVERAGE(X134:Y134),""))))),"")),""))</f>
        <v>89.4</v>
      </c>
      <c r="AD134" s="99"/>
      <c r="AE134" s="98"/>
      <c r="AF134" s="99"/>
      <c r="AG134" s="106">
        <v>30.791</v>
      </c>
      <c r="AH134" s="106">
        <f>AI134/AG134</f>
        <v>0.29047448929882108</v>
      </c>
      <c r="AI134" s="106">
        <v>8.9440000000000008</v>
      </c>
      <c r="AP134" s="107">
        <f>0.328/AI134</f>
        <v>3.6672629695885507E-2</v>
      </c>
      <c r="AQ134" s="107">
        <f>0.161/AI134</f>
        <v>1.8000894454382826E-2</v>
      </c>
      <c r="AR134" s="107">
        <f>0.057/AI134</f>
        <v>6.3729874776386397E-3</v>
      </c>
      <c r="AS134" s="108">
        <f>0.332/AI134</f>
        <v>3.7119856887298748E-2</v>
      </c>
      <c r="AT134" s="108">
        <f>0.166/AI134</f>
        <v>1.8559928443649374E-2</v>
      </c>
      <c r="AU134" s="108">
        <f>0.031/AI134</f>
        <v>3.4660107334525936E-3</v>
      </c>
      <c r="AV134" s="96"/>
      <c r="AW134" s="96"/>
      <c r="AX134" s="97"/>
      <c r="AY134" s="97"/>
      <c r="AZ134" s="97"/>
      <c r="BA134" s="93"/>
      <c r="BB134" s="93"/>
      <c r="BC134" s="93"/>
      <c r="BD134" s="93"/>
      <c r="BE134" s="93"/>
      <c r="BF134" s="97"/>
      <c r="BG134" s="97"/>
      <c r="BH134" s="96"/>
      <c r="BI134" s="96"/>
      <c r="BJ134" s="110"/>
      <c r="BK134" s="110"/>
      <c r="BL134" s="108"/>
      <c r="BM134" s="108"/>
      <c r="BN134" s="107"/>
      <c r="BO134" s="107"/>
      <c r="BP134" s="111"/>
      <c r="BQ134" s="111"/>
      <c r="BR134" s="112"/>
      <c r="BS134" s="112"/>
      <c r="BT134" s="112"/>
    </row>
    <row r="135" spans="1:72" s="106" customFormat="1" x14ac:dyDescent="0.15">
      <c r="A135" s="146"/>
      <c r="B135" s="92" t="s">
        <v>193</v>
      </c>
      <c r="C135" s="93">
        <v>21</v>
      </c>
      <c r="D135" s="94">
        <v>5.4</v>
      </c>
      <c r="E135" s="95">
        <v>47</v>
      </c>
      <c r="F135" s="96"/>
      <c r="G135" s="96"/>
      <c r="H135" s="97"/>
      <c r="I135" s="97"/>
      <c r="J135" s="97"/>
      <c r="K135" s="98"/>
      <c r="L135" s="98"/>
      <c r="M135" s="98"/>
      <c r="N135" s="99"/>
      <c r="O135" s="99"/>
      <c r="P135" s="99"/>
      <c r="Q135" s="97">
        <v>11</v>
      </c>
      <c r="R135" s="96">
        <v>22</v>
      </c>
      <c r="S135" s="97">
        <f>33+V135</f>
        <v>34</v>
      </c>
      <c r="T135" s="96">
        <f>79+V135</f>
        <v>80</v>
      </c>
      <c r="U135" s="93">
        <f t="shared" si="44"/>
        <v>113</v>
      </c>
      <c r="V135" s="100">
        <v>1</v>
      </c>
      <c r="W135" s="101">
        <f t="shared" si="45"/>
        <v>2.9411764705882353E-2</v>
      </c>
      <c r="X135" s="102">
        <v>39.700000000000003</v>
      </c>
      <c r="Y135" s="103">
        <v>70.599999999999994</v>
      </c>
      <c r="Z135" s="104">
        <f t="shared" si="46"/>
        <v>55.15</v>
      </c>
      <c r="AD135" s="99"/>
      <c r="AE135" s="98"/>
      <c r="AF135" s="99"/>
      <c r="AG135" s="106">
        <v>30.791</v>
      </c>
      <c r="AH135" s="106">
        <f>AI135/AG135</f>
        <v>0.29417686986457081</v>
      </c>
      <c r="AI135" s="106">
        <v>9.0579999999999998</v>
      </c>
      <c r="AP135" s="107">
        <f>0.195/AI135</f>
        <v>2.1527931110620447E-2</v>
      </c>
      <c r="AQ135" s="107">
        <f>0.077/AI135</f>
        <v>8.5007727975270481E-3</v>
      </c>
      <c r="AR135" s="107">
        <f>0.026/AI135</f>
        <v>2.8703908147493925E-3</v>
      </c>
      <c r="AS135" s="108">
        <f>0.228/AI135</f>
        <v>2.5171119452417755E-2</v>
      </c>
      <c r="AT135" s="108">
        <f>0.115/AI135</f>
        <v>1.2695959372930008E-2</v>
      </c>
      <c r="AU135" s="108">
        <f>0.037/AI135</f>
        <v>4.0847869286818285E-3</v>
      </c>
      <c r="AV135" s="96"/>
      <c r="AW135" s="96"/>
      <c r="AX135" s="97"/>
      <c r="AY135" s="97"/>
      <c r="AZ135" s="97"/>
      <c r="BA135" s="93"/>
      <c r="BB135" s="93"/>
      <c r="BC135" s="93"/>
      <c r="BD135" s="93"/>
      <c r="BE135" s="93"/>
      <c r="BF135" s="97"/>
      <c r="BG135" s="97"/>
      <c r="BH135" s="96"/>
      <c r="BI135" s="96"/>
      <c r="BJ135" s="110"/>
      <c r="BK135" s="110"/>
      <c r="BL135" s="108"/>
      <c r="BM135" s="108"/>
      <c r="BN135" s="107"/>
      <c r="BO135" s="107"/>
      <c r="BP135" s="111"/>
      <c r="BQ135" s="111"/>
      <c r="BR135" s="112"/>
      <c r="BS135" s="112"/>
      <c r="BT135" s="112"/>
    </row>
    <row r="136" spans="1:72" s="106" customFormat="1" x14ac:dyDescent="0.15">
      <c r="A136" s="146"/>
      <c r="B136" s="92" t="s">
        <v>194</v>
      </c>
      <c r="C136" s="93">
        <v>21</v>
      </c>
      <c r="D136" s="94">
        <v>5.8</v>
      </c>
      <c r="E136" s="95">
        <v>56</v>
      </c>
      <c r="F136" s="96"/>
      <c r="G136" s="96"/>
      <c r="H136" s="97"/>
      <c r="I136" s="97"/>
      <c r="J136" s="97"/>
      <c r="K136" s="98"/>
      <c r="L136" s="98"/>
      <c r="M136" s="98"/>
      <c r="N136" s="99"/>
      <c r="O136" s="99"/>
      <c r="P136" s="99"/>
      <c r="Q136" s="97">
        <v>54</v>
      </c>
      <c r="R136" s="96">
        <v>50</v>
      </c>
      <c r="S136" s="97">
        <f>123+V136</f>
        <v>142</v>
      </c>
      <c r="T136" s="96">
        <f>189+V136</f>
        <v>208</v>
      </c>
      <c r="U136" s="93">
        <f t="shared" si="44"/>
        <v>331</v>
      </c>
      <c r="V136" s="100">
        <v>19</v>
      </c>
      <c r="W136" s="101">
        <f t="shared" si="45"/>
        <v>0.13380281690140844</v>
      </c>
      <c r="X136" s="102">
        <v>58.1</v>
      </c>
      <c r="Y136" s="103">
        <v>69.7</v>
      </c>
      <c r="Z136" s="104">
        <f t="shared" si="46"/>
        <v>63.900000000000006</v>
      </c>
      <c r="AD136" s="99"/>
      <c r="AE136" s="98"/>
      <c r="AF136" s="99"/>
      <c r="AG136" s="106">
        <v>30.791</v>
      </c>
      <c r="AH136" s="106">
        <f>AI136/AG136</f>
        <v>0.26098535286284952</v>
      </c>
      <c r="AI136" s="106">
        <v>8.0359999999999996</v>
      </c>
      <c r="AP136" s="107">
        <f>0.235/AI136</f>
        <v>2.9243404678944748E-2</v>
      </c>
      <c r="AQ136" s="107">
        <f>0.129/AI136</f>
        <v>1.6052762568442014E-2</v>
      </c>
      <c r="AR136" s="107">
        <f>0.057/AI136</f>
        <v>7.0930811348929824E-3</v>
      </c>
      <c r="AS136" s="108">
        <f>0.238/AI136</f>
        <v>2.9616724738675958E-2</v>
      </c>
      <c r="AT136" s="108">
        <f>0.121/AI136</f>
        <v>1.5057242409158785E-2</v>
      </c>
      <c r="AU136" s="108">
        <f>0.044/AI136</f>
        <v>5.4753608760577405E-3</v>
      </c>
      <c r="AV136" s="96"/>
      <c r="AW136" s="96"/>
      <c r="AX136" s="97"/>
      <c r="AY136" s="97"/>
      <c r="AZ136" s="97"/>
      <c r="BA136" s="93"/>
      <c r="BB136" s="93"/>
      <c r="BC136" s="93"/>
      <c r="BD136" s="93"/>
      <c r="BE136" s="93"/>
      <c r="BF136" s="97"/>
      <c r="BG136" s="97"/>
      <c r="BH136" s="96"/>
      <c r="BI136" s="96"/>
      <c r="BJ136" s="110"/>
      <c r="BK136" s="110"/>
      <c r="BL136" s="108"/>
      <c r="BM136" s="108"/>
      <c r="BN136" s="107"/>
      <c r="BO136" s="107"/>
      <c r="BP136" s="111"/>
      <c r="BQ136" s="111"/>
      <c r="BR136" s="112"/>
      <c r="BS136" s="112"/>
      <c r="BT136" s="112"/>
    </row>
    <row r="137" spans="1:72" s="106" customFormat="1" x14ac:dyDescent="0.15">
      <c r="A137" s="146"/>
      <c r="B137" s="92" t="s">
        <v>195</v>
      </c>
      <c r="C137" s="93">
        <v>23</v>
      </c>
      <c r="D137" s="94">
        <v>8.1199999999999992</v>
      </c>
      <c r="E137" s="95">
        <v>89</v>
      </c>
      <c r="F137" s="96"/>
      <c r="G137" s="96"/>
      <c r="H137" s="97"/>
      <c r="I137" s="97"/>
      <c r="J137" s="97"/>
      <c r="K137" s="98"/>
      <c r="L137" s="98"/>
      <c r="M137" s="98"/>
      <c r="N137" s="99"/>
      <c r="O137" s="99"/>
      <c r="P137" s="99"/>
      <c r="Q137" s="97">
        <v>39</v>
      </c>
      <c r="R137" s="96">
        <v>11</v>
      </c>
      <c r="S137" s="97">
        <f>108+V137</f>
        <v>110</v>
      </c>
      <c r="T137" s="96">
        <f>30+V137</f>
        <v>32</v>
      </c>
      <c r="U137" s="93">
        <f t="shared" si="44"/>
        <v>140</v>
      </c>
      <c r="V137" s="100">
        <v>2</v>
      </c>
      <c r="W137" s="101">
        <f t="shared" si="45"/>
        <v>6.25E-2</v>
      </c>
      <c r="X137" s="102">
        <v>86.8</v>
      </c>
      <c r="Y137" s="103">
        <v>53.1</v>
      </c>
      <c r="Z137" s="104">
        <f t="shared" si="46"/>
        <v>69.95</v>
      </c>
      <c r="AD137" s="99"/>
      <c r="AE137" s="98"/>
      <c r="AF137" s="99"/>
      <c r="AG137" s="106">
        <v>28.937000000000001</v>
      </c>
      <c r="AH137" s="106">
        <f>AI137/AG137</f>
        <v>0.30276117081936615</v>
      </c>
      <c r="AI137" s="106">
        <v>8.7609999999999992</v>
      </c>
      <c r="AP137" s="107"/>
      <c r="AQ137" s="107"/>
      <c r="AR137" s="107"/>
      <c r="AS137" s="108">
        <f>0.127/AI137</f>
        <v>1.4496062093368338E-2</v>
      </c>
      <c r="AT137" s="108">
        <f>0.069/AI137</f>
        <v>7.8758132633261063E-3</v>
      </c>
      <c r="AU137" s="108">
        <f>0.04</f>
        <v>0.04</v>
      </c>
      <c r="AV137" s="96"/>
      <c r="AW137" s="96"/>
      <c r="AX137" s="97"/>
      <c r="AY137" s="97"/>
      <c r="AZ137" s="97"/>
      <c r="BA137" s="93"/>
      <c r="BB137" s="93"/>
      <c r="BC137" s="93"/>
      <c r="BD137" s="93"/>
      <c r="BE137" s="93"/>
      <c r="BF137" s="97"/>
      <c r="BG137" s="97"/>
      <c r="BH137" s="96"/>
      <c r="BI137" s="96"/>
      <c r="BJ137" s="110"/>
      <c r="BK137" s="110"/>
      <c r="BL137" s="108"/>
      <c r="BM137" s="108"/>
      <c r="BN137" s="107"/>
      <c r="BO137" s="107"/>
      <c r="BP137" s="111"/>
      <c r="BQ137" s="111"/>
      <c r="BR137" s="112"/>
      <c r="BS137" s="112"/>
      <c r="BT137" s="112"/>
    </row>
    <row r="138" spans="1:72" s="106" customFormat="1" x14ac:dyDescent="0.15">
      <c r="A138" s="146"/>
      <c r="B138" s="92" t="s">
        <v>196</v>
      </c>
      <c r="C138" s="93">
        <v>23</v>
      </c>
      <c r="D138" s="94">
        <v>10.4</v>
      </c>
      <c r="E138" s="95">
        <v>388</v>
      </c>
      <c r="F138" s="96"/>
      <c r="G138" s="96"/>
      <c r="H138" s="97"/>
      <c r="I138" s="97"/>
      <c r="J138" s="97"/>
      <c r="K138" s="98"/>
      <c r="L138" s="98"/>
      <c r="M138" s="98"/>
      <c r="N138" s="99"/>
      <c r="O138" s="99"/>
      <c r="P138" s="99"/>
      <c r="Q138" s="97">
        <v>15</v>
      </c>
      <c r="R138" s="96">
        <v>45</v>
      </c>
      <c r="S138" s="97">
        <v>45</v>
      </c>
      <c r="T138" s="96">
        <v>102</v>
      </c>
      <c r="U138" s="93">
        <f t="shared" si="44"/>
        <v>147</v>
      </c>
      <c r="V138" s="100">
        <v>0</v>
      </c>
      <c r="W138" s="101" t="str">
        <f t="shared" si="45"/>
        <v/>
      </c>
      <c r="X138" s="102">
        <v>100</v>
      </c>
      <c r="Y138" s="103">
        <v>100</v>
      </c>
      <c r="Z138" s="104">
        <f t="shared" si="46"/>
        <v>100</v>
      </c>
      <c r="AD138" s="99"/>
      <c r="AE138" s="98"/>
      <c r="AF138" s="99"/>
      <c r="AP138" s="107"/>
      <c r="AQ138" s="107"/>
      <c r="AR138" s="107"/>
      <c r="AS138" s="108"/>
      <c r="AT138" s="108"/>
      <c r="AU138" s="108"/>
      <c r="AV138" s="96"/>
      <c r="AW138" s="96"/>
      <c r="AX138" s="97"/>
      <c r="AY138" s="97"/>
      <c r="AZ138" s="97"/>
      <c r="BA138" s="93">
        <v>140</v>
      </c>
      <c r="BB138" s="93"/>
      <c r="BC138" s="93">
        <v>-1710</v>
      </c>
      <c r="BD138" s="93">
        <v>5010</v>
      </c>
      <c r="BE138" s="217">
        <v>1650</v>
      </c>
      <c r="BF138" s="97">
        <v>45</v>
      </c>
      <c r="BG138" s="97">
        <v>0</v>
      </c>
      <c r="BH138" s="96">
        <v>102</v>
      </c>
      <c r="BI138" s="96">
        <v>0</v>
      </c>
      <c r="BJ138" s="110">
        <v>0</v>
      </c>
      <c r="BK138" s="110">
        <v>0</v>
      </c>
      <c r="BL138" s="108">
        <f>BF138/($S138-$V138)</f>
        <v>1</v>
      </c>
      <c r="BM138" s="108">
        <f>BG138/($S138-$V138)</f>
        <v>0</v>
      </c>
      <c r="BN138" s="107">
        <f>BH138/($T138-$V138)</f>
        <v>1</v>
      </c>
      <c r="BO138" s="107">
        <f>BI138/($T138-$V138)</f>
        <v>0</v>
      </c>
      <c r="BP138" s="111" t="e">
        <f>BJ138/$V138</f>
        <v>#DIV/0!</v>
      </c>
      <c r="BQ138" s="111" t="e">
        <f>BK138/$V138</f>
        <v>#DIV/0!</v>
      </c>
      <c r="BR138" s="112">
        <f>IF((BL138+BM138)=1,BL138,"CHECK red")</f>
        <v>1</v>
      </c>
      <c r="BS138" s="112">
        <f>IF((BN138+BO138)=1,BN138,"CHECK gre")</f>
        <v>1</v>
      </c>
      <c r="BT138" s="112" t="e">
        <f>IF((BP138+BQ138)=1,BP138,"CHECK dou")</f>
        <v>#DIV/0!</v>
      </c>
    </row>
    <row r="139" spans="1:72" s="106" customFormat="1" x14ac:dyDescent="0.15">
      <c r="A139" s="146"/>
      <c r="B139" s="92" t="s">
        <v>283</v>
      </c>
      <c r="C139" s="93">
        <v>22</v>
      </c>
      <c r="D139" s="94"/>
      <c r="E139" s="95">
        <v>110</v>
      </c>
      <c r="F139" s="96"/>
      <c r="G139" s="96"/>
      <c r="H139" s="97"/>
      <c r="I139" s="97"/>
      <c r="J139" s="97"/>
      <c r="K139" s="98"/>
      <c r="L139" s="98"/>
      <c r="M139" s="98"/>
      <c r="N139" s="99"/>
      <c r="O139" s="99"/>
      <c r="P139" s="99"/>
      <c r="Q139" s="97"/>
      <c r="R139" s="96"/>
      <c r="S139" s="97">
        <v>141</v>
      </c>
      <c r="T139" s="96">
        <v>158</v>
      </c>
      <c r="U139" s="93">
        <f t="shared" si="44"/>
        <v>299</v>
      </c>
      <c r="V139" s="100">
        <v>0</v>
      </c>
      <c r="W139" s="101" t="str">
        <f t="shared" si="45"/>
        <v/>
      </c>
      <c r="X139" s="102">
        <v>67</v>
      </c>
      <c r="Y139" s="103">
        <v>73.7</v>
      </c>
      <c r="Z139" s="104">
        <f t="shared" si="46"/>
        <v>70.349999999999994</v>
      </c>
      <c r="AD139" s="99"/>
      <c r="AE139" s="98"/>
      <c r="AF139" s="99"/>
      <c r="AP139" s="107"/>
      <c r="AQ139" s="107"/>
      <c r="AR139" s="107"/>
      <c r="AS139" s="108"/>
      <c r="AT139" s="108"/>
      <c r="AU139" s="108"/>
      <c r="AV139" s="96"/>
      <c r="AW139" s="96"/>
      <c r="AX139" s="97"/>
      <c r="AY139" s="97"/>
      <c r="AZ139" s="97"/>
      <c r="BA139" s="93"/>
      <c r="BB139" s="93"/>
      <c r="BC139" s="93"/>
      <c r="BD139" s="93"/>
      <c r="BE139" s="217"/>
      <c r="BF139" s="97"/>
      <c r="BG139" s="97"/>
      <c r="BH139" s="96"/>
      <c r="BI139" s="96"/>
      <c r="BJ139" s="110"/>
      <c r="BK139" s="110"/>
      <c r="BL139" s="108"/>
      <c r="BM139" s="108"/>
      <c r="BN139" s="107"/>
      <c r="BO139" s="107"/>
      <c r="BP139" s="111"/>
      <c r="BQ139" s="111"/>
      <c r="BR139" s="112"/>
      <c r="BS139" s="112"/>
      <c r="BT139" s="112"/>
    </row>
    <row r="140" spans="1:72" s="106" customFormat="1" x14ac:dyDescent="0.15">
      <c r="A140" s="146"/>
      <c r="B140" s="92" t="s">
        <v>410</v>
      </c>
      <c r="C140" s="93">
        <v>22</v>
      </c>
      <c r="D140" s="94"/>
      <c r="E140" s="95">
        <v>198</v>
      </c>
      <c r="F140" s="96"/>
      <c r="G140" s="96"/>
      <c r="H140" s="97"/>
      <c r="I140" s="97"/>
      <c r="J140" s="97"/>
      <c r="K140" s="98"/>
      <c r="L140" s="98"/>
      <c r="M140" s="98"/>
      <c r="N140" s="99"/>
      <c r="O140" s="99"/>
      <c r="P140" s="99"/>
      <c r="Q140" s="97"/>
      <c r="R140" s="96"/>
      <c r="S140" s="97">
        <v>132</v>
      </c>
      <c r="T140" s="96">
        <v>120</v>
      </c>
      <c r="U140" s="93">
        <f t="shared" si="44"/>
        <v>252</v>
      </c>
      <c r="V140" s="100">
        <v>0</v>
      </c>
      <c r="W140" s="101" t="str">
        <f t="shared" si="45"/>
        <v/>
      </c>
      <c r="X140" s="102">
        <v>100</v>
      </c>
      <c r="Y140" s="103">
        <v>100</v>
      </c>
      <c r="Z140" s="104">
        <f t="shared" si="46"/>
        <v>100</v>
      </c>
      <c r="AD140" s="99"/>
      <c r="AE140" s="98"/>
      <c r="AF140" s="99"/>
      <c r="AP140" s="107"/>
      <c r="AQ140" s="107"/>
      <c r="AR140" s="107"/>
      <c r="AS140" s="108"/>
      <c r="AT140" s="108"/>
      <c r="AU140" s="108"/>
      <c r="AV140" s="96"/>
      <c r="AW140" s="96"/>
      <c r="AX140" s="97"/>
      <c r="AY140" s="97"/>
      <c r="AZ140" s="97"/>
      <c r="BA140" s="93"/>
      <c r="BB140" s="93"/>
      <c r="BC140" s="93"/>
      <c r="BD140" s="93"/>
      <c r="BE140" s="93"/>
      <c r="BF140" s="97"/>
      <c r="BG140" s="97"/>
      <c r="BH140" s="96"/>
      <c r="BI140" s="96"/>
      <c r="BJ140" s="110"/>
      <c r="BK140" s="110"/>
      <c r="BL140" s="108"/>
      <c r="BM140" s="108"/>
      <c r="BN140" s="107"/>
      <c r="BO140" s="107"/>
      <c r="BP140" s="111"/>
      <c r="BQ140" s="111"/>
      <c r="BR140" s="112"/>
      <c r="BS140" s="112"/>
      <c r="BT140" s="112"/>
    </row>
    <row r="141" spans="1:72" s="106" customFormat="1" x14ac:dyDescent="0.15">
      <c r="A141" s="146"/>
      <c r="B141" s="92" t="s">
        <v>411</v>
      </c>
      <c r="C141" s="93">
        <v>22</v>
      </c>
      <c r="D141" s="94"/>
      <c r="E141" s="95">
        <v>510</v>
      </c>
      <c r="F141" s="96"/>
      <c r="G141" s="96"/>
      <c r="H141" s="97"/>
      <c r="I141" s="97"/>
      <c r="J141" s="97"/>
      <c r="K141" s="98"/>
      <c r="L141" s="98"/>
      <c r="M141" s="98"/>
      <c r="N141" s="99"/>
      <c r="O141" s="99"/>
      <c r="P141" s="99"/>
      <c r="Q141" s="97"/>
      <c r="R141" s="96"/>
      <c r="S141" s="97">
        <v>94</v>
      </c>
      <c r="T141" s="96">
        <v>113</v>
      </c>
      <c r="U141" s="93">
        <f t="shared" si="44"/>
        <v>207</v>
      </c>
      <c r="V141" s="100">
        <v>0</v>
      </c>
      <c r="W141" s="101" t="str">
        <f t="shared" si="45"/>
        <v/>
      </c>
      <c r="X141" s="102">
        <v>100</v>
      </c>
      <c r="Y141" s="103">
        <v>100</v>
      </c>
      <c r="Z141" s="104">
        <f t="shared" si="46"/>
        <v>100</v>
      </c>
      <c r="AD141" s="99"/>
      <c r="AE141" s="98"/>
      <c r="AF141" s="99"/>
      <c r="AP141" s="107"/>
      <c r="AQ141" s="107"/>
      <c r="AR141" s="107"/>
      <c r="AS141" s="108"/>
      <c r="AT141" s="108"/>
      <c r="AU141" s="108"/>
      <c r="AV141" s="96"/>
      <c r="AW141" s="96"/>
      <c r="AX141" s="97"/>
      <c r="AY141" s="97"/>
      <c r="AZ141" s="97"/>
      <c r="BA141" s="93"/>
      <c r="BB141" s="93"/>
      <c r="BC141" s="93"/>
      <c r="BD141" s="93"/>
      <c r="BE141" s="93"/>
      <c r="BF141" s="97"/>
      <c r="BG141" s="97"/>
      <c r="BH141" s="96"/>
      <c r="BI141" s="96"/>
      <c r="BJ141" s="110"/>
      <c r="BK141" s="110"/>
      <c r="BL141" s="108"/>
      <c r="BM141" s="108"/>
      <c r="BN141" s="107"/>
      <c r="BO141" s="107"/>
      <c r="BP141" s="111"/>
      <c r="BQ141" s="111"/>
      <c r="BR141" s="112"/>
      <c r="BS141" s="112"/>
      <c r="BT141" s="112"/>
    </row>
    <row r="142" spans="1:72" s="106" customFormat="1" x14ac:dyDescent="0.15">
      <c r="A142" s="146"/>
      <c r="B142" s="92"/>
      <c r="C142" s="93"/>
      <c r="D142" s="94"/>
      <c r="E142" s="95"/>
      <c r="F142" s="96"/>
      <c r="G142" s="96"/>
      <c r="H142" s="97"/>
      <c r="I142" s="97"/>
      <c r="J142" s="97"/>
      <c r="K142" s="98"/>
      <c r="L142" s="98"/>
      <c r="M142" s="98"/>
      <c r="N142" s="99"/>
      <c r="O142" s="99"/>
      <c r="P142" s="99"/>
      <c r="Q142" s="97"/>
      <c r="R142" s="96"/>
      <c r="S142" s="97"/>
      <c r="T142" s="96"/>
      <c r="U142" s="93" t="str">
        <f t="shared" si="44"/>
        <v/>
      </c>
      <c r="V142" s="100"/>
      <c r="W142" s="101" t="str">
        <f t="shared" si="45"/>
        <v/>
      </c>
      <c r="X142" s="102"/>
      <c r="Y142" s="103"/>
      <c r="Z142" s="104" t="str">
        <f t="shared" si="46"/>
        <v/>
      </c>
      <c r="AD142" s="99"/>
      <c r="AE142" s="98"/>
      <c r="AF142" s="99"/>
      <c r="AP142" s="107"/>
      <c r="AQ142" s="107"/>
      <c r="AR142" s="107"/>
      <c r="AS142" s="108"/>
      <c r="AT142" s="108"/>
      <c r="AU142" s="108"/>
      <c r="AV142" s="96"/>
      <c r="AW142" s="96"/>
      <c r="AX142" s="97"/>
      <c r="AY142" s="97"/>
      <c r="AZ142" s="97"/>
      <c r="BA142" s="93"/>
      <c r="BB142" s="93"/>
      <c r="BC142" s="93"/>
      <c r="BD142" s="93"/>
      <c r="BE142" s="93"/>
      <c r="BF142" s="97"/>
      <c r="BG142" s="97"/>
      <c r="BH142" s="96"/>
      <c r="BI142" s="96"/>
      <c r="BJ142" s="110"/>
      <c r="BK142" s="110"/>
      <c r="BL142" s="108"/>
      <c r="BM142" s="108"/>
      <c r="BN142" s="107"/>
      <c r="BO142" s="107"/>
      <c r="BP142" s="111"/>
      <c r="BQ142" s="111"/>
      <c r="BR142" s="112"/>
      <c r="BS142" s="112"/>
      <c r="BT142" s="112"/>
    </row>
    <row r="143" spans="1:72" s="106" customFormat="1" x14ac:dyDescent="0.15">
      <c r="A143" s="146"/>
      <c r="B143" s="92"/>
      <c r="C143" s="93"/>
      <c r="D143" s="94"/>
      <c r="E143" s="95"/>
      <c r="F143" s="96"/>
      <c r="G143" s="96"/>
      <c r="H143" s="97"/>
      <c r="I143" s="97"/>
      <c r="J143" s="97"/>
      <c r="K143" s="98"/>
      <c r="L143" s="98"/>
      <c r="M143" s="98"/>
      <c r="N143" s="99"/>
      <c r="O143" s="99"/>
      <c r="P143" s="99"/>
      <c r="Q143" s="97"/>
      <c r="R143" s="96"/>
      <c r="S143" s="97"/>
      <c r="T143" s="96"/>
      <c r="U143" s="93" t="str">
        <f t="shared" si="44"/>
        <v/>
      </c>
      <c r="V143" s="100"/>
      <c r="W143" s="101" t="str">
        <f t="shared" si="45"/>
        <v/>
      </c>
      <c r="X143" s="102"/>
      <c r="Y143" s="103"/>
      <c r="Z143" s="104" t="str">
        <f t="shared" si="46"/>
        <v/>
      </c>
      <c r="AD143" s="99"/>
      <c r="AE143" s="98"/>
      <c r="AF143" s="99"/>
      <c r="AP143" s="107"/>
      <c r="AQ143" s="107"/>
      <c r="AR143" s="107"/>
      <c r="AS143" s="108"/>
      <c r="AT143" s="108"/>
      <c r="AU143" s="108"/>
      <c r="AV143" s="96"/>
      <c r="AW143" s="96"/>
      <c r="AX143" s="97"/>
      <c r="AY143" s="97"/>
      <c r="AZ143" s="97"/>
      <c r="BA143" s="93"/>
      <c r="BB143" s="93"/>
      <c r="BC143" s="93"/>
      <c r="BD143" s="93"/>
      <c r="BE143" s="93"/>
      <c r="BF143" s="97"/>
      <c r="BG143" s="97"/>
      <c r="BH143" s="96"/>
      <c r="BI143" s="96"/>
      <c r="BJ143" s="110"/>
      <c r="BK143" s="110"/>
      <c r="BL143" s="108"/>
      <c r="BM143" s="108"/>
      <c r="BN143" s="107"/>
      <c r="BO143" s="107"/>
      <c r="BP143" s="111"/>
      <c r="BQ143" s="111"/>
      <c r="BR143" s="112"/>
      <c r="BS143" s="112"/>
      <c r="BT143" s="112"/>
    </row>
    <row r="144" spans="1:72" s="106" customFormat="1" x14ac:dyDescent="0.15">
      <c r="A144" s="146"/>
      <c r="B144" s="92"/>
      <c r="C144" s="93"/>
      <c r="D144" s="94"/>
      <c r="E144" s="95"/>
      <c r="F144" s="96"/>
      <c r="G144" s="96"/>
      <c r="H144" s="97"/>
      <c r="I144" s="97"/>
      <c r="J144" s="97"/>
      <c r="K144" s="98"/>
      <c r="L144" s="98"/>
      <c r="M144" s="98"/>
      <c r="N144" s="99"/>
      <c r="O144" s="99"/>
      <c r="P144" s="99"/>
      <c r="Q144" s="97"/>
      <c r="R144" s="96"/>
      <c r="S144" s="97"/>
      <c r="T144" s="96"/>
      <c r="U144" s="93" t="str">
        <f t="shared" si="44"/>
        <v/>
      </c>
      <c r="V144" s="100"/>
      <c r="W144" s="101" t="str">
        <f t="shared" si="45"/>
        <v/>
      </c>
      <c r="X144" s="102"/>
      <c r="Y144" s="103"/>
      <c r="Z144" s="104" t="str">
        <f t="shared" si="46"/>
        <v/>
      </c>
      <c r="AD144" s="99"/>
      <c r="AE144" s="98"/>
      <c r="AF144" s="99"/>
      <c r="AP144" s="107"/>
      <c r="AQ144" s="107"/>
      <c r="AR144" s="107"/>
      <c r="AS144" s="108"/>
      <c r="AT144" s="108"/>
      <c r="AU144" s="108"/>
      <c r="AV144" s="96"/>
      <c r="AW144" s="96"/>
      <c r="AX144" s="97"/>
      <c r="AY144" s="97"/>
      <c r="AZ144" s="97"/>
      <c r="BA144" s="93"/>
      <c r="BB144" s="93"/>
      <c r="BC144" s="93"/>
      <c r="BD144" s="93"/>
      <c r="BE144" s="93"/>
      <c r="BF144" s="97"/>
      <c r="BG144" s="97"/>
      <c r="BH144" s="96"/>
      <c r="BI144" s="96"/>
      <c r="BJ144" s="110"/>
      <c r="BK144" s="110"/>
      <c r="BL144" s="108"/>
      <c r="BM144" s="108"/>
      <c r="BN144" s="107"/>
      <c r="BO144" s="107"/>
      <c r="BP144" s="111"/>
      <c r="BQ144" s="111"/>
      <c r="BR144" s="112"/>
      <c r="BS144" s="112"/>
      <c r="BT144" s="112"/>
    </row>
    <row r="145" spans="1:72" s="106" customFormat="1" x14ac:dyDescent="0.15">
      <c r="A145" s="146"/>
      <c r="B145" s="92"/>
      <c r="C145" s="93"/>
      <c r="D145" s="94"/>
      <c r="E145" s="95"/>
      <c r="F145" s="96"/>
      <c r="G145" s="96"/>
      <c r="H145" s="97"/>
      <c r="I145" s="97"/>
      <c r="J145" s="97"/>
      <c r="K145" s="98"/>
      <c r="L145" s="98"/>
      <c r="M145" s="98"/>
      <c r="N145" s="99"/>
      <c r="O145" s="99"/>
      <c r="P145" s="99"/>
      <c r="Q145" s="97"/>
      <c r="R145" s="96"/>
      <c r="S145" s="97"/>
      <c r="T145" s="96"/>
      <c r="U145" s="93" t="str">
        <f t="shared" si="44"/>
        <v/>
      </c>
      <c r="V145" s="100"/>
      <c r="W145" s="101" t="str">
        <f t="shared" si="45"/>
        <v/>
      </c>
      <c r="X145" s="102"/>
      <c r="Y145" s="103"/>
      <c r="Z145" s="104" t="str">
        <f t="shared" si="46"/>
        <v/>
      </c>
      <c r="AD145" s="99"/>
      <c r="AE145" s="98"/>
      <c r="AF145" s="99"/>
      <c r="AP145" s="107"/>
      <c r="AQ145" s="107"/>
      <c r="AR145" s="107"/>
      <c r="AS145" s="108"/>
      <c r="AT145" s="108"/>
      <c r="AU145" s="108"/>
      <c r="AV145" s="96"/>
      <c r="AW145" s="96"/>
      <c r="AX145" s="97"/>
      <c r="AY145" s="97"/>
      <c r="AZ145" s="97"/>
      <c r="BA145" s="93"/>
      <c r="BB145" s="93"/>
      <c r="BC145" s="93"/>
      <c r="BD145" s="93"/>
      <c r="BE145" s="93"/>
      <c r="BF145" s="97"/>
      <c r="BG145" s="97"/>
      <c r="BH145" s="96"/>
      <c r="BI145" s="96"/>
      <c r="BJ145" s="110"/>
      <c r="BK145" s="110"/>
      <c r="BL145" s="108"/>
      <c r="BM145" s="108"/>
      <c r="BN145" s="107"/>
      <c r="BO145" s="107"/>
      <c r="BP145" s="111"/>
      <c r="BQ145" s="111"/>
      <c r="BR145" s="112"/>
      <c r="BS145" s="112"/>
      <c r="BT145" s="112"/>
    </row>
    <row r="146" spans="1:72" s="106" customFormat="1" x14ac:dyDescent="0.15">
      <c r="A146" s="91">
        <f>COUNT(D133:D146)</f>
        <v>6</v>
      </c>
      <c r="B146" s="92"/>
      <c r="C146" s="93"/>
      <c r="D146" s="94"/>
      <c r="E146" s="95"/>
      <c r="F146" s="96"/>
      <c r="G146" s="96"/>
      <c r="H146" s="97"/>
      <c r="I146" s="97"/>
      <c r="J146" s="97"/>
      <c r="K146" s="98"/>
      <c r="L146" s="98"/>
      <c r="M146" s="98"/>
      <c r="N146" s="99"/>
      <c r="O146" s="99"/>
      <c r="P146" s="99"/>
      <c r="Q146" s="97"/>
      <c r="R146" s="96"/>
      <c r="S146" s="97"/>
      <c r="T146" s="96"/>
      <c r="U146" s="93" t="str">
        <f t="shared" si="44"/>
        <v/>
      </c>
      <c r="V146" s="100"/>
      <c r="W146" s="101" t="str">
        <f t="shared" si="45"/>
        <v/>
      </c>
      <c r="X146" s="102"/>
      <c r="Y146" s="103"/>
      <c r="Z146" s="104" t="str">
        <f t="shared" si="46"/>
        <v/>
      </c>
      <c r="AD146" s="99"/>
      <c r="AE146" s="98"/>
      <c r="AF146" s="99"/>
      <c r="AP146" s="107"/>
      <c r="AQ146" s="107"/>
      <c r="AR146" s="107"/>
      <c r="AS146" s="108"/>
      <c r="AT146" s="108"/>
      <c r="AU146" s="108"/>
      <c r="AV146" s="96"/>
      <c r="AW146" s="96"/>
      <c r="AX146" s="97"/>
      <c r="AY146" s="97"/>
      <c r="AZ146" s="97"/>
      <c r="BA146" s="93"/>
      <c r="BB146" s="93"/>
      <c r="BC146" s="93"/>
      <c r="BD146" s="93"/>
      <c r="BE146" s="93"/>
      <c r="BF146" s="97"/>
      <c r="BG146" s="97"/>
      <c r="BH146" s="96"/>
      <c r="BI146" s="96"/>
      <c r="BJ146" s="110"/>
      <c r="BK146" s="110"/>
      <c r="BL146" s="108"/>
      <c r="BM146" s="108"/>
      <c r="BN146" s="107"/>
      <c r="BO146" s="107"/>
      <c r="BP146" s="111"/>
      <c r="BQ146" s="111"/>
      <c r="BR146" s="112"/>
      <c r="BS146" s="112"/>
      <c r="BT146" s="112"/>
    </row>
    <row r="147" spans="1:72" s="70" customFormat="1" x14ac:dyDescent="0.15">
      <c r="A147" s="114" t="s">
        <v>197</v>
      </c>
      <c r="B147" s="82">
        <f>STDEV(D133:D146)</f>
        <v>1.9083675397225395</v>
      </c>
      <c r="D147" s="115">
        <f>AVERAGE(D133:D146)</f>
        <v>7.0866666666666669</v>
      </c>
      <c r="E147" s="73">
        <f>MEDIAN(E133:E146)</f>
        <v>110</v>
      </c>
      <c r="F147" s="73">
        <f>STDEV(E133:E146)</f>
        <v>163.56115064403284</v>
      </c>
      <c r="G147" s="73"/>
      <c r="H147" s="73"/>
      <c r="I147" s="73"/>
      <c r="J147" s="73"/>
      <c r="Q147" s="73"/>
      <c r="R147" s="73"/>
      <c r="S147" s="73">
        <f>AVERAGE(S133:S137)</f>
        <v>115.4</v>
      </c>
      <c r="T147" s="73">
        <f>AVERAGE(T133:T137)</f>
        <v>136.6</v>
      </c>
      <c r="U147" s="73">
        <f>SUM(S147:T147)</f>
        <v>252</v>
      </c>
      <c r="V147" s="116"/>
      <c r="W147" s="133"/>
      <c r="X147" s="82"/>
      <c r="Y147" s="82"/>
      <c r="Z147" s="82">
        <f>MEDIAN(Z133:Z146)</f>
        <v>70.349999999999994</v>
      </c>
      <c r="AA147" s="83">
        <f>STDEV(Z133:Z146)</f>
        <v>18.235525081554442</v>
      </c>
      <c r="AG147" s="70">
        <f>(AI147/AVERAGE(AG133:AG137))*AG3</f>
        <v>0</v>
      </c>
      <c r="AI147" s="70">
        <f t="shared" ref="AI147:AU147" si="47">AVERAGE(AI133:AI137)</f>
        <v>8.7478000000000016</v>
      </c>
      <c r="AP147" s="133">
        <f t="shared" si="47"/>
        <v>4.0876651326619953E-2</v>
      </c>
      <c r="AQ147" s="133">
        <f t="shared" si="47"/>
        <v>1.4609524681038755E-2</v>
      </c>
      <c r="AR147" s="133">
        <f t="shared" si="47"/>
        <v>5.538253559281104E-3</v>
      </c>
      <c r="AS147" s="133">
        <f t="shared" si="47"/>
        <v>2.8215875676857755E-2</v>
      </c>
      <c r="AT147" s="133">
        <f t="shared" si="47"/>
        <v>1.3701323373428068E-2</v>
      </c>
      <c r="AU147" s="133">
        <f t="shared" si="47"/>
        <v>1.1656685846340893E-2</v>
      </c>
      <c r="AV147" s="73"/>
      <c r="AW147" s="73"/>
      <c r="AX147" s="73"/>
      <c r="AY147" s="73"/>
      <c r="AZ147" s="73"/>
      <c r="BA147" s="138"/>
      <c r="BB147" s="138"/>
      <c r="BC147" s="138"/>
      <c r="BD147" s="138"/>
      <c r="BE147" s="138"/>
      <c r="BF147" s="139"/>
      <c r="BG147" s="139"/>
      <c r="BH147" s="140"/>
      <c r="BI147" s="140"/>
      <c r="BJ147" s="141"/>
      <c r="BK147" s="141"/>
      <c r="BL147" s="142"/>
      <c r="BM147" s="142"/>
      <c r="BN147" s="143"/>
      <c r="BO147" s="143"/>
      <c r="BP147" s="144"/>
      <c r="BQ147" s="144"/>
      <c r="BR147" s="145"/>
      <c r="BS147" s="145"/>
      <c r="BT147" s="145"/>
    </row>
    <row r="148" spans="1:72" x14ac:dyDescent="0.15">
      <c r="A148" s="146" t="s">
        <v>198</v>
      </c>
      <c r="B148" s="3" t="s">
        <v>199</v>
      </c>
      <c r="C148" s="4">
        <v>60</v>
      </c>
      <c r="D148" s="5">
        <v>27.1</v>
      </c>
      <c r="E148" s="118">
        <v>180</v>
      </c>
      <c r="F148" s="6">
        <v>1145</v>
      </c>
      <c r="G148" s="6">
        <v>1304</v>
      </c>
      <c r="H148" s="7">
        <v>1153</v>
      </c>
      <c r="I148" s="7">
        <v>1457</v>
      </c>
      <c r="Q148" s="7">
        <v>37</v>
      </c>
      <c r="R148" s="6">
        <v>61</v>
      </c>
      <c r="S148" s="14">
        <v>217</v>
      </c>
      <c r="T148" s="15">
        <v>72</v>
      </c>
      <c r="U148" s="93">
        <f t="shared" ref="U148:U169" si="48">IF(S148&gt;0.9,SUM(S148:T148)-V148,"")</f>
        <v>289</v>
      </c>
      <c r="V148" s="119">
        <v>0</v>
      </c>
      <c r="W148" s="101" t="str">
        <f>IF(V148&gt;0.9,(IF(S148&gt;T148,V148/T148,V148/S148)),"")</f>
        <v/>
      </c>
      <c r="X148" s="9">
        <v>100</v>
      </c>
      <c r="Y148" s="10">
        <v>100</v>
      </c>
      <c r="Z148" s="104">
        <f>IF(A148="x","x",IF(X148&gt;1,(IF(S148&gt;1,(IF(S148&gt;T148,(IF((S148/T148)&lt;5,AVERAGE(X148:Y148),"")),IF(S148&lt;T148,(IF((T148/S148)&lt;5,AVERAGE(X148:Y148),""))))),"")),""))</f>
        <v>100</v>
      </c>
      <c r="AG148" s="212"/>
      <c r="AH148" s="212"/>
      <c r="AI148" s="212"/>
      <c r="AJ148" s="212"/>
      <c r="AK148" s="212"/>
      <c r="AL148" s="212"/>
      <c r="AM148" s="212"/>
      <c r="AN148" s="212"/>
      <c r="AO148" s="212"/>
      <c r="AV148" s="6">
        <v>750</v>
      </c>
      <c r="AW148" s="6">
        <v>640</v>
      </c>
      <c r="AX148" s="7">
        <v>1175</v>
      </c>
      <c r="AY148" s="7">
        <v>520</v>
      </c>
    </row>
    <row r="149" spans="1:72" s="92" customFormat="1" x14ac:dyDescent="0.15">
      <c r="B149" s="92" t="s">
        <v>200</v>
      </c>
      <c r="C149" s="4">
        <v>60</v>
      </c>
      <c r="D149" s="5"/>
      <c r="E149" s="95">
        <v>83</v>
      </c>
      <c r="F149" s="96">
        <v>920</v>
      </c>
      <c r="G149" s="96">
        <v>1556</v>
      </c>
      <c r="H149" s="97">
        <v>928</v>
      </c>
      <c r="I149" s="97">
        <v>1480</v>
      </c>
      <c r="J149" s="97"/>
      <c r="K149" s="218"/>
      <c r="L149" s="218"/>
      <c r="M149" s="218"/>
      <c r="N149" s="219">
        <f>0.2*0.06</f>
        <v>1.2E-2</v>
      </c>
      <c r="O149" s="219"/>
      <c r="P149" s="219"/>
      <c r="Q149" s="97">
        <v>37</v>
      </c>
      <c r="R149" s="96">
        <v>16</v>
      </c>
      <c r="S149" s="97">
        <v>67</v>
      </c>
      <c r="T149" s="96">
        <v>95</v>
      </c>
      <c r="U149" s="93">
        <f t="shared" si="48"/>
        <v>162</v>
      </c>
      <c r="V149" s="100">
        <v>0</v>
      </c>
      <c r="W149" s="101" t="str">
        <f t="shared" ref="W149:W169" si="49">IF(V149&gt;0.9,(IF(S149&gt;T149,V149/T149,V149/S149)),"")</f>
        <v/>
      </c>
      <c r="X149" s="102">
        <v>70.099999999999994</v>
      </c>
      <c r="Y149" s="103">
        <v>71.599999999999994</v>
      </c>
      <c r="Z149" s="104">
        <f t="shared" ref="Z149:Z169" si="50">IF(A149="x","x",IF(X149&gt;1,(IF(S149&gt;1,(IF(S149&gt;T149,(IF((S149/T149)&lt;5,AVERAGE(X149:Y149),"")),IF(S149&lt;T149,(IF((T149/S149)&lt;5,AVERAGE(X149:Y149),""))))),"")),""))</f>
        <v>70.849999999999994</v>
      </c>
      <c r="AD149" s="219">
        <f>0.2*0.06</f>
        <v>1.2E-2</v>
      </c>
      <c r="AE149" s="218"/>
      <c r="AF149" s="219"/>
      <c r="AG149" s="106">
        <v>30.620999999999999</v>
      </c>
      <c r="AH149" s="106">
        <f t="shared" ref="AH149:AH154" si="51">AI149/AG149</f>
        <v>0.37889030403971136</v>
      </c>
      <c r="AI149" s="106">
        <v>11.602</v>
      </c>
      <c r="AJ149" s="106"/>
      <c r="AK149" s="106"/>
      <c r="AL149" s="106"/>
      <c r="AM149" s="106"/>
      <c r="AN149" s="106"/>
      <c r="AO149" s="106"/>
      <c r="AP149" s="107">
        <f>0.272/AI149</f>
        <v>2.3444233752801243E-2</v>
      </c>
      <c r="AQ149" s="107">
        <f>0.058/AI149</f>
        <v>4.9991380796414412E-3</v>
      </c>
      <c r="AR149" s="107">
        <f>0.007/AI149</f>
        <v>6.0334425099120841E-4</v>
      </c>
      <c r="AS149" s="108">
        <f>0.168/AI149</f>
        <v>1.4480262023789003E-2</v>
      </c>
      <c r="AT149" s="108">
        <f>0.047/AI149</f>
        <v>4.0510256852266851E-3</v>
      </c>
      <c r="AU149" s="108">
        <f>0.004/AI149</f>
        <v>3.4476814342354769E-4</v>
      </c>
      <c r="AV149" s="96">
        <v>950</v>
      </c>
      <c r="AW149" s="96">
        <v>200</v>
      </c>
      <c r="AX149" s="97">
        <v>680</v>
      </c>
      <c r="AY149" s="97">
        <v>200</v>
      </c>
      <c r="AZ149" s="97"/>
      <c r="BA149" s="95"/>
      <c r="BB149" s="95"/>
      <c r="BC149" s="95"/>
      <c r="BD149" s="95"/>
      <c r="BE149" s="95"/>
      <c r="BF149" s="220"/>
      <c r="BG149" s="220"/>
      <c r="BH149" s="221"/>
      <c r="BI149" s="221"/>
      <c r="BJ149" s="148"/>
      <c r="BK149" s="148"/>
      <c r="BL149" s="222"/>
      <c r="BM149" s="222"/>
      <c r="BN149" s="223"/>
      <c r="BO149" s="223"/>
      <c r="BP149" s="224"/>
      <c r="BQ149" s="224"/>
      <c r="BR149" s="225"/>
      <c r="BS149" s="225"/>
      <c r="BT149" s="225"/>
    </row>
    <row r="150" spans="1:72" s="106" customFormat="1" x14ac:dyDescent="0.15">
      <c r="B150" s="92" t="s">
        <v>201</v>
      </c>
      <c r="C150" s="4">
        <v>60</v>
      </c>
      <c r="D150" s="5">
        <v>26.7</v>
      </c>
      <c r="E150" s="95">
        <f>(240)-90</f>
        <v>150</v>
      </c>
      <c r="F150" s="96">
        <v>1104</v>
      </c>
      <c r="G150" s="96">
        <v>1520</v>
      </c>
      <c r="H150" s="97">
        <v>1071</v>
      </c>
      <c r="I150" s="97">
        <v>1672</v>
      </c>
      <c r="J150" s="97"/>
      <c r="K150" s="98"/>
      <c r="L150" s="98"/>
      <c r="M150" s="98"/>
      <c r="N150" s="99"/>
      <c r="O150" s="99"/>
      <c r="P150" s="99"/>
      <c r="Q150" s="97">
        <v>22</v>
      </c>
      <c r="R150" s="96">
        <v>9</v>
      </c>
      <c r="S150" s="97">
        <v>61</v>
      </c>
      <c r="T150" s="96">
        <v>50</v>
      </c>
      <c r="U150" s="93">
        <f t="shared" si="48"/>
        <v>111</v>
      </c>
      <c r="V150" s="100">
        <v>0</v>
      </c>
      <c r="W150" s="101" t="str">
        <f t="shared" si="49"/>
        <v/>
      </c>
      <c r="X150" s="102">
        <v>93.4</v>
      </c>
      <c r="Y150" s="103">
        <v>94</v>
      </c>
      <c r="Z150" s="104">
        <f t="shared" si="50"/>
        <v>93.7</v>
      </c>
      <c r="AD150" s="99"/>
      <c r="AE150" s="98"/>
      <c r="AF150" s="99"/>
      <c r="AG150" s="106">
        <v>30.620999999999999</v>
      </c>
      <c r="AH150" s="106">
        <f t="shared" si="51"/>
        <v>0.33163515234642893</v>
      </c>
      <c r="AI150" s="106">
        <v>10.154999999999999</v>
      </c>
      <c r="AP150" s="107">
        <v>4.8449039881831614E-2</v>
      </c>
      <c r="AQ150" s="107"/>
      <c r="AR150" s="107">
        <v>2.9542097488921715E-3</v>
      </c>
      <c r="AS150" s="108">
        <v>2.4027572624322993E-2</v>
      </c>
      <c r="AT150" s="108">
        <v>1.5952732644017725E-2</v>
      </c>
      <c r="AU150" s="108">
        <v>6.0068931560807483E-3</v>
      </c>
      <c r="AV150" s="96">
        <v>1233</v>
      </c>
      <c r="AW150" s="96">
        <v>180</v>
      </c>
      <c r="AX150" s="97">
        <v>1633</v>
      </c>
      <c r="AY150" s="97">
        <v>150</v>
      </c>
      <c r="AZ150" s="97"/>
      <c r="BA150" s="93"/>
      <c r="BB150" s="93"/>
      <c r="BC150" s="93"/>
      <c r="BD150" s="93"/>
      <c r="BE150" s="93"/>
      <c r="BF150" s="97"/>
      <c r="BG150" s="97"/>
      <c r="BH150" s="96"/>
      <c r="BI150" s="96"/>
      <c r="BJ150" s="110"/>
      <c r="BK150" s="110"/>
      <c r="BL150" s="108"/>
      <c r="BM150" s="108"/>
      <c r="BN150" s="107"/>
      <c r="BO150" s="107"/>
      <c r="BP150" s="111"/>
      <c r="BQ150" s="111"/>
      <c r="BR150" s="112"/>
      <c r="BS150" s="112"/>
      <c r="BT150" s="112"/>
    </row>
    <row r="151" spans="1:72" s="106" customFormat="1" x14ac:dyDescent="0.15">
      <c r="A151" s="146"/>
      <c r="B151" s="92" t="s">
        <v>202</v>
      </c>
      <c r="C151" s="4">
        <v>60</v>
      </c>
      <c r="D151" s="5"/>
      <c r="E151" s="95">
        <v>185</v>
      </c>
      <c r="F151" s="96">
        <v>1340</v>
      </c>
      <c r="G151" s="96">
        <v>1388</v>
      </c>
      <c r="H151" s="97">
        <v>1379</v>
      </c>
      <c r="I151" s="97">
        <v>1554</v>
      </c>
      <c r="J151" s="97"/>
      <c r="K151" s="98"/>
      <c r="L151" s="98"/>
      <c r="M151" s="98"/>
      <c r="N151" s="99"/>
      <c r="O151" s="99"/>
      <c r="P151" s="99"/>
      <c r="Q151" s="97">
        <v>16</v>
      </c>
      <c r="R151" s="96">
        <v>56</v>
      </c>
      <c r="S151" s="97">
        <v>173</v>
      </c>
      <c r="T151" s="96">
        <v>189</v>
      </c>
      <c r="U151" s="93">
        <f t="shared" si="48"/>
        <v>362</v>
      </c>
      <c r="V151" s="100">
        <v>0</v>
      </c>
      <c r="W151" s="101" t="str">
        <f t="shared" si="49"/>
        <v/>
      </c>
      <c r="X151" s="102">
        <v>97.1</v>
      </c>
      <c r="Y151" s="103">
        <v>96.8</v>
      </c>
      <c r="Z151" s="104">
        <f t="shared" si="50"/>
        <v>96.949999999999989</v>
      </c>
      <c r="AD151" s="99"/>
      <c r="AE151" s="98"/>
      <c r="AF151" s="99"/>
      <c r="AG151" s="106">
        <v>23.4</v>
      </c>
      <c r="AH151" s="106">
        <f t="shared" si="51"/>
        <v>0.38461538461538464</v>
      </c>
      <c r="AI151" s="106">
        <v>9</v>
      </c>
      <c r="AP151" s="107">
        <f>0.173/AI151</f>
        <v>1.922222222222222E-2</v>
      </c>
      <c r="AQ151" s="107">
        <f>0.096/AI151</f>
        <v>1.0666666666666666E-2</v>
      </c>
      <c r="AR151" s="107">
        <f>0.035/AI151</f>
        <v>3.8888888888888892E-3</v>
      </c>
      <c r="AS151" s="108">
        <f>0.543/AI151</f>
        <v>6.0333333333333336E-2</v>
      </c>
      <c r="AT151" s="108">
        <f>0.21/AI151</f>
        <v>2.3333333333333331E-2</v>
      </c>
      <c r="AU151" s="108">
        <f>0.044/AI151</f>
        <v>4.8888888888888888E-3</v>
      </c>
      <c r="AV151" s="96">
        <v>600</v>
      </c>
      <c r="AW151" s="96">
        <v>920</v>
      </c>
      <c r="AX151" s="97">
        <v>1220</v>
      </c>
      <c r="AY151" s="97">
        <v>930</v>
      </c>
      <c r="AZ151" s="97"/>
      <c r="BA151" s="93"/>
      <c r="BB151" s="93"/>
      <c r="BC151" s="93"/>
      <c r="BD151" s="93"/>
      <c r="BE151" s="93"/>
      <c r="BF151" s="97"/>
      <c r="BG151" s="97"/>
      <c r="BH151" s="96"/>
      <c r="BI151" s="96"/>
      <c r="BJ151" s="110"/>
      <c r="BK151" s="110"/>
      <c r="BL151" s="108"/>
      <c r="BM151" s="108"/>
      <c r="BN151" s="107"/>
      <c r="BO151" s="107"/>
      <c r="BP151" s="111"/>
      <c r="BQ151" s="111"/>
      <c r="BR151" s="112"/>
      <c r="BS151" s="112"/>
      <c r="BT151" s="112"/>
    </row>
    <row r="152" spans="1:72" s="106" customFormat="1" x14ac:dyDescent="0.15">
      <c r="A152" s="146" t="s">
        <v>203</v>
      </c>
      <c r="B152" s="92" t="s">
        <v>204</v>
      </c>
      <c r="C152" s="4">
        <v>60</v>
      </c>
      <c r="D152" s="5"/>
      <c r="E152" s="95">
        <f>SQRT((G152-F152)+(I152-H152))</f>
        <v>37.215588131856791</v>
      </c>
      <c r="F152" s="96">
        <v>855</v>
      </c>
      <c r="G152" s="96">
        <v>1566</v>
      </c>
      <c r="H152" s="97">
        <v>876</v>
      </c>
      <c r="I152" s="97">
        <v>1550</v>
      </c>
      <c r="J152" s="97"/>
      <c r="K152" s="98"/>
      <c r="L152" s="98"/>
      <c r="M152" s="98"/>
      <c r="N152" s="99"/>
      <c r="O152" s="99"/>
      <c r="P152" s="99"/>
      <c r="Q152" s="97"/>
      <c r="R152" s="96"/>
      <c r="S152" s="97">
        <v>199</v>
      </c>
      <c r="T152" s="96">
        <v>135</v>
      </c>
      <c r="U152" s="93">
        <f t="shared" si="48"/>
        <v>330</v>
      </c>
      <c r="V152" s="100">
        <v>4</v>
      </c>
      <c r="W152" s="101">
        <f t="shared" si="49"/>
        <v>2.9629629629629631E-2</v>
      </c>
      <c r="X152" s="102">
        <v>64.5</v>
      </c>
      <c r="Y152" s="103">
        <v>53.6</v>
      </c>
      <c r="Z152" s="104">
        <f t="shared" si="50"/>
        <v>59.05</v>
      </c>
      <c r="AD152" s="99"/>
      <c r="AE152" s="98"/>
      <c r="AF152" s="99"/>
      <c r="AG152" s="106">
        <v>23.33</v>
      </c>
      <c r="AH152" s="106">
        <f t="shared" si="51"/>
        <v>0.36558079725675097</v>
      </c>
      <c r="AI152" s="106">
        <v>8.5289999999999999</v>
      </c>
      <c r="AP152" s="107">
        <f>0.52/AI152</f>
        <v>6.0968460546371207E-2</v>
      </c>
      <c r="AQ152" s="107">
        <f>0.109/AI152</f>
        <v>1.2779927306835503E-2</v>
      </c>
      <c r="AR152" s="107">
        <f>0.029/AI152</f>
        <v>3.4001641458553172E-3</v>
      </c>
      <c r="AS152" s="108">
        <f>0.327/AI152</f>
        <v>3.8339781920506508E-2</v>
      </c>
      <c r="AT152" s="108">
        <f>0.104/AI152</f>
        <v>1.219369210927424E-2</v>
      </c>
      <c r="AU152" s="108">
        <f>0.034/AI152</f>
        <v>3.9863993434165789E-3</v>
      </c>
      <c r="AV152" s="96"/>
      <c r="AW152" s="96"/>
      <c r="AX152" s="97"/>
      <c r="AY152" s="97"/>
      <c r="AZ152" s="97"/>
      <c r="BA152" s="93"/>
      <c r="BB152" s="93"/>
      <c r="BC152" s="93"/>
      <c r="BD152" s="93"/>
      <c r="BE152" s="93"/>
      <c r="BF152" s="97"/>
      <c r="BG152" s="97"/>
      <c r="BH152" s="96"/>
      <c r="BI152" s="96"/>
      <c r="BJ152" s="110"/>
      <c r="BK152" s="110"/>
      <c r="BL152" s="108"/>
      <c r="BM152" s="108"/>
      <c r="BN152" s="107"/>
      <c r="BO152" s="107"/>
      <c r="BP152" s="111"/>
      <c r="BQ152" s="111"/>
      <c r="BR152" s="112"/>
      <c r="BS152" s="112"/>
      <c r="BT152" s="112"/>
    </row>
    <row r="153" spans="1:72" s="106" customFormat="1" x14ac:dyDescent="0.15">
      <c r="A153" s="146"/>
      <c r="B153" s="92" t="s">
        <v>205</v>
      </c>
      <c r="C153" s="4">
        <v>60</v>
      </c>
      <c r="D153" s="5"/>
      <c r="E153" s="95">
        <v>64</v>
      </c>
      <c r="F153" s="96">
        <v>888</v>
      </c>
      <c r="G153" s="96">
        <v>1500</v>
      </c>
      <c r="H153" s="97">
        <v>888</v>
      </c>
      <c r="I153" s="97">
        <v>1360</v>
      </c>
      <c r="J153" s="97"/>
      <c r="K153" s="98"/>
      <c r="L153" s="98"/>
      <c r="M153" s="98"/>
      <c r="N153" s="99"/>
      <c r="O153" s="99"/>
      <c r="P153" s="99"/>
      <c r="Q153" s="97"/>
      <c r="R153" s="96"/>
      <c r="S153" s="97">
        <v>231</v>
      </c>
      <c r="T153" s="96">
        <v>46</v>
      </c>
      <c r="U153" s="93">
        <f t="shared" si="48"/>
        <v>270</v>
      </c>
      <c r="V153" s="100">
        <v>7</v>
      </c>
      <c r="W153" s="101">
        <f t="shared" si="49"/>
        <v>0.15217391304347827</v>
      </c>
      <c r="X153" s="102">
        <v>83.8</v>
      </c>
      <c r="Y153" s="103">
        <v>36.799999999999997</v>
      </c>
      <c r="Z153" s="104">
        <f>IF(A153="x","x",IF(X153&gt;1,(IF(S153&gt;1,(IF(S153&gt;T153,(IF((S153/T153)&lt;7,AVERAGE(X153:Y153),"")),IF(S153&lt;T153,(IF((T153/S153)&lt;7,AVERAGE(X153:Y153),""))))),"")),""))</f>
        <v>60.3</v>
      </c>
      <c r="AD153" s="99"/>
      <c r="AE153" s="98"/>
      <c r="AF153" s="99"/>
      <c r="AG153" s="106">
        <v>28.937000000000001</v>
      </c>
      <c r="AH153" s="106">
        <f t="shared" si="51"/>
        <v>0.35401043646542485</v>
      </c>
      <c r="AI153" s="106">
        <v>10.244</v>
      </c>
      <c r="AP153" s="107"/>
      <c r="AQ153" s="107"/>
      <c r="AR153" s="107"/>
      <c r="AS153" s="108">
        <f>0.282/AI153</f>
        <v>2.7528309254197577E-2</v>
      </c>
      <c r="AT153" s="108">
        <f>0.069/AI153</f>
        <v>6.7356501366653658E-3</v>
      </c>
      <c r="AU153" s="108">
        <f>0.01/AI153</f>
        <v>9.7618117922686459E-4</v>
      </c>
      <c r="AV153" s="96">
        <v>710</v>
      </c>
      <c r="AW153" s="96">
        <v>50</v>
      </c>
      <c r="AX153" s="97">
        <v>530</v>
      </c>
      <c r="AY153" s="97">
        <v>75</v>
      </c>
      <c r="AZ153" s="97"/>
      <c r="BA153" s="93"/>
      <c r="BB153" s="93"/>
      <c r="BC153" s="93"/>
      <c r="BD153" s="93"/>
      <c r="BE153" s="93"/>
      <c r="BF153" s="97"/>
      <c r="BG153" s="97"/>
      <c r="BH153" s="96"/>
      <c r="BI153" s="96"/>
      <c r="BJ153" s="110"/>
      <c r="BK153" s="110"/>
      <c r="BL153" s="108"/>
      <c r="BM153" s="108"/>
      <c r="BN153" s="107"/>
      <c r="BO153" s="107"/>
      <c r="BP153" s="111"/>
      <c r="BQ153" s="111"/>
      <c r="BR153" s="112"/>
      <c r="BS153" s="112"/>
      <c r="BT153" s="112"/>
    </row>
    <row r="154" spans="1:72" s="106" customFormat="1" x14ac:dyDescent="0.15">
      <c r="A154" s="146" t="s">
        <v>203</v>
      </c>
      <c r="B154" s="92" t="s">
        <v>206</v>
      </c>
      <c r="C154" s="4">
        <v>60</v>
      </c>
      <c r="D154" s="5"/>
      <c r="E154" s="95">
        <v>128</v>
      </c>
      <c r="F154" s="96">
        <v>1392</v>
      </c>
      <c r="G154" s="96">
        <v>1144</v>
      </c>
      <c r="H154" s="97">
        <v>1392</v>
      </c>
      <c r="I154" s="97">
        <v>1272</v>
      </c>
      <c r="J154" s="97"/>
      <c r="K154" s="98"/>
      <c r="L154" s="98"/>
      <c r="M154" s="98"/>
      <c r="N154" s="99"/>
      <c r="O154" s="99"/>
      <c r="P154" s="99"/>
      <c r="Q154" s="97"/>
      <c r="R154" s="96"/>
      <c r="S154" s="97">
        <v>142</v>
      </c>
      <c r="T154" s="96">
        <v>55</v>
      </c>
      <c r="U154" s="93">
        <f t="shared" si="48"/>
        <v>197</v>
      </c>
      <c r="V154" s="100">
        <v>0</v>
      </c>
      <c r="W154" s="101" t="str">
        <f t="shared" si="49"/>
        <v/>
      </c>
      <c r="X154" s="102">
        <v>95.1</v>
      </c>
      <c r="Y154" s="103">
        <v>83.6</v>
      </c>
      <c r="Z154" s="104">
        <f t="shared" si="50"/>
        <v>89.35</v>
      </c>
      <c r="AD154" s="99"/>
      <c r="AE154" s="98"/>
      <c r="AF154" s="99"/>
      <c r="AG154" s="106">
        <v>28.986999999999998</v>
      </c>
      <c r="AH154" s="106">
        <f t="shared" si="51"/>
        <v>0.34553420498844312</v>
      </c>
      <c r="AI154" s="106">
        <v>10.016</v>
      </c>
      <c r="AP154" s="107">
        <f>0.137/AI154</f>
        <v>1.3678115015974442E-2</v>
      </c>
      <c r="AQ154" s="107">
        <f>0.067/AI154</f>
        <v>6.6892971246006391E-3</v>
      </c>
      <c r="AR154" s="107">
        <f>0.009/AI154</f>
        <v>8.9856230031948878E-4</v>
      </c>
      <c r="AS154" s="108">
        <f>0.161/AI154</f>
        <v>1.6074281150159745E-2</v>
      </c>
      <c r="AT154" s="108">
        <f>0.078/AI154</f>
        <v>7.7875399361022361E-3</v>
      </c>
      <c r="AU154" s="108">
        <f>0.051/AI154</f>
        <v>5.0918530351437693E-3</v>
      </c>
      <c r="AV154" s="96"/>
      <c r="AW154" s="96"/>
      <c r="AX154" s="97"/>
      <c r="AY154" s="97"/>
      <c r="AZ154" s="97"/>
      <c r="BA154" s="93"/>
      <c r="BB154" s="93"/>
      <c r="BC154" s="93"/>
      <c r="BD154" s="93"/>
      <c r="BE154" s="93"/>
      <c r="BF154" s="97"/>
      <c r="BG154" s="97"/>
      <c r="BH154" s="96"/>
      <c r="BI154" s="96"/>
      <c r="BJ154" s="110"/>
      <c r="BK154" s="110"/>
      <c r="BL154" s="108"/>
      <c r="BM154" s="108"/>
      <c r="BN154" s="107"/>
      <c r="BO154" s="107"/>
      <c r="BP154" s="111"/>
      <c r="BQ154" s="111"/>
      <c r="BR154" s="112"/>
      <c r="BS154" s="112"/>
      <c r="BT154" s="112"/>
    </row>
    <row r="155" spans="1:72" s="106" customFormat="1" x14ac:dyDescent="0.15">
      <c r="A155" s="146"/>
      <c r="B155" s="218" t="s">
        <v>207</v>
      </c>
      <c r="C155" s="4">
        <v>60</v>
      </c>
      <c r="D155" s="5">
        <v>23.4</v>
      </c>
      <c r="E155" s="95">
        <v>345</v>
      </c>
      <c r="F155" s="96">
        <v>1185</v>
      </c>
      <c r="G155" s="96">
        <v>1261</v>
      </c>
      <c r="H155" s="97">
        <v>1078</v>
      </c>
      <c r="I155" s="97">
        <v>1677</v>
      </c>
      <c r="J155" s="97"/>
      <c r="K155" s="98"/>
      <c r="L155" s="98"/>
      <c r="M155" s="98"/>
      <c r="N155" s="99"/>
      <c r="O155" s="99"/>
      <c r="P155" s="99"/>
      <c r="Q155" s="97"/>
      <c r="R155" s="96"/>
      <c r="S155" s="97">
        <v>217</v>
      </c>
      <c r="T155" s="96">
        <v>72</v>
      </c>
      <c r="U155" s="93">
        <f t="shared" si="48"/>
        <v>289</v>
      </c>
      <c r="V155" s="100">
        <v>0</v>
      </c>
      <c r="W155" s="101" t="str">
        <f t="shared" si="49"/>
        <v/>
      </c>
      <c r="X155" s="102">
        <v>100</v>
      </c>
      <c r="Y155" s="103">
        <v>100</v>
      </c>
      <c r="Z155" s="104">
        <f t="shared" si="50"/>
        <v>100</v>
      </c>
      <c r="AD155" s="99"/>
      <c r="AE155" s="98"/>
      <c r="AF155" s="99"/>
      <c r="AP155" s="107"/>
      <c r="AQ155" s="107"/>
      <c r="AR155" s="107"/>
      <c r="AS155" s="108"/>
      <c r="AT155" s="108"/>
      <c r="AU155" s="108"/>
      <c r="AV155" s="96"/>
      <c r="AW155" s="96"/>
      <c r="AX155" s="97"/>
      <c r="AY155" s="97"/>
      <c r="AZ155" s="97"/>
      <c r="BA155" s="93"/>
      <c r="BB155" s="93"/>
      <c r="BC155" s="93"/>
      <c r="BD155" s="93"/>
      <c r="BE155" s="93"/>
      <c r="BF155" s="97"/>
      <c r="BG155" s="97"/>
      <c r="BH155" s="96"/>
      <c r="BI155" s="96"/>
      <c r="BJ155" s="110"/>
      <c r="BK155" s="110"/>
      <c r="BL155" s="108"/>
      <c r="BM155" s="108"/>
      <c r="BN155" s="107"/>
      <c r="BO155" s="107"/>
      <c r="BP155" s="111"/>
      <c r="BQ155" s="111"/>
      <c r="BR155" s="112"/>
      <c r="BS155" s="112"/>
      <c r="BT155" s="112"/>
    </row>
    <row r="156" spans="1:72" s="106" customFormat="1" x14ac:dyDescent="0.15">
      <c r="A156" s="146"/>
      <c r="B156" s="92" t="s">
        <v>208</v>
      </c>
      <c r="C156" s="4">
        <v>60</v>
      </c>
      <c r="D156" s="5"/>
      <c r="E156" s="95">
        <f>290-260</f>
        <v>30</v>
      </c>
      <c r="F156" s="96">
        <v>1061</v>
      </c>
      <c r="G156" s="96"/>
      <c r="H156" s="97">
        <v>1032</v>
      </c>
      <c r="I156" s="97"/>
      <c r="J156" s="97"/>
      <c r="K156" s="98"/>
      <c r="L156" s="98"/>
      <c r="M156" s="98"/>
      <c r="N156" s="99"/>
      <c r="O156" s="99"/>
      <c r="P156" s="99"/>
      <c r="Q156" s="97">
        <v>36</v>
      </c>
      <c r="R156" s="96">
        <v>19</v>
      </c>
      <c r="S156" s="97">
        <f>172+V156</f>
        <v>174</v>
      </c>
      <c r="T156" s="96">
        <f>27+V156</f>
        <v>29</v>
      </c>
      <c r="U156" s="93">
        <f t="shared" si="48"/>
        <v>201</v>
      </c>
      <c r="V156" s="100">
        <v>2</v>
      </c>
      <c r="W156" s="101">
        <f t="shared" si="49"/>
        <v>6.8965517241379309E-2</v>
      </c>
      <c r="X156" s="102">
        <v>78</v>
      </c>
      <c r="Y156" s="103">
        <v>17.2</v>
      </c>
      <c r="Z156" s="104" t="str">
        <f t="shared" si="50"/>
        <v/>
      </c>
      <c r="AD156" s="99"/>
      <c r="AE156" s="98"/>
      <c r="AF156" s="99"/>
      <c r="AP156" s="107"/>
      <c r="AQ156" s="107"/>
      <c r="AR156" s="107"/>
      <c r="AS156" s="108"/>
      <c r="AT156" s="108"/>
      <c r="AU156" s="108"/>
      <c r="AV156" s="96"/>
      <c r="AW156" s="96"/>
      <c r="AX156" s="97"/>
      <c r="AY156" s="97"/>
      <c r="AZ156" s="97"/>
      <c r="BA156" s="93"/>
      <c r="BB156" s="93"/>
      <c r="BC156" s="93"/>
      <c r="BD156" s="93"/>
      <c r="BE156" s="93"/>
      <c r="BF156" s="97"/>
      <c r="BG156" s="97"/>
      <c r="BH156" s="96"/>
      <c r="BI156" s="96"/>
      <c r="BJ156" s="110"/>
      <c r="BK156" s="110"/>
      <c r="BL156" s="108"/>
      <c r="BM156" s="108"/>
      <c r="BN156" s="107"/>
      <c r="BO156" s="107"/>
      <c r="BP156" s="111"/>
      <c r="BQ156" s="111"/>
      <c r="BR156" s="112"/>
      <c r="BS156" s="112"/>
      <c r="BT156" s="112"/>
    </row>
    <row r="157" spans="1:72" s="106" customFormat="1" x14ac:dyDescent="0.15">
      <c r="A157" s="146"/>
      <c r="B157" s="92" t="s">
        <v>209</v>
      </c>
      <c r="C157" s="4">
        <v>60</v>
      </c>
      <c r="D157" s="5"/>
      <c r="E157" s="95">
        <v>53</v>
      </c>
      <c r="F157" s="96"/>
      <c r="G157" s="96"/>
      <c r="H157" s="97"/>
      <c r="I157" s="97"/>
      <c r="J157" s="97"/>
      <c r="K157" s="98"/>
      <c r="L157" s="98"/>
      <c r="M157" s="98"/>
      <c r="N157" s="99"/>
      <c r="O157" s="99"/>
      <c r="P157" s="99"/>
      <c r="Q157" s="97">
        <v>28</v>
      </c>
      <c r="R157" s="96">
        <v>23</v>
      </c>
      <c r="S157" s="97">
        <f>79+V157</f>
        <v>83</v>
      </c>
      <c r="T157" s="96">
        <f>67+V157</f>
        <v>71</v>
      </c>
      <c r="U157" s="93">
        <f t="shared" si="48"/>
        <v>150</v>
      </c>
      <c r="V157" s="100">
        <v>4</v>
      </c>
      <c r="W157" s="101">
        <f t="shared" si="49"/>
        <v>5.6338028169014086E-2</v>
      </c>
      <c r="X157" s="102">
        <v>53</v>
      </c>
      <c r="Y157" s="103">
        <v>54.2</v>
      </c>
      <c r="Z157" s="104">
        <f t="shared" si="50"/>
        <v>53.6</v>
      </c>
      <c r="AD157" s="99"/>
      <c r="AE157" s="98"/>
      <c r="AF157" s="99"/>
      <c r="AP157" s="107"/>
      <c r="AQ157" s="107"/>
      <c r="AR157" s="107"/>
      <c r="AS157" s="108"/>
      <c r="AT157" s="108"/>
      <c r="AU157" s="108"/>
      <c r="AV157" s="96"/>
      <c r="AW157" s="96"/>
      <c r="AX157" s="97"/>
      <c r="AY157" s="97"/>
      <c r="AZ157" s="97"/>
      <c r="BA157" s="93"/>
      <c r="BB157" s="93"/>
      <c r="BC157" s="93"/>
      <c r="BD157" s="93"/>
      <c r="BE157" s="93"/>
      <c r="BF157" s="97"/>
      <c r="BG157" s="97"/>
      <c r="BH157" s="96"/>
      <c r="BI157" s="96"/>
      <c r="BJ157" s="110"/>
      <c r="BK157" s="110"/>
      <c r="BL157" s="108"/>
      <c r="BM157" s="108"/>
      <c r="BN157" s="107"/>
      <c r="BO157" s="107"/>
      <c r="BP157" s="111"/>
      <c r="BQ157" s="111"/>
      <c r="BR157" s="112"/>
      <c r="BS157" s="112"/>
      <c r="BT157" s="112"/>
    </row>
    <row r="158" spans="1:72" x14ac:dyDescent="0.15">
      <c r="B158" s="3" t="s">
        <v>210</v>
      </c>
      <c r="C158" s="4">
        <v>60</v>
      </c>
      <c r="E158" s="118">
        <f>270-180</f>
        <v>90</v>
      </c>
      <c r="Q158" s="7">
        <v>17</v>
      </c>
      <c r="R158" s="6">
        <v>26</v>
      </c>
      <c r="S158" s="14">
        <v>64</v>
      </c>
      <c r="T158" s="15">
        <v>32</v>
      </c>
      <c r="U158" s="93">
        <f t="shared" si="48"/>
        <v>96</v>
      </c>
      <c r="V158" s="119">
        <v>0</v>
      </c>
      <c r="W158" s="101" t="str">
        <f t="shared" si="49"/>
        <v/>
      </c>
      <c r="X158" s="9">
        <v>89.1</v>
      </c>
      <c r="Y158" s="10">
        <v>75</v>
      </c>
      <c r="Z158" s="104">
        <f t="shared" si="50"/>
        <v>82.05</v>
      </c>
    </row>
    <row r="159" spans="1:72" x14ac:dyDescent="0.15">
      <c r="B159" s="3" t="s">
        <v>211</v>
      </c>
      <c r="C159" s="4">
        <v>60</v>
      </c>
      <c r="D159" s="5">
        <v>29</v>
      </c>
      <c r="E159" s="118">
        <v>599</v>
      </c>
      <c r="F159" s="6">
        <v>1022</v>
      </c>
      <c r="H159" s="7">
        <v>1182</v>
      </c>
      <c r="Q159" s="7">
        <v>71</v>
      </c>
      <c r="R159" s="6">
        <v>52</v>
      </c>
      <c r="S159" s="7">
        <v>232</v>
      </c>
      <c r="T159" s="6">
        <v>207</v>
      </c>
      <c r="U159" s="93">
        <f t="shared" si="48"/>
        <v>439</v>
      </c>
      <c r="V159" s="8">
        <v>0</v>
      </c>
      <c r="W159" s="101" t="str">
        <f t="shared" si="49"/>
        <v/>
      </c>
      <c r="X159" s="9">
        <v>100</v>
      </c>
      <c r="Y159" s="10">
        <v>100</v>
      </c>
      <c r="Z159" s="104">
        <f t="shared" si="50"/>
        <v>100</v>
      </c>
    </row>
    <row r="160" spans="1:72" x14ac:dyDescent="0.15">
      <c r="B160" s="3" t="s">
        <v>212</v>
      </c>
      <c r="C160" s="4">
        <v>60</v>
      </c>
      <c r="D160" s="5">
        <v>24.5</v>
      </c>
      <c r="E160" s="118">
        <v>140</v>
      </c>
      <c r="F160" s="6">
        <v>467</v>
      </c>
      <c r="H160" s="7">
        <v>467</v>
      </c>
      <c r="Q160" s="7">
        <v>68</v>
      </c>
      <c r="R160" s="6">
        <v>15</v>
      </c>
      <c r="S160" s="7">
        <v>113</v>
      </c>
      <c r="T160" s="6">
        <v>30</v>
      </c>
      <c r="U160" s="93">
        <f t="shared" si="48"/>
        <v>143</v>
      </c>
      <c r="V160" s="8">
        <v>0</v>
      </c>
      <c r="W160" s="101" t="str">
        <f t="shared" si="49"/>
        <v/>
      </c>
      <c r="X160" s="9">
        <v>97.3</v>
      </c>
      <c r="Y160" s="10">
        <v>98.3</v>
      </c>
      <c r="Z160" s="104">
        <f t="shared" si="50"/>
        <v>97.8</v>
      </c>
    </row>
    <row r="161" spans="1:72" x14ac:dyDescent="0.15">
      <c r="B161" s="3" t="s">
        <v>213</v>
      </c>
      <c r="C161" s="4">
        <v>60</v>
      </c>
      <c r="D161" s="5">
        <v>30</v>
      </c>
      <c r="E161" s="118">
        <v>166</v>
      </c>
      <c r="F161" s="6">
        <v>997</v>
      </c>
      <c r="H161" s="7">
        <v>1002</v>
      </c>
      <c r="Q161" s="7">
        <v>21</v>
      </c>
      <c r="R161" s="6">
        <v>14</v>
      </c>
      <c r="S161" s="7">
        <v>64</v>
      </c>
      <c r="T161" s="6">
        <v>23</v>
      </c>
      <c r="U161" s="93">
        <f t="shared" si="48"/>
        <v>87</v>
      </c>
      <c r="V161" s="8">
        <v>0</v>
      </c>
      <c r="W161" s="101" t="str">
        <f t="shared" si="49"/>
        <v/>
      </c>
      <c r="X161" s="9">
        <v>95.3</v>
      </c>
      <c r="Y161" s="10">
        <v>91.3</v>
      </c>
      <c r="Z161" s="104">
        <f t="shared" si="50"/>
        <v>93.3</v>
      </c>
    </row>
    <row r="162" spans="1:72" x14ac:dyDescent="0.15">
      <c r="A162" s="91">
        <f>COUNT(D148:D160)</f>
        <v>5</v>
      </c>
      <c r="B162" s="3" t="s">
        <v>214</v>
      </c>
      <c r="C162" s="4">
        <v>60</v>
      </c>
      <c r="D162" s="5">
        <v>27</v>
      </c>
      <c r="E162" s="118">
        <v>189</v>
      </c>
      <c r="F162" s="6">
        <v>934</v>
      </c>
      <c r="H162" s="7">
        <v>904</v>
      </c>
      <c r="Q162" s="7">
        <v>40</v>
      </c>
      <c r="R162" s="6">
        <v>28</v>
      </c>
      <c r="S162" s="7">
        <v>74</v>
      </c>
      <c r="T162" s="6">
        <v>67</v>
      </c>
      <c r="U162" s="93">
        <f t="shared" si="48"/>
        <v>141</v>
      </c>
      <c r="V162" s="8">
        <v>0</v>
      </c>
      <c r="W162" s="101" t="str">
        <f t="shared" si="49"/>
        <v/>
      </c>
      <c r="X162" s="9">
        <v>98.6</v>
      </c>
      <c r="Y162" s="10">
        <v>97</v>
      </c>
      <c r="Z162" s="104">
        <f t="shared" si="50"/>
        <v>97.8</v>
      </c>
    </row>
    <row r="163" spans="1:72" x14ac:dyDescent="0.15">
      <c r="A163" s="91"/>
      <c r="B163" s="3" t="s">
        <v>379</v>
      </c>
      <c r="C163" s="4">
        <v>60</v>
      </c>
      <c r="E163" s="118">
        <v>64</v>
      </c>
      <c r="S163" s="7">
        <v>28</v>
      </c>
      <c r="T163" s="6">
        <v>84</v>
      </c>
      <c r="U163" s="93">
        <f t="shared" si="48"/>
        <v>110</v>
      </c>
      <c r="V163" s="8">
        <v>2</v>
      </c>
      <c r="W163" s="101">
        <f t="shared" si="49"/>
        <v>7.1428571428571425E-2</v>
      </c>
      <c r="X163" s="9">
        <v>31.7</v>
      </c>
      <c r="Y163" s="10">
        <v>76.2</v>
      </c>
      <c r="Z163" s="104">
        <f t="shared" si="50"/>
        <v>53.95</v>
      </c>
    </row>
    <row r="164" spans="1:72" x14ac:dyDescent="0.15">
      <c r="A164" s="91"/>
      <c r="B164" s="3" t="s">
        <v>381</v>
      </c>
      <c r="C164" s="4">
        <v>60</v>
      </c>
      <c r="E164" s="118">
        <f>150*1.92</f>
        <v>288</v>
      </c>
      <c r="S164" s="7">
        <v>29</v>
      </c>
      <c r="T164" s="6">
        <v>105</v>
      </c>
      <c r="U164" s="93">
        <f t="shared" si="48"/>
        <v>134</v>
      </c>
      <c r="V164" s="8">
        <v>0</v>
      </c>
      <c r="W164" s="101" t="str">
        <f t="shared" si="49"/>
        <v/>
      </c>
      <c r="X164" s="9">
        <v>100</v>
      </c>
      <c r="Y164" s="10">
        <v>100</v>
      </c>
      <c r="Z164" s="104">
        <f t="shared" si="50"/>
        <v>100</v>
      </c>
    </row>
    <row r="165" spans="1:72" x14ac:dyDescent="0.15">
      <c r="A165" s="91"/>
      <c r="B165" s="3" t="s">
        <v>382</v>
      </c>
      <c r="C165" s="4">
        <v>60</v>
      </c>
      <c r="E165" s="118">
        <v>163</v>
      </c>
      <c r="S165" s="7">
        <v>98</v>
      </c>
      <c r="T165" s="6">
        <v>80</v>
      </c>
      <c r="U165" s="93">
        <f t="shared" si="48"/>
        <v>178</v>
      </c>
      <c r="V165" s="8">
        <v>0</v>
      </c>
      <c r="W165" s="101" t="str">
        <f t="shared" si="49"/>
        <v/>
      </c>
      <c r="X165" s="9">
        <v>90.8</v>
      </c>
      <c r="Y165" s="10">
        <v>87.5</v>
      </c>
      <c r="Z165" s="104">
        <f t="shared" si="50"/>
        <v>89.15</v>
      </c>
    </row>
    <row r="166" spans="1:72" x14ac:dyDescent="0.15">
      <c r="A166" s="91"/>
      <c r="B166" s="3" t="s">
        <v>383</v>
      </c>
      <c r="C166" s="4">
        <v>60</v>
      </c>
      <c r="E166" s="118">
        <f>50*1.92</f>
        <v>96</v>
      </c>
      <c r="S166" s="7">
        <v>248</v>
      </c>
      <c r="T166" s="6">
        <v>254</v>
      </c>
      <c r="U166" s="93">
        <f t="shared" si="48"/>
        <v>472</v>
      </c>
      <c r="V166" s="8">
        <v>30</v>
      </c>
      <c r="W166" s="101">
        <f t="shared" si="49"/>
        <v>0.12096774193548387</v>
      </c>
      <c r="X166" s="9">
        <v>77.900000000000006</v>
      </c>
      <c r="Y166" s="10">
        <v>79.900000000000006</v>
      </c>
      <c r="Z166" s="104">
        <f t="shared" si="50"/>
        <v>78.900000000000006</v>
      </c>
    </row>
    <row r="167" spans="1:72" x14ac:dyDescent="0.15">
      <c r="A167" s="91"/>
      <c r="B167" s="3" t="s">
        <v>384</v>
      </c>
      <c r="C167" s="4">
        <v>60</v>
      </c>
      <c r="E167" s="118">
        <f>120*1.92</f>
        <v>230.39999999999998</v>
      </c>
      <c r="S167" s="7">
        <v>106</v>
      </c>
      <c r="T167" s="6">
        <v>293</v>
      </c>
      <c r="U167" s="93">
        <f t="shared" si="48"/>
        <v>399</v>
      </c>
      <c r="V167" s="8">
        <v>0</v>
      </c>
      <c r="W167" s="101" t="str">
        <f t="shared" si="49"/>
        <v/>
      </c>
      <c r="X167" s="9">
        <v>95.3</v>
      </c>
      <c r="Y167" s="10">
        <v>97.6</v>
      </c>
      <c r="Z167" s="104">
        <f t="shared" si="50"/>
        <v>96.449999999999989</v>
      </c>
    </row>
    <row r="168" spans="1:72" x14ac:dyDescent="0.15">
      <c r="A168" s="91"/>
      <c r="B168" s="3" t="s">
        <v>385</v>
      </c>
      <c r="C168" s="4">
        <v>60</v>
      </c>
      <c r="E168" s="118">
        <f>100*1.92</f>
        <v>192</v>
      </c>
      <c r="S168" s="7">
        <v>42</v>
      </c>
      <c r="T168" s="6">
        <v>63</v>
      </c>
      <c r="U168" s="93">
        <f t="shared" si="48"/>
        <v>105</v>
      </c>
      <c r="V168" s="8">
        <v>0</v>
      </c>
      <c r="W168" s="101" t="str">
        <f t="shared" si="49"/>
        <v/>
      </c>
      <c r="X168" s="9">
        <v>100</v>
      </c>
      <c r="Y168" s="10">
        <v>100</v>
      </c>
      <c r="Z168" s="104">
        <f t="shared" si="50"/>
        <v>100</v>
      </c>
    </row>
    <row r="169" spans="1:72" x14ac:dyDescent="0.15">
      <c r="A169" s="91"/>
      <c r="B169" s="3" t="s">
        <v>386</v>
      </c>
      <c r="C169" s="4">
        <v>60</v>
      </c>
      <c r="E169" s="118">
        <f>70*1.92</f>
        <v>134.4</v>
      </c>
      <c r="S169" s="7">
        <v>40</v>
      </c>
      <c r="T169" s="6">
        <v>53</v>
      </c>
      <c r="U169" s="93">
        <f t="shared" si="48"/>
        <v>93</v>
      </c>
      <c r="V169" s="8">
        <v>0</v>
      </c>
      <c r="W169" s="101" t="str">
        <f t="shared" si="49"/>
        <v/>
      </c>
      <c r="X169" s="9">
        <v>80</v>
      </c>
      <c r="Y169" s="10">
        <v>86.8</v>
      </c>
      <c r="Z169" s="104">
        <f t="shared" si="50"/>
        <v>83.4</v>
      </c>
    </row>
    <row r="170" spans="1:72" s="70" customFormat="1" x14ac:dyDescent="0.15">
      <c r="A170" s="114"/>
      <c r="B170" s="82">
        <f>STDEV(D148:D160)</f>
        <v>2.214271889357764</v>
      </c>
      <c r="D170" s="115">
        <f>AVERAGE(D148:D160)</f>
        <v>26.139999999999997</v>
      </c>
      <c r="E170" s="73">
        <f>MEDIAN(E148:E162)</f>
        <v>140</v>
      </c>
      <c r="F170" s="73">
        <f>STDEV(E148:E160)</f>
        <v>156.2486386030574</v>
      </c>
      <c r="G170" s="73"/>
      <c r="H170" s="73"/>
      <c r="I170" s="73"/>
      <c r="J170" s="73"/>
      <c r="Q170" s="73"/>
      <c r="R170" s="73"/>
      <c r="S170" s="73">
        <f>AVERAGE(S148:S169)</f>
        <v>122.81818181818181</v>
      </c>
      <c r="T170" s="73">
        <f>AVERAGE(T148:T162)</f>
        <v>78.2</v>
      </c>
      <c r="U170" s="73">
        <f>SUM(S170:T170)</f>
        <v>201.0181818181818</v>
      </c>
      <c r="V170" s="116"/>
      <c r="W170" s="133"/>
      <c r="X170" s="82"/>
      <c r="Y170" s="82"/>
      <c r="Z170" s="82">
        <f>MEDIAN(Z148:Z162)</f>
        <v>93.5</v>
      </c>
      <c r="AA170" s="83">
        <f>STDEV(Z148:Z160)</f>
        <v>17.919911792092112</v>
      </c>
      <c r="AB170" s="70">
        <f>MEDIAN(Z148:Z162)</f>
        <v>93.5</v>
      </c>
      <c r="AC170" s="70">
        <f>MEDIAN(E148:E162)</f>
        <v>140</v>
      </c>
      <c r="AG170" s="70">
        <f>(AI170/AVERAGE(AG148:AG157))*AG3</f>
        <v>0</v>
      </c>
      <c r="AI170" s="70">
        <f t="shared" ref="AI170:AU170" si="52">AVERAGE(AI148:AI157)</f>
        <v>9.9243333333333332</v>
      </c>
      <c r="AP170" s="133">
        <f t="shared" si="52"/>
        <v>3.3152414283840144E-2</v>
      </c>
      <c r="AQ170" s="133">
        <f t="shared" si="52"/>
        <v>8.783757294436062E-3</v>
      </c>
      <c r="AR170" s="133">
        <f t="shared" si="52"/>
        <v>2.3490338669894151E-3</v>
      </c>
      <c r="AS170" s="133">
        <f t="shared" si="52"/>
        <v>3.0130590051051526E-2</v>
      </c>
      <c r="AT170" s="133">
        <f t="shared" si="52"/>
        <v>1.1675662307436595E-2</v>
      </c>
      <c r="AU170" s="133">
        <f t="shared" si="52"/>
        <v>3.5491639576967333E-3</v>
      </c>
      <c r="AV170" s="73"/>
      <c r="AW170" s="73"/>
      <c r="AX170" s="73"/>
      <c r="AY170" s="73"/>
      <c r="AZ170" s="73"/>
      <c r="BA170" s="138"/>
      <c r="BB170" s="138"/>
      <c r="BC170" s="138"/>
      <c r="BD170" s="138"/>
      <c r="BE170" s="138"/>
      <c r="BF170" s="139"/>
      <c r="BG170" s="139"/>
      <c r="BH170" s="140"/>
      <c r="BI170" s="140"/>
      <c r="BJ170" s="141"/>
      <c r="BK170" s="141"/>
      <c r="BL170" s="142"/>
      <c r="BM170" s="142"/>
      <c r="BN170" s="143"/>
      <c r="BO170" s="143"/>
      <c r="BP170" s="144"/>
      <c r="BQ170" s="144"/>
      <c r="BR170" s="145"/>
      <c r="BS170" s="145"/>
      <c r="BT170" s="145"/>
    </row>
    <row r="171" spans="1:72" s="106" customFormat="1" x14ac:dyDescent="0.15">
      <c r="A171" s="146"/>
      <c r="B171" s="92" t="s">
        <v>215</v>
      </c>
      <c r="C171" s="4">
        <v>60</v>
      </c>
      <c r="D171" s="94"/>
      <c r="E171" s="95">
        <v>135</v>
      </c>
      <c r="F171" s="96"/>
      <c r="G171" s="96"/>
      <c r="H171" s="97"/>
      <c r="I171" s="97"/>
      <c r="J171" s="97"/>
      <c r="K171" s="98"/>
      <c r="L171" s="98"/>
      <c r="M171" s="98"/>
      <c r="N171" s="99"/>
      <c r="O171" s="99"/>
      <c r="P171" s="99"/>
      <c r="Q171" s="97"/>
      <c r="R171" s="96"/>
      <c r="S171" s="97">
        <f>226+V171</f>
        <v>236</v>
      </c>
      <c r="T171" s="96">
        <f>349+V171</f>
        <v>359</v>
      </c>
      <c r="U171" s="93">
        <f t="shared" ref="U171:U185" si="53">IF(S171&gt;0.9,SUM(S171:T171)-V171,"")</f>
        <v>585</v>
      </c>
      <c r="V171" s="100">
        <v>10</v>
      </c>
      <c r="W171" s="101">
        <f t="shared" ref="W171:W185" si="54">IF(V171&gt;0.9,(IF(S171&gt;T171,V171/T171,V171/S171)),"")</f>
        <v>4.2372881355932202E-2</v>
      </c>
      <c r="X171" s="102">
        <v>66.7</v>
      </c>
      <c r="Y171" s="103">
        <v>81.5</v>
      </c>
      <c r="Z171" s="104">
        <f>IF(A171="x","x",IF(X171&gt;1,(IF(S171&gt;1,(IF(S171&gt;T171,(IF((S171/T171)&lt;5,AVERAGE(X171:Y171),"")),IF(S171&lt;T171,(IF((T171/S171)&lt;5,AVERAGE(X171:Y171),""))))),"")),""))</f>
        <v>74.099999999999994</v>
      </c>
      <c r="AD171" s="99"/>
      <c r="AE171" s="98"/>
      <c r="AF171" s="99"/>
      <c r="AP171" s="107"/>
      <c r="AQ171" s="107"/>
      <c r="AR171" s="107"/>
      <c r="AS171" s="108"/>
      <c r="AT171" s="108"/>
      <c r="AU171" s="108"/>
      <c r="AV171" s="96"/>
      <c r="AW171" s="96"/>
      <c r="AX171" s="97"/>
      <c r="AY171" s="97"/>
      <c r="AZ171" s="97"/>
      <c r="BA171" s="93"/>
      <c r="BB171" s="93"/>
      <c r="BC171" s="93"/>
      <c r="BD171" s="93"/>
      <c r="BE171" s="93"/>
      <c r="BF171" s="97"/>
      <c r="BG171" s="97"/>
      <c r="BH171" s="96"/>
      <c r="BI171" s="96"/>
      <c r="BJ171" s="110"/>
      <c r="BK171" s="110"/>
      <c r="BL171" s="108"/>
      <c r="BM171" s="108"/>
      <c r="BN171" s="107"/>
      <c r="BO171" s="107"/>
      <c r="BP171" s="111"/>
      <c r="BQ171" s="111"/>
      <c r="BR171" s="112"/>
      <c r="BS171" s="112"/>
      <c r="BT171" s="112"/>
    </row>
    <row r="172" spans="1:72" s="106" customFormat="1" x14ac:dyDescent="0.15">
      <c r="A172" s="146"/>
      <c r="B172" s="92" t="s">
        <v>216</v>
      </c>
      <c r="C172" s="4">
        <v>60</v>
      </c>
      <c r="D172" s="94"/>
      <c r="E172" s="95">
        <v>100</v>
      </c>
      <c r="F172" s="96"/>
      <c r="G172" s="96"/>
      <c r="H172" s="97"/>
      <c r="I172" s="97"/>
      <c r="J172" s="97"/>
      <c r="K172" s="98"/>
      <c r="L172" s="98"/>
      <c r="M172" s="98"/>
      <c r="N172" s="99"/>
      <c r="O172" s="99"/>
      <c r="P172" s="99"/>
      <c r="Q172" s="97"/>
      <c r="R172" s="96"/>
      <c r="S172" s="97">
        <f>76+V172</f>
        <v>80</v>
      </c>
      <c r="T172" s="96">
        <f>59+V172</f>
        <v>63</v>
      </c>
      <c r="U172" s="93">
        <f t="shared" si="53"/>
        <v>139</v>
      </c>
      <c r="V172" s="100">
        <v>4</v>
      </c>
      <c r="W172" s="101">
        <f t="shared" si="54"/>
        <v>6.3492063492063489E-2</v>
      </c>
      <c r="X172" s="102">
        <v>78.8</v>
      </c>
      <c r="Y172" s="103">
        <v>73.8</v>
      </c>
      <c r="Z172" s="104">
        <f t="shared" ref="Z172:Z184" si="55">IF(A172="x","x",IF(X172&gt;1,(IF(S172&gt;1,(IF(S172&gt;T172,(IF((S172/T172)&lt;5,AVERAGE(X172:Y172),"")),IF(S172&lt;T172,(IF((T172/S172)&lt;5,AVERAGE(X172:Y172),""))))),"")),""))</f>
        <v>76.3</v>
      </c>
      <c r="AD172" s="99"/>
      <c r="AE172" s="98"/>
      <c r="AF172" s="99"/>
      <c r="AP172" s="107"/>
      <c r="AQ172" s="107"/>
      <c r="AR172" s="107"/>
      <c r="AS172" s="108"/>
      <c r="AT172" s="108"/>
      <c r="AU172" s="108"/>
      <c r="AV172" s="96"/>
      <c r="AW172" s="96"/>
      <c r="AX172" s="97"/>
      <c r="AY172" s="97"/>
      <c r="AZ172" s="97"/>
      <c r="BA172" s="93"/>
      <c r="BB172" s="93"/>
      <c r="BC172" s="93"/>
      <c r="BD172" s="93"/>
      <c r="BE172" s="93"/>
      <c r="BF172" s="97"/>
      <c r="BG172" s="97"/>
      <c r="BH172" s="96"/>
      <c r="BI172" s="96"/>
      <c r="BJ172" s="110"/>
      <c r="BK172" s="110"/>
      <c r="BL172" s="108"/>
      <c r="BM172" s="108"/>
      <c r="BN172" s="107"/>
      <c r="BO172" s="107"/>
      <c r="BP172" s="111"/>
      <c r="BQ172" s="111"/>
      <c r="BR172" s="112"/>
      <c r="BS172" s="112"/>
      <c r="BT172" s="112"/>
    </row>
    <row r="173" spans="1:72" s="106" customFormat="1" x14ac:dyDescent="0.15">
      <c r="A173" s="146"/>
      <c r="B173" s="92" t="s">
        <v>217</v>
      </c>
      <c r="C173" s="4">
        <v>60</v>
      </c>
      <c r="D173" s="94"/>
      <c r="E173" s="95">
        <v>134</v>
      </c>
      <c r="F173" s="96"/>
      <c r="G173" s="96"/>
      <c r="H173" s="97"/>
      <c r="I173" s="97"/>
      <c r="J173" s="97"/>
      <c r="K173" s="98"/>
      <c r="L173" s="98"/>
      <c r="M173" s="98"/>
      <c r="N173" s="99"/>
      <c r="O173" s="99"/>
      <c r="P173" s="99"/>
      <c r="Q173" s="97"/>
      <c r="R173" s="96"/>
      <c r="S173" s="97">
        <v>83</v>
      </c>
      <c r="T173" s="96">
        <v>152</v>
      </c>
      <c r="U173" s="93">
        <f t="shared" si="53"/>
        <v>235</v>
      </c>
      <c r="V173" s="100">
        <v>0</v>
      </c>
      <c r="W173" s="101" t="str">
        <f t="shared" si="54"/>
        <v/>
      </c>
      <c r="X173" s="102">
        <v>96.4</v>
      </c>
      <c r="Y173" s="103">
        <v>98</v>
      </c>
      <c r="Z173" s="104">
        <f t="shared" si="55"/>
        <v>97.2</v>
      </c>
      <c r="AD173" s="99"/>
      <c r="AE173" s="98"/>
      <c r="AF173" s="99"/>
      <c r="AP173" s="107"/>
      <c r="AQ173" s="107"/>
      <c r="AR173" s="107"/>
      <c r="AS173" s="108"/>
      <c r="AT173" s="108"/>
      <c r="AU173" s="108"/>
      <c r="AV173" s="96"/>
      <c r="AW173" s="96"/>
      <c r="AX173" s="97"/>
      <c r="AY173" s="97"/>
      <c r="AZ173" s="97"/>
      <c r="BA173" s="93"/>
      <c r="BB173" s="93"/>
      <c r="BC173" s="93"/>
      <c r="BD173" s="93"/>
      <c r="BE173" s="93"/>
      <c r="BF173" s="97"/>
      <c r="BG173" s="97"/>
      <c r="BH173" s="96"/>
      <c r="BI173" s="96"/>
      <c r="BJ173" s="110"/>
      <c r="BK173" s="110"/>
      <c r="BL173" s="108"/>
      <c r="BM173" s="108"/>
      <c r="BN173" s="107"/>
      <c r="BO173" s="107"/>
      <c r="BP173" s="111"/>
      <c r="BQ173" s="111"/>
      <c r="BR173" s="112"/>
      <c r="BS173" s="112"/>
      <c r="BT173" s="112"/>
    </row>
    <row r="174" spans="1:72" s="106" customFormat="1" x14ac:dyDescent="0.15">
      <c r="A174" s="146"/>
      <c r="B174" s="92" t="s">
        <v>218</v>
      </c>
      <c r="C174" s="4">
        <v>60</v>
      </c>
      <c r="D174" s="94">
        <v>33</v>
      </c>
      <c r="E174" s="95">
        <f>410-260</f>
        <v>150</v>
      </c>
      <c r="F174" s="96"/>
      <c r="G174" s="96"/>
      <c r="H174" s="97"/>
      <c r="I174" s="97"/>
      <c r="J174" s="97"/>
      <c r="K174" s="98"/>
      <c r="L174" s="98"/>
      <c r="M174" s="98"/>
      <c r="N174" s="99"/>
      <c r="O174" s="99"/>
      <c r="P174" s="99"/>
      <c r="Q174" s="97">
        <v>34</v>
      </c>
      <c r="R174" s="96">
        <v>29</v>
      </c>
      <c r="S174" s="97">
        <f>113+V174</f>
        <v>116</v>
      </c>
      <c r="T174" s="96">
        <f>120+V174</f>
        <v>123</v>
      </c>
      <c r="U174" s="93">
        <f t="shared" si="53"/>
        <v>236</v>
      </c>
      <c r="V174" s="100">
        <v>3</v>
      </c>
      <c r="W174" s="101">
        <f t="shared" si="54"/>
        <v>2.5862068965517241E-2</v>
      </c>
      <c r="X174" s="102">
        <v>61.2</v>
      </c>
      <c r="Y174" s="103">
        <v>67.5</v>
      </c>
      <c r="Z174" s="104">
        <f t="shared" si="55"/>
        <v>64.349999999999994</v>
      </c>
      <c r="AD174" s="99"/>
      <c r="AE174" s="98"/>
      <c r="AF174" s="99"/>
      <c r="AP174" s="107"/>
      <c r="AQ174" s="107"/>
      <c r="AR174" s="107"/>
      <c r="AS174" s="108"/>
      <c r="AT174" s="108"/>
      <c r="AU174" s="108"/>
      <c r="AV174" s="96"/>
      <c r="AW174" s="96"/>
      <c r="AX174" s="97"/>
      <c r="AY174" s="97"/>
      <c r="AZ174" s="97"/>
      <c r="BA174" s="93"/>
      <c r="BB174" s="93"/>
      <c r="BC174" s="93"/>
      <c r="BD174" s="93"/>
      <c r="BE174" s="93"/>
      <c r="BF174" s="97"/>
      <c r="BG174" s="97"/>
      <c r="BH174" s="96"/>
      <c r="BI174" s="96"/>
      <c r="BJ174" s="110"/>
      <c r="BK174" s="110"/>
      <c r="BL174" s="108"/>
      <c r="BM174" s="108"/>
      <c r="BN174" s="107"/>
      <c r="BO174" s="107"/>
      <c r="BP174" s="111"/>
      <c r="BQ174" s="111"/>
      <c r="BR174" s="112"/>
      <c r="BS174" s="112"/>
      <c r="BT174" s="112"/>
    </row>
    <row r="175" spans="1:72" s="106" customFormat="1" x14ac:dyDescent="0.15">
      <c r="A175" s="146"/>
      <c r="B175" s="92" t="s">
        <v>219</v>
      </c>
      <c r="C175" s="4">
        <v>60</v>
      </c>
      <c r="D175" s="94">
        <v>37.6</v>
      </c>
      <c r="E175" s="95">
        <f>340- 200</f>
        <v>140</v>
      </c>
      <c r="F175" s="96"/>
      <c r="G175" s="96"/>
      <c r="H175" s="97"/>
      <c r="I175" s="97"/>
      <c r="J175" s="97"/>
      <c r="K175" s="98"/>
      <c r="L175" s="98"/>
      <c r="M175" s="98"/>
      <c r="N175" s="99"/>
      <c r="O175" s="99"/>
      <c r="P175" s="99"/>
      <c r="Q175" s="97">
        <v>59</v>
      </c>
      <c r="R175" s="96">
        <v>25</v>
      </c>
      <c r="S175" s="97">
        <v>149</v>
      </c>
      <c r="T175" s="96">
        <v>56</v>
      </c>
      <c r="U175" s="93">
        <f t="shared" si="53"/>
        <v>205</v>
      </c>
      <c r="V175" s="100">
        <v>0</v>
      </c>
      <c r="W175" s="101" t="str">
        <f t="shared" si="54"/>
        <v/>
      </c>
      <c r="X175" s="102">
        <v>87.9</v>
      </c>
      <c r="Y175" s="103">
        <v>64.3</v>
      </c>
      <c r="Z175" s="104">
        <f t="shared" si="55"/>
        <v>76.099999999999994</v>
      </c>
      <c r="AD175" s="99"/>
      <c r="AE175" s="98"/>
      <c r="AF175" s="99"/>
      <c r="AP175" s="107"/>
      <c r="AQ175" s="107"/>
      <c r="AR175" s="107"/>
      <c r="AS175" s="108"/>
      <c r="AT175" s="108"/>
      <c r="AU175" s="108"/>
      <c r="AV175" s="96"/>
      <c r="AW175" s="96"/>
      <c r="AX175" s="97"/>
      <c r="AY175" s="97"/>
      <c r="AZ175" s="97"/>
      <c r="BA175" s="93"/>
      <c r="BB175" s="93"/>
      <c r="BC175" s="93"/>
      <c r="BD175" s="93"/>
      <c r="BE175" s="93"/>
      <c r="BF175" s="97"/>
      <c r="BG175" s="97"/>
      <c r="BH175" s="96"/>
      <c r="BI175" s="96"/>
      <c r="BJ175" s="110"/>
      <c r="BK175" s="110"/>
      <c r="BL175" s="108"/>
      <c r="BM175" s="108"/>
      <c r="BN175" s="107"/>
      <c r="BO175" s="107"/>
      <c r="BP175" s="111"/>
      <c r="BQ175" s="111"/>
      <c r="BR175" s="112"/>
      <c r="BS175" s="112"/>
      <c r="BT175" s="112"/>
    </row>
    <row r="176" spans="1:72" s="106" customFormat="1" x14ac:dyDescent="0.15">
      <c r="A176" s="146"/>
      <c r="B176" s="92" t="s">
        <v>220</v>
      </c>
      <c r="C176" s="4">
        <v>60</v>
      </c>
      <c r="D176" s="94">
        <v>34</v>
      </c>
      <c r="E176" s="95">
        <f>530-250</f>
        <v>280</v>
      </c>
      <c r="F176" s="96"/>
      <c r="G176" s="96"/>
      <c r="H176" s="97"/>
      <c r="I176" s="97"/>
      <c r="J176" s="97"/>
      <c r="K176" s="98"/>
      <c r="L176" s="98"/>
      <c r="M176" s="98"/>
      <c r="N176" s="99"/>
      <c r="O176" s="99"/>
      <c r="P176" s="99"/>
      <c r="Q176" s="97"/>
      <c r="R176" s="96"/>
      <c r="S176" s="97">
        <v>157</v>
      </c>
      <c r="T176" s="96">
        <v>92</v>
      </c>
      <c r="U176" s="93">
        <f t="shared" si="53"/>
        <v>249</v>
      </c>
      <c r="V176" s="100">
        <v>0</v>
      </c>
      <c r="W176" s="101" t="str">
        <f t="shared" si="54"/>
        <v/>
      </c>
      <c r="X176" s="102">
        <v>97.5</v>
      </c>
      <c r="Y176" s="103">
        <v>96.7</v>
      </c>
      <c r="Z176" s="104">
        <f t="shared" si="55"/>
        <v>97.1</v>
      </c>
      <c r="AD176" s="99"/>
      <c r="AE176" s="98"/>
      <c r="AF176" s="99"/>
      <c r="AP176" s="107"/>
      <c r="AQ176" s="107"/>
      <c r="AR176" s="107"/>
      <c r="AS176" s="108"/>
      <c r="AT176" s="108"/>
      <c r="AU176" s="108"/>
      <c r="AV176" s="96"/>
      <c r="AW176" s="96"/>
      <c r="AX176" s="97"/>
      <c r="AY176" s="97"/>
      <c r="AZ176" s="97"/>
      <c r="BA176" s="93"/>
      <c r="BB176" s="93"/>
      <c r="BC176" s="93"/>
      <c r="BD176" s="93"/>
      <c r="BE176" s="93"/>
      <c r="BF176" s="97"/>
      <c r="BG176" s="97"/>
      <c r="BH176" s="96"/>
      <c r="BI176" s="96"/>
      <c r="BJ176" s="110"/>
      <c r="BK176" s="110"/>
      <c r="BL176" s="108"/>
      <c r="BM176" s="108"/>
      <c r="BN176" s="107"/>
      <c r="BO176" s="107"/>
      <c r="BP176" s="111"/>
      <c r="BQ176" s="111"/>
      <c r="BR176" s="112"/>
      <c r="BS176" s="112"/>
      <c r="BT176" s="112"/>
    </row>
    <row r="177" spans="1:72" s="106" customFormat="1" x14ac:dyDescent="0.15">
      <c r="A177" s="146"/>
      <c r="B177" s="92" t="s">
        <v>221</v>
      </c>
      <c r="C177" s="4">
        <v>60</v>
      </c>
      <c r="D177" s="94">
        <v>33</v>
      </c>
      <c r="E177" s="95">
        <f>210- 100</f>
        <v>110</v>
      </c>
      <c r="F177" s="96"/>
      <c r="G177" s="96"/>
      <c r="H177" s="97"/>
      <c r="I177" s="97"/>
      <c r="J177" s="97"/>
      <c r="K177" s="98"/>
      <c r="L177" s="98"/>
      <c r="M177" s="98"/>
      <c r="N177" s="99"/>
      <c r="O177" s="99"/>
      <c r="P177" s="99"/>
      <c r="Q177" s="97">
        <v>99</v>
      </c>
      <c r="R177" s="96">
        <v>80</v>
      </c>
      <c r="S177" s="97">
        <f>187+V177</f>
        <v>193</v>
      </c>
      <c r="T177" s="96">
        <f>136+V177</f>
        <v>142</v>
      </c>
      <c r="U177" s="93">
        <f t="shared" si="53"/>
        <v>329</v>
      </c>
      <c r="V177" s="100">
        <v>6</v>
      </c>
      <c r="W177" s="101">
        <f t="shared" si="54"/>
        <v>4.2253521126760563E-2</v>
      </c>
      <c r="X177" s="102">
        <v>85.5</v>
      </c>
      <c r="Y177" s="103">
        <v>84.2</v>
      </c>
      <c r="Z177" s="104">
        <f t="shared" si="55"/>
        <v>84.85</v>
      </c>
      <c r="AD177" s="99"/>
      <c r="AE177" s="98"/>
      <c r="AF177" s="99"/>
      <c r="AP177" s="107"/>
      <c r="AQ177" s="107"/>
      <c r="AR177" s="107"/>
      <c r="AS177" s="108"/>
      <c r="AT177" s="108"/>
      <c r="AU177" s="108"/>
      <c r="AV177" s="96"/>
      <c r="AW177" s="96"/>
      <c r="AX177" s="97"/>
      <c r="AY177" s="97"/>
      <c r="AZ177" s="97"/>
      <c r="BA177" s="93"/>
      <c r="BB177" s="93"/>
      <c r="BC177" s="93"/>
      <c r="BD177" s="93"/>
      <c r="BE177" s="93"/>
      <c r="BF177" s="97"/>
      <c r="BG177" s="97"/>
      <c r="BH177" s="96"/>
      <c r="BI177" s="96"/>
      <c r="BJ177" s="110"/>
      <c r="BK177" s="110"/>
      <c r="BL177" s="108"/>
      <c r="BM177" s="108"/>
      <c r="BN177" s="107"/>
      <c r="BO177" s="107"/>
      <c r="BP177" s="111"/>
      <c r="BQ177" s="111"/>
      <c r="BR177" s="112"/>
      <c r="BS177" s="112"/>
      <c r="BT177" s="112"/>
    </row>
    <row r="178" spans="1:72" s="106" customFormat="1" x14ac:dyDescent="0.15">
      <c r="A178" s="146"/>
      <c r="B178" s="92" t="s">
        <v>222</v>
      </c>
      <c r="C178" s="4">
        <v>60</v>
      </c>
      <c r="D178" s="94">
        <v>24.8</v>
      </c>
      <c r="E178" s="95">
        <v>165</v>
      </c>
      <c r="F178" s="96">
        <v>868</v>
      </c>
      <c r="G178" s="96"/>
      <c r="H178" s="97">
        <v>800</v>
      </c>
      <c r="I178" s="97"/>
      <c r="J178" s="97"/>
      <c r="K178" s="98"/>
      <c r="L178" s="98"/>
      <c r="M178" s="98"/>
      <c r="N178" s="99"/>
      <c r="O178" s="99"/>
      <c r="P178" s="99"/>
      <c r="Q178" s="97">
        <v>79</v>
      </c>
      <c r="R178" s="96">
        <v>34</v>
      </c>
      <c r="S178" s="97">
        <f>350+V178</f>
        <v>353</v>
      </c>
      <c r="T178" s="96">
        <f>139+V178</f>
        <v>142</v>
      </c>
      <c r="U178" s="93">
        <f t="shared" si="53"/>
        <v>492</v>
      </c>
      <c r="V178" s="100">
        <v>3</v>
      </c>
      <c r="W178" s="101">
        <f t="shared" si="54"/>
        <v>2.1126760563380281E-2</v>
      </c>
      <c r="X178" s="102">
        <v>92.1</v>
      </c>
      <c r="Y178" s="103">
        <v>81.7</v>
      </c>
      <c r="Z178" s="104">
        <f t="shared" si="55"/>
        <v>86.9</v>
      </c>
      <c r="AD178" s="99"/>
      <c r="AE178" s="98"/>
      <c r="AF178" s="99"/>
      <c r="AP178" s="107"/>
      <c r="AQ178" s="107"/>
      <c r="AR178" s="107"/>
      <c r="AS178" s="108"/>
      <c r="AT178" s="108"/>
      <c r="AU178" s="108"/>
      <c r="AV178" s="96"/>
      <c r="AW178" s="96"/>
      <c r="AX178" s="97"/>
      <c r="AY178" s="97"/>
      <c r="AZ178" s="97"/>
      <c r="BA178" s="93"/>
      <c r="BB178" s="93"/>
      <c r="BC178" s="93"/>
      <c r="BD178" s="93"/>
      <c r="BE178" s="93"/>
      <c r="BF178" s="97"/>
      <c r="BG178" s="97"/>
      <c r="BH178" s="96"/>
      <c r="BI178" s="96"/>
      <c r="BJ178" s="110"/>
      <c r="BK178" s="110"/>
      <c r="BL178" s="108"/>
      <c r="BM178" s="108"/>
      <c r="BN178" s="107"/>
      <c r="BO178" s="107"/>
      <c r="BP178" s="111"/>
      <c r="BQ178" s="111"/>
      <c r="BR178" s="112"/>
      <c r="BS178" s="112"/>
      <c r="BT178" s="112"/>
    </row>
    <row r="179" spans="1:72" s="106" customFormat="1" x14ac:dyDescent="0.15">
      <c r="A179" s="146"/>
      <c r="B179" s="92" t="s">
        <v>223</v>
      </c>
      <c r="C179" s="4">
        <v>60</v>
      </c>
      <c r="D179" s="94">
        <v>30.2</v>
      </c>
      <c r="E179" s="95">
        <v>385</v>
      </c>
      <c r="F179" s="96">
        <v>930</v>
      </c>
      <c r="G179" s="96"/>
      <c r="H179" s="97">
        <v>930</v>
      </c>
      <c r="I179" s="97"/>
      <c r="J179" s="97"/>
      <c r="K179" s="98"/>
      <c r="L179" s="98"/>
      <c r="M179" s="98"/>
      <c r="N179" s="99"/>
      <c r="O179" s="99"/>
      <c r="P179" s="99"/>
      <c r="Q179" s="97">
        <v>51</v>
      </c>
      <c r="R179" s="96">
        <v>93</v>
      </c>
      <c r="S179" s="97">
        <v>224</v>
      </c>
      <c r="T179" s="96">
        <v>237</v>
      </c>
      <c r="U179" s="93">
        <f t="shared" si="53"/>
        <v>461</v>
      </c>
      <c r="V179" s="100">
        <v>0</v>
      </c>
      <c r="W179" s="101" t="str">
        <f t="shared" si="54"/>
        <v/>
      </c>
      <c r="X179" s="102">
        <v>99.6</v>
      </c>
      <c r="Y179" s="103">
        <v>99.6</v>
      </c>
      <c r="Z179" s="104">
        <f t="shared" si="55"/>
        <v>99.6</v>
      </c>
      <c r="AD179" s="99"/>
      <c r="AE179" s="98"/>
      <c r="AF179" s="99"/>
      <c r="AP179" s="107"/>
      <c r="AQ179" s="107"/>
      <c r="AR179" s="107"/>
      <c r="AS179" s="108"/>
      <c r="AT179" s="108"/>
      <c r="AU179" s="108"/>
      <c r="AV179" s="96"/>
      <c r="AW179" s="96"/>
      <c r="AX179" s="97"/>
      <c r="AY179" s="97"/>
      <c r="AZ179" s="97"/>
      <c r="BA179" s="93"/>
      <c r="BB179" s="93"/>
      <c r="BC179" s="93"/>
      <c r="BD179" s="93"/>
      <c r="BE179" s="93"/>
      <c r="BF179" s="97"/>
      <c r="BG179" s="97"/>
      <c r="BH179" s="96"/>
      <c r="BI179" s="96"/>
      <c r="BJ179" s="110"/>
      <c r="BK179" s="110"/>
      <c r="BL179" s="108"/>
      <c r="BM179" s="108"/>
      <c r="BN179" s="107"/>
      <c r="BO179" s="107"/>
      <c r="BP179" s="111"/>
      <c r="BQ179" s="111"/>
      <c r="BR179" s="112"/>
      <c r="BS179" s="112"/>
      <c r="BT179" s="112"/>
    </row>
    <row r="180" spans="1:72" x14ac:dyDescent="0.15">
      <c r="B180" s="3" t="s">
        <v>224</v>
      </c>
      <c r="C180" s="4">
        <v>60</v>
      </c>
      <c r="D180" s="5">
        <v>28.1</v>
      </c>
      <c r="E180" s="118">
        <v>300</v>
      </c>
      <c r="F180" s="6">
        <v>979</v>
      </c>
      <c r="H180" s="7">
        <v>1015</v>
      </c>
      <c r="S180" s="7">
        <v>50</v>
      </c>
      <c r="T180" s="6">
        <v>187</v>
      </c>
      <c r="U180" s="93">
        <f t="shared" si="53"/>
        <v>237</v>
      </c>
      <c r="V180" s="8">
        <v>0</v>
      </c>
      <c r="W180" s="101" t="str">
        <f t="shared" si="54"/>
        <v/>
      </c>
      <c r="X180" s="9">
        <v>100</v>
      </c>
      <c r="Y180" s="10">
        <v>100</v>
      </c>
      <c r="Z180" s="104">
        <f t="shared" si="55"/>
        <v>100</v>
      </c>
    </row>
    <row r="181" spans="1:72" x14ac:dyDescent="0.15">
      <c r="B181" s="3" t="s">
        <v>389</v>
      </c>
      <c r="C181" s="4">
        <v>60</v>
      </c>
      <c r="E181" s="311">
        <f>50*1.92</f>
        <v>96</v>
      </c>
      <c r="S181" s="7">
        <v>20</v>
      </c>
      <c r="T181" s="6">
        <v>34</v>
      </c>
      <c r="U181" s="93"/>
      <c r="W181" s="101"/>
      <c r="X181" s="9">
        <v>75</v>
      </c>
      <c r="Y181" s="10">
        <v>85.3</v>
      </c>
      <c r="Z181" s="104">
        <f t="shared" si="55"/>
        <v>80.150000000000006</v>
      </c>
    </row>
    <row r="182" spans="1:72" x14ac:dyDescent="0.15">
      <c r="B182" s="3" t="s">
        <v>390</v>
      </c>
      <c r="C182" s="4">
        <v>60</v>
      </c>
      <c r="E182" s="311">
        <f>70*1.92</f>
        <v>134.4</v>
      </c>
      <c r="S182" s="7">
        <v>68</v>
      </c>
      <c r="T182" s="6">
        <v>84</v>
      </c>
      <c r="U182" s="93"/>
      <c r="W182" s="101"/>
      <c r="X182" s="9">
        <v>83.8</v>
      </c>
      <c r="Y182" s="10">
        <v>85.7</v>
      </c>
      <c r="Z182" s="104">
        <f t="shared" si="55"/>
        <v>84.75</v>
      </c>
    </row>
    <row r="183" spans="1:72" x14ac:dyDescent="0.15">
      <c r="B183" s="3" t="s">
        <v>391</v>
      </c>
      <c r="C183" s="4">
        <v>60</v>
      </c>
      <c r="E183" s="311">
        <f>50*1.92</f>
        <v>96</v>
      </c>
      <c r="S183" s="7">
        <v>21</v>
      </c>
      <c r="T183" s="6">
        <v>57</v>
      </c>
      <c r="U183" s="93"/>
      <c r="W183" s="101"/>
      <c r="X183" s="9">
        <v>90.5</v>
      </c>
      <c r="Y183" s="10">
        <v>94.7</v>
      </c>
      <c r="Z183" s="104">
        <f>IF(A183="x","x",IF(X183&gt;1,(IF(S183&gt;1,(IF(S183&gt;T183,(IF((S183/T183)&lt;5,AVERAGE(X183:Y183),"")),IF(S183&lt;T183,(IF((T183/S183)&lt;5,AVERAGE(X183:Y183),""))))),"")),""))</f>
        <v>92.6</v>
      </c>
    </row>
    <row r="184" spans="1:72" x14ac:dyDescent="0.15">
      <c r="B184" s="3" t="s">
        <v>392</v>
      </c>
      <c r="C184" s="4">
        <v>60</v>
      </c>
      <c r="E184" s="311">
        <f>30*1.92</f>
        <v>57.599999999999994</v>
      </c>
      <c r="S184" s="7">
        <v>202</v>
      </c>
      <c r="T184" s="6">
        <v>120</v>
      </c>
      <c r="U184" s="93">
        <f t="shared" si="53"/>
        <v>322</v>
      </c>
      <c r="W184" s="101" t="str">
        <f t="shared" si="54"/>
        <v/>
      </c>
      <c r="X184" s="9">
        <v>53</v>
      </c>
      <c r="Y184" s="10">
        <v>36.700000000000003</v>
      </c>
      <c r="Z184" s="104">
        <f t="shared" si="55"/>
        <v>44.85</v>
      </c>
    </row>
    <row r="185" spans="1:72" x14ac:dyDescent="0.15">
      <c r="B185" s="3" t="s">
        <v>393</v>
      </c>
      <c r="C185" s="4">
        <v>60</v>
      </c>
      <c r="E185" s="311">
        <f>20*1.19</f>
        <v>23.799999999999997</v>
      </c>
      <c r="S185" s="7">
        <v>127</v>
      </c>
      <c r="T185" s="6">
        <v>56</v>
      </c>
      <c r="U185" s="93">
        <f t="shared" si="53"/>
        <v>183</v>
      </c>
      <c r="W185" s="101" t="str">
        <f t="shared" si="54"/>
        <v/>
      </c>
      <c r="X185" s="9">
        <v>55.9</v>
      </c>
      <c r="Y185" s="10">
        <v>31</v>
      </c>
      <c r="Z185" s="104">
        <f>IF(A185="x","x",IF(X185&gt;1,(IF(S185&gt;1,(IF(S185&gt;T185,(IF((S185/T185)&lt;5,AVERAGE(X185:Y185),"")),IF(S185&lt;T185,(IF((T185/S185)&lt;5,AVERAGE(X185:Y185),""))))),"")),""))</f>
        <v>43.45</v>
      </c>
    </row>
    <row r="186" spans="1:72" x14ac:dyDescent="0.15">
      <c r="A186" s="91">
        <f>COUNT(D171:D187)</f>
        <v>7</v>
      </c>
      <c r="B186" s="3" t="s">
        <v>394</v>
      </c>
      <c r="C186" s="4">
        <v>60</v>
      </c>
      <c r="E186" s="311">
        <f>50*1.47</f>
        <v>73.5</v>
      </c>
      <c r="U186" s="93" t="str">
        <f>IF(S186&gt;0.9,SUM(S186:T186)-V186,"")</f>
        <v/>
      </c>
      <c r="W186" s="101" t="str">
        <f>IF(V186&gt;0.9,(IF(S186&gt;T186,V186/T186,V186/S186)),"")</f>
        <v/>
      </c>
      <c r="X186" s="9" t="s">
        <v>157</v>
      </c>
      <c r="Y186" s="10" t="s">
        <v>157</v>
      </c>
      <c r="Z186" s="104" t="s">
        <v>157</v>
      </c>
    </row>
    <row r="187" spans="1:72" x14ac:dyDescent="0.15">
      <c r="B187" s="3" t="s">
        <v>397</v>
      </c>
      <c r="E187" s="311">
        <f>50*1.92</f>
        <v>96</v>
      </c>
      <c r="U187" s="93" t="str">
        <f>IF(S187&gt;0.9,SUM(S187:T187)-V187,"")</f>
        <v/>
      </c>
      <c r="W187" s="101" t="str">
        <f>IF(V187&gt;0.9,(IF(S187&gt;T187,V187/T187,V187/S187)),"")</f>
        <v/>
      </c>
      <c r="X187" s="9" t="s">
        <v>157</v>
      </c>
      <c r="Y187" s="10" t="s">
        <v>157</v>
      </c>
      <c r="Z187" s="104" t="s">
        <v>157</v>
      </c>
    </row>
    <row r="188" spans="1:72" x14ac:dyDescent="0.15">
      <c r="B188" s="3" t="s">
        <v>398</v>
      </c>
      <c r="E188" s="4">
        <f>40*1.92</f>
        <v>76.8</v>
      </c>
      <c r="S188" s="7">
        <v>245</v>
      </c>
      <c r="T188" s="6">
        <v>95</v>
      </c>
      <c r="U188" s="93">
        <f>IF(S188&gt;0.9,SUM(S188:T188)-V188,"")</f>
        <v>340</v>
      </c>
      <c r="V188" s="8">
        <v>0</v>
      </c>
      <c r="W188" s="101" t="str">
        <f>IF(V188&gt;0.9,(IF(S188&gt;T188,V188/T188,V188/S188)),"")</f>
        <v/>
      </c>
      <c r="X188" s="9">
        <v>63.3</v>
      </c>
      <c r="Y188" s="10">
        <v>32.1</v>
      </c>
      <c r="Z188" s="104">
        <f>IF(A188="x","x",IF(X188&gt;1,(IF(S188&gt;1,(IF(S188&gt;T188,(IF((S188/T188)&lt;5,AVERAGE(X188:Y188),"")),IF(S188&lt;T188,(IF((T188/S188)&lt;5,AVERAGE(X188:Y188),""))))),"")),""))</f>
        <v>47.7</v>
      </c>
    </row>
    <row r="189" spans="1:72" s="70" customFormat="1" x14ac:dyDescent="0.15">
      <c r="A189" s="114" t="s">
        <v>225</v>
      </c>
      <c r="B189" s="82">
        <f>STDEV(D171:D187)</f>
        <v>4.2050423246836717</v>
      </c>
      <c r="D189" s="115">
        <f>AVERAGE(D171:D187)</f>
        <v>31.528571428571428</v>
      </c>
      <c r="E189" s="73">
        <f>MEDIAN(E171:E187)</f>
        <v>134</v>
      </c>
      <c r="F189" s="73">
        <f>STDEV(E171:E187)</f>
        <v>93.045452207351772</v>
      </c>
      <c r="G189" s="73"/>
      <c r="H189" s="73"/>
      <c r="I189" s="73"/>
      <c r="J189" s="73"/>
      <c r="Q189" s="73"/>
      <c r="R189" s="73"/>
      <c r="S189" s="73">
        <f>AVERAGE(S171:S173)</f>
        <v>133</v>
      </c>
      <c r="T189" s="73">
        <f>AVERAGE(T171:T173)</f>
        <v>191.33333333333334</v>
      </c>
      <c r="U189" s="73">
        <f>SUM(S189:T189)</f>
        <v>324.33333333333337</v>
      </c>
      <c r="V189" s="116"/>
      <c r="W189" s="133"/>
      <c r="X189" s="82"/>
      <c r="Y189" s="82"/>
      <c r="Z189" s="82">
        <f>MEDIAN(Z171:Z187)</f>
        <v>84.75</v>
      </c>
      <c r="AA189" s="83">
        <f>STDEV(Z171:Z187)</f>
        <v>17.937574954215389</v>
      </c>
      <c r="AG189" s="70" t="e">
        <f>(AI189/AVERAGE(AG171:AG173))*AG3</f>
        <v>#DIV/0!</v>
      </c>
      <c r="AI189" s="70" t="e">
        <f t="shared" ref="AI189:AU189" si="56">AVERAGE(AI171:AI173)</f>
        <v>#DIV/0!</v>
      </c>
      <c r="AP189" s="133" t="e">
        <f t="shared" si="56"/>
        <v>#DIV/0!</v>
      </c>
      <c r="AQ189" s="133" t="e">
        <f t="shared" si="56"/>
        <v>#DIV/0!</v>
      </c>
      <c r="AR189" s="133" t="e">
        <f t="shared" si="56"/>
        <v>#DIV/0!</v>
      </c>
      <c r="AS189" s="133" t="e">
        <f t="shared" si="56"/>
        <v>#DIV/0!</v>
      </c>
      <c r="AT189" s="133" t="e">
        <f t="shared" si="56"/>
        <v>#DIV/0!</v>
      </c>
      <c r="AU189" s="133" t="e">
        <f t="shared" si="56"/>
        <v>#DIV/0!</v>
      </c>
      <c r="AV189" s="73"/>
      <c r="AW189" s="73"/>
      <c r="AX189" s="73"/>
      <c r="AY189" s="73"/>
      <c r="AZ189" s="73"/>
      <c r="BA189" s="138"/>
      <c r="BB189" s="138"/>
      <c r="BC189" s="138"/>
      <c r="BD189" s="138"/>
      <c r="BE189" s="138"/>
      <c r="BF189" s="139"/>
      <c r="BG189" s="139"/>
      <c r="BH189" s="140"/>
      <c r="BI189" s="140"/>
      <c r="BJ189" s="141"/>
      <c r="BK189" s="141"/>
      <c r="BL189" s="142"/>
      <c r="BM189" s="142"/>
      <c r="BN189" s="143"/>
      <c r="BO189" s="143"/>
      <c r="BP189" s="144"/>
      <c r="BQ189" s="144"/>
      <c r="BR189" s="145"/>
      <c r="BS189" s="145"/>
      <c r="BT189" s="145"/>
    </row>
    <row r="190" spans="1:72" x14ac:dyDescent="0.15">
      <c r="E190" s="118"/>
      <c r="S190" s="14"/>
      <c r="T190" s="15"/>
      <c r="U190" s="4"/>
      <c r="V190" s="119"/>
      <c r="W190" s="226"/>
      <c r="AG190" s="212"/>
      <c r="AH190" s="212"/>
      <c r="AI190" s="212"/>
      <c r="AJ190" s="212"/>
      <c r="AK190" s="212"/>
      <c r="AL190" s="212"/>
      <c r="AM190" s="212"/>
      <c r="AN190" s="212"/>
      <c r="AO190" s="212"/>
    </row>
    <row r="193" spans="2:41" x14ac:dyDescent="0.15">
      <c r="E193" s="118"/>
      <c r="S193" s="14"/>
      <c r="T193" s="15"/>
      <c r="U193" s="4"/>
      <c r="V193" s="119"/>
      <c r="W193" s="226"/>
      <c r="AG193" s="212"/>
      <c r="AH193" s="212"/>
      <c r="AI193" s="212"/>
      <c r="AJ193" s="212"/>
      <c r="AK193" s="212"/>
      <c r="AL193" s="212"/>
      <c r="AM193" s="212"/>
      <c r="AN193" s="212"/>
      <c r="AO193" s="212"/>
    </row>
    <row r="194" spans="2:41" x14ac:dyDescent="0.15">
      <c r="E194" s="118"/>
      <c r="S194" s="14"/>
      <c r="T194" s="15"/>
      <c r="U194" s="4"/>
      <c r="V194" s="119"/>
      <c r="W194" s="226"/>
      <c r="AG194" s="212"/>
      <c r="AH194" s="212"/>
      <c r="AI194" s="212"/>
      <c r="AJ194" s="212"/>
      <c r="AK194" s="212"/>
      <c r="AL194" s="212"/>
      <c r="AM194" s="212"/>
      <c r="AN194" s="212"/>
      <c r="AO194" s="212"/>
    </row>
    <row r="195" spans="2:41" x14ac:dyDescent="0.15">
      <c r="E195" s="118"/>
      <c r="S195" s="14"/>
      <c r="T195" s="15"/>
      <c r="U195" s="4"/>
      <c r="V195" s="119"/>
      <c r="W195" s="226"/>
      <c r="AG195" s="212"/>
      <c r="AH195" s="212"/>
      <c r="AI195" s="212"/>
      <c r="AJ195" s="212"/>
      <c r="AK195" s="212"/>
      <c r="AL195" s="212"/>
      <c r="AM195" s="212"/>
      <c r="AN195" s="212"/>
      <c r="AO195" s="212"/>
    </row>
    <row r="196" spans="2:41" x14ac:dyDescent="0.15">
      <c r="E196" s="118"/>
      <c r="S196" s="14"/>
      <c r="T196" s="15"/>
      <c r="U196" s="4"/>
      <c r="V196" s="119"/>
      <c r="W196" s="226"/>
      <c r="AG196" s="212"/>
      <c r="AH196" s="212"/>
      <c r="AI196" s="212"/>
      <c r="AJ196" s="212"/>
      <c r="AK196" s="212"/>
      <c r="AL196" s="212"/>
      <c r="AM196" s="212"/>
      <c r="AN196" s="212"/>
      <c r="AO196" s="212"/>
    </row>
    <row r="197" spans="2:41" x14ac:dyDescent="0.15">
      <c r="E197" s="118"/>
      <c r="S197" s="14"/>
      <c r="T197" s="15"/>
      <c r="U197" s="4"/>
      <c r="V197" s="119"/>
      <c r="W197" s="226"/>
      <c r="AG197" s="212"/>
      <c r="AH197" s="212"/>
      <c r="AI197" s="212"/>
      <c r="AJ197" s="212"/>
      <c r="AK197" s="212"/>
      <c r="AL197" s="212"/>
      <c r="AM197" s="212"/>
      <c r="AN197" s="212"/>
      <c r="AO197" s="212"/>
    </row>
    <row r="198" spans="2:41" x14ac:dyDescent="0.15">
      <c r="E198" s="118"/>
      <c r="S198" s="14"/>
      <c r="T198" s="15"/>
      <c r="U198" s="4"/>
      <c r="V198" s="119"/>
      <c r="W198" s="226"/>
      <c r="AG198" s="212"/>
      <c r="AH198" s="212"/>
      <c r="AI198" s="212"/>
      <c r="AJ198" s="212"/>
      <c r="AK198" s="212"/>
      <c r="AL198" s="212"/>
      <c r="AM198" s="212"/>
      <c r="AN198" s="212"/>
      <c r="AO198" s="212"/>
    </row>
    <row r="199" spans="2:41" x14ac:dyDescent="0.15">
      <c r="E199" s="118"/>
      <c r="S199" s="14"/>
      <c r="T199" s="15"/>
      <c r="U199" s="4"/>
      <c r="V199" s="119"/>
      <c r="W199" s="226"/>
      <c r="AG199" s="212"/>
      <c r="AH199" s="212"/>
      <c r="AI199" s="212"/>
      <c r="AJ199" s="212"/>
      <c r="AK199" s="212"/>
      <c r="AL199" s="212"/>
      <c r="AM199" s="212"/>
      <c r="AN199" s="212"/>
      <c r="AO199" s="212"/>
    </row>
    <row r="200" spans="2:41" x14ac:dyDescent="0.15">
      <c r="D200" s="5" t="s">
        <v>226</v>
      </c>
      <c r="E200" s="4" t="s">
        <v>227</v>
      </c>
    </row>
    <row r="201" spans="2:41" x14ac:dyDescent="0.15">
      <c r="B201" s="92" t="s">
        <v>215</v>
      </c>
      <c r="C201" s="93"/>
      <c r="D201" s="5">
        <f>E171</f>
        <v>135</v>
      </c>
      <c r="E201" s="4">
        <f t="shared" ref="E201:E207" si="57">Z171</f>
        <v>74.099999999999994</v>
      </c>
    </row>
    <row r="202" spans="2:41" x14ac:dyDescent="0.15">
      <c r="B202" s="92" t="s">
        <v>216</v>
      </c>
      <c r="C202" s="93"/>
      <c r="D202" s="5">
        <f>E172</f>
        <v>100</v>
      </c>
      <c r="E202" s="4">
        <f t="shared" si="57"/>
        <v>76.3</v>
      </c>
    </row>
    <row r="203" spans="2:41" x14ac:dyDescent="0.15">
      <c r="B203" s="92" t="s">
        <v>217</v>
      </c>
      <c r="C203" s="93"/>
      <c r="D203" s="5">
        <f>E173</f>
        <v>134</v>
      </c>
      <c r="E203" s="4">
        <f t="shared" si="57"/>
        <v>97.2</v>
      </c>
    </row>
    <row r="204" spans="2:41" x14ac:dyDescent="0.15">
      <c r="B204" s="92" t="s">
        <v>218</v>
      </c>
      <c r="C204" s="93"/>
      <c r="D204" s="5" t="e">
        <f>SQRT(("#REF! -#REF!)^2+(#REF!-#REF!)^2)"))</f>
        <v>#VALUE!</v>
      </c>
      <c r="E204" s="4">
        <f t="shared" si="57"/>
        <v>64.349999999999994</v>
      </c>
    </row>
    <row r="205" spans="2:41" x14ac:dyDescent="0.15">
      <c r="B205" s="92" t="s">
        <v>219</v>
      </c>
      <c r="C205" s="93"/>
      <c r="D205" s="5" t="e">
        <f>SQRT(("#REF! -#REF!)^2+(#REF!-#REF!)^2)"))</f>
        <v>#VALUE!</v>
      </c>
      <c r="E205" s="4">
        <f t="shared" si="57"/>
        <v>76.099999999999994</v>
      </c>
    </row>
    <row r="206" spans="2:41" x14ac:dyDescent="0.15">
      <c r="B206" s="92" t="s">
        <v>220</v>
      </c>
      <c r="C206" s="93"/>
      <c r="D206" s="5" t="e">
        <f>SQRT(("#REF! -#REF!)^2+(#REF!-#REF!)^2)"))</f>
        <v>#VALUE!</v>
      </c>
      <c r="E206" s="4">
        <f t="shared" si="57"/>
        <v>97.1</v>
      </c>
    </row>
    <row r="207" spans="2:41" x14ac:dyDescent="0.15">
      <c r="B207" s="92" t="s">
        <v>221</v>
      </c>
      <c r="C207" s="93"/>
      <c r="D207" s="5" t="e">
        <f>SQRT(("#REF! -#REF!)^2+(#REF!-#REF!)^2)"))</f>
        <v>#VALUE!</v>
      </c>
      <c r="E207" s="4">
        <f t="shared" si="57"/>
        <v>84.85</v>
      </c>
    </row>
    <row r="226" spans="5:30" x14ac:dyDescent="0.15">
      <c r="Z226" t="s">
        <v>399</v>
      </c>
      <c r="AA226" t="s">
        <v>400</v>
      </c>
      <c r="AC226">
        <v>4.1750000000000002E-2</v>
      </c>
      <c r="AD226" s="2">
        <v>3.7000000000000002E-3</v>
      </c>
    </row>
    <row r="227" spans="5:30" x14ac:dyDescent="0.15">
      <c r="AC227">
        <v>4.5319999999999999E-2</v>
      </c>
      <c r="AD227" s="2">
        <v>5.5420000000000001E-3</v>
      </c>
    </row>
    <row r="228" spans="5:30" x14ac:dyDescent="0.15">
      <c r="AC228">
        <v>6.4729999999999996E-2</v>
      </c>
      <c r="AD228" s="2">
        <v>6.0800000000000003E-3</v>
      </c>
    </row>
    <row r="229" spans="5:30" x14ac:dyDescent="0.15">
      <c r="AC229">
        <v>0.18779999999999999</v>
      </c>
      <c r="AD229" s="2">
        <v>1.03E-2</v>
      </c>
    </row>
    <row r="230" spans="5:30" x14ac:dyDescent="0.15">
      <c r="E230" s="4" t="s">
        <v>23</v>
      </c>
      <c r="F230" s="6" t="s">
        <v>24</v>
      </c>
      <c r="G230" s="6" t="s">
        <v>228</v>
      </c>
      <c r="H230" s="7" t="s">
        <v>229</v>
      </c>
      <c r="AC230">
        <v>0.16309999999999999</v>
      </c>
      <c r="AD230" s="2">
        <v>1.0109999999999999E-2</v>
      </c>
    </row>
    <row r="231" spans="5:30" x14ac:dyDescent="0.15">
      <c r="E231" s="4">
        <v>0</v>
      </c>
      <c r="F231" s="10">
        <f>AVERAGE(D17,'double ML'!D17,single!D7)</f>
        <v>1.3569444444444445</v>
      </c>
      <c r="G231" s="10">
        <f>AVERAGE(B17,'double ML'!B17,single!A7)</f>
        <v>9.7633496323508415E-2</v>
      </c>
      <c r="H231" s="227">
        <f>A16+'double ML'!A16+single!B7</f>
        <v>24</v>
      </c>
      <c r="AC231">
        <v>0.18540000000000001</v>
      </c>
      <c r="AD231" s="2">
        <v>5.314E-2</v>
      </c>
    </row>
    <row r="232" spans="5:30" x14ac:dyDescent="0.15">
      <c r="E232" s="4">
        <v>2</v>
      </c>
      <c r="F232" s="10">
        <f>AVERAGE(D36,'double ML'!D36,single!D12)</f>
        <v>1.7260416666666665</v>
      </c>
      <c r="G232" s="10">
        <f>AVERAGE(B36,'double ML'!B36,single!A12)</f>
        <v>0.18882682047493707</v>
      </c>
      <c r="H232" s="227">
        <f>A33+'double ML'!A35+single!B12</f>
        <v>22</v>
      </c>
    </row>
    <row r="233" spans="5:30" x14ac:dyDescent="0.15">
      <c r="E233" s="4">
        <v>4</v>
      </c>
      <c r="F233" s="10">
        <f>AVERAGE(D51,'double ML'!D49,single!D15)</f>
        <v>2.297333333333333</v>
      </c>
      <c r="G233" s="10">
        <f>AVERAGE(B36,single!C15)</f>
        <v>0.23959601415716639</v>
      </c>
      <c r="H233" s="227">
        <f>A50+'double ML'!A48+single!B15</f>
        <v>19</v>
      </c>
    </row>
    <row r="234" spans="5:30" x14ac:dyDescent="0.15">
      <c r="E234" s="4">
        <v>6</v>
      </c>
      <c r="F234" s="10">
        <f>AVERAGE(D72,single!D19)</f>
        <v>3.4168627450980393</v>
      </c>
      <c r="G234" s="10">
        <f>AVERAGE(B72,single!A19)</f>
        <v>0.62737180102998513</v>
      </c>
      <c r="H234" s="227">
        <f>A68+single!B19</f>
        <v>20</v>
      </c>
    </row>
    <row r="235" spans="5:30" x14ac:dyDescent="0.15">
      <c r="E235" s="4">
        <v>8</v>
      </c>
      <c r="F235" s="10">
        <f>AVERAGE(D99,'double ML'!D63,single!D22)</f>
        <v>4.1367391304347816</v>
      </c>
      <c r="G235" s="10">
        <f>AVERAGE(B99,'double ML'!B63,single!C22)</f>
        <v>0.72529300506713368</v>
      </c>
      <c r="H235" s="227" t="e">
        <f>#REF!+'double ML'!A62+single!B22</f>
        <v>#REF!</v>
      </c>
    </row>
    <row r="236" spans="5:30" x14ac:dyDescent="0.15">
      <c r="E236" s="4">
        <v>12</v>
      </c>
      <c r="F236" s="10">
        <f>AVERAGE(D118,'double ML'!D77,single!D26)</f>
        <v>5.8351851851851855</v>
      </c>
      <c r="G236" s="10">
        <f>AVERAGE(B118,'double ML'!B77,single!A26)</f>
        <v>0.42147843838046289</v>
      </c>
      <c r="H236" s="227">
        <f>A116+'double ML'!A76+single!B26</f>
        <v>24</v>
      </c>
    </row>
    <row r="237" spans="5:30" x14ac:dyDescent="0.15">
      <c r="E237" s="4">
        <v>16</v>
      </c>
      <c r="F237" s="10">
        <f>AVERAGE(D132,single!D30)</f>
        <v>7.660000000000001</v>
      </c>
      <c r="G237" s="10">
        <f>AVERAGE(B132,single!C30)</f>
        <v>0.65038450166036399</v>
      </c>
      <c r="H237" s="227">
        <f>A131+single!B30</f>
        <v>5</v>
      </c>
    </row>
    <row r="238" spans="5:30" x14ac:dyDescent="0.15">
      <c r="E238" s="4">
        <v>22</v>
      </c>
      <c r="F238" s="10">
        <f>AVERAGE(D147,'double ML'!D90,single!D39)</f>
        <v>8.549722222222222</v>
      </c>
      <c r="G238" s="10">
        <f>AVERAGE(B147,'double ML'!B90,single!C743)</f>
        <v>1.6895974856249438</v>
      </c>
      <c r="H238" s="227">
        <f>A146+'double ML'!A89+single!B39</f>
        <v>18</v>
      </c>
      <c r="I238" s="94">
        <f>STDEV(C133:C146,'double ML'!C78:C88,single!C31:C38)</f>
        <v>1.1892374507581378</v>
      </c>
      <c r="J238" s="94"/>
    </row>
  </sheetData>
  <sheetProtection selectLockedCells="1" selectUnlockedCells="1"/>
  <mergeCells count="1">
    <mergeCell ref="X1:Z1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140"/>
  <sheetViews>
    <sheetView zoomScaleNormal="100" workbookViewId="0">
      <pane xSplit="5" ySplit="2" topLeftCell="AM3" activePane="bottomRight" state="frozen"/>
      <selection pane="topRight" activeCell="V1" sqref="V1"/>
      <selection pane="bottomLeft" activeCell="A20" sqref="A20"/>
      <selection pane="bottomRight" activeCell="A13" sqref="A13:IV13"/>
    </sheetView>
  </sheetViews>
  <sheetFormatPr baseColWidth="10" defaultColWidth="12.33203125" defaultRowHeight="13" x14ac:dyDescent="0.15"/>
  <cols>
    <col min="1" max="1" width="12.33203125" style="3"/>
    <col min="2" max="2" width="12.33203125" style="2"/>
    <col min="3" max="3" width="5.83203125" style="4" customWidth="1"/>
    <col min="4" max="4" width="7.33203125" style="5" customWidth="1"/>
    <col min="5" max="5" width="10" style="3" customWidth="1"/>
    <col min="6" max="7" width="12.33203125" style="6"/>
    <col min="8" max="16" width="12.33203125" style="7"/>
    <col min="17" max="17" width="12.33203125" style="6"/>
    <col min="18" max="34" width="12.33203125" style="2"/>
    <col min="35" max="35" width="12.83203125" style="2" customWidth="1"/>
    <col min="36" max="36" width="12.6640625" style="2" customWidth="1"/>
    <col min="37" max="16384" width="12.33203125" style="2"/>
  </cols>
  <sheetData>
    <row r="1" spans="1:61" x14ac:dyDescent="0.15">
      <c r="A1" s="19"/>
      <c r="B1" s="3" t="s">
        <v>1</v>
      </c>
      <c r="C1" s="228"/>
      <c r="D1" s="229"/>
      <c r="E1" s="20" t="s">
        <v>2</v>
      </c>
      <c r="F1" s="21" t="s">
        <v>3</v>
      </c>
      <c r="G1" s="21"/>
      <c r="H1" s="22"/>
      <c r="I1" s="22"/>
      <c r="J1" s="23" t="s">
        <v>4</v>
      </c>
      <c r="K1" s="23"/>
      <c r="L1" s="23"/>
      <c r="M1" s="24"/>
      <c r="N1" s="24"/>
      <c r="O1" s="24"/>
      <c r="P1" s="48" t="s">
        <v>5</v>
      </c>
      <c r="Q1" s="49"/>
      <c r="R1" s="27"/>
      <c r="S1" s="51"/>
      <c r="T1" s="52"/>
      <c r="U1" s="52"/>
      <c r="V1" s="54"/>
      <c r="W1" s="509" t="s">
        <v>6</v>
      </c>
      <c r="X1" s="509"/>
      <c r="Y1" s="509"/>
      <c r="Z1" s="33"/>
      <c r="AA1" s="33"/>
      <c r="AB1" s="33"/>
      <c r="AC1" s="34"/>
      <c r="AD1" s="34"/>
      <c r="AE1" s="34"/>
      <c r="AF1" s="35" t="s">
        <v>7</v>
      </c>
      <c r="AG1" s="35"/>
      <c r="AH1" s="230" t="s">
        <v>230</v>
      </c>
      <c r="AI1" s="230"/>
      <c r="AJ1" s="230"/>
      <c r="AK1" s="231"/>
      <c r="AL1" s="231"/>
      <c r="AM1" s="231"/>
      <c r="AN1" s="60" t="s">
        <v>9</v>
      </c>
      <c r="AO1" s="60"/>
      <c r="AP1" s="61"/>
      <c r="AQ1" s="61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</row>
    <row r="2" spans="1:61" x14ac:dyDescent="0.15">
      <c r="A2" s="19"/>
      <c r="B2" s="3" t="s">
        <v>22</v>
      </c>
      <c r="C2" s="228" t="s">
        <v>23</v>
      </c>
      <c r="D2" s="229" t="s">
        <v>24</v>
      </c>
      <c r="E2" s="20" t="s">
        <v>231</v>
      </c>
      <c r="F2" s="21" t="s">
        <v>26</v>
      </c>
      <c r="G2" s="21" t="s">
        <v>232</v>
      </c>
      <c r="H2" s="22" t="s">
        <v>28</v>
      </c>
      <c r="I2" s="22" t="s">
        <v>233</v>
      </c>
      <c r="J2" s="23" t="s">
        <v>30</v>
      </c>
      <c r="K2" s="23" t="s">
        <v>31</v>
      </c>
      <c r="L2" s="23" t="s">
        <v>32</v>
      </c>
      <c r="M2" s="47" t="s">
        <v>33</v>
      </c>
      <c r="N2" s="47" t="s">
        <v>34</v>
      </c>
      <c r="O2" s="24" t="s">
        <v>35</v>
      </c>
      <c r="P2" s="48" t="s">
        <v>36</v>
      </c>
      <c r="Q2" s="49" t="s">
        <v>37</v>
      </c>
      <c r="R2" s="50" t="s">
        <v>38</v>
      </c>
      <c r="S2" s="51" t="s">
        <v>39</v>
      </c>
      <c r="T2" s="52" t="s">
        <v>40</v>
      </c>
      <c r="U2" s="52" t="s">
        <v>41</v>
      </c>
      <c r="V2" s="54" t="s">
        <v>42</v>
      </c>
      <c r="W2" s="55" t="s">
        <v>43</v>
      </c>
      <c r="X2" s="32" t="s">
        <v>44</v>
      </c>
      <c r="Y2" s="56" t="s">
        <v>45</v>
      </c>
      <c r="Z2" s="33"/>
      <c r="AA2" s="33"/>
      <c r="AB2" s="33"/>
      <c r="AC2" s="57"/>
      <c r="AD2" s="58"/>
      <c r="AE2" s="59"/>
      <c r="AF2" s="35" t="s">
        <v>234</v>
      </c>
      <c r="AG2" s="35" t="s">
        <v>47</v>
      </c>
      <c r="AH2" s="230" t="s">
        <v>48</v>
      </c>
      <c r="AI2" s="230" t="s">
        <v>49</v>
      </c>
      <c r="AJ2" s="230" t="s">
        <v>50</v>
      </c>
      <c r="AK2" s="231" t="s">
        <v>51</v>
      </c>
      <c r="AL2" s="231" t="s">
        <v>52</v>
      </c>
      <c r="AM2" s="231" t="s">
        <v>53</v>
      </c>
      <c r="AN2" s="60" t="s">
        <v>54</v>
      </c>
      <c r="AO2" s="60" t="s">
        <v>55</v>
      </c>
      <c r="AP2" s="61" t="s">
        <v>56</v>
      </c>
      <c r="AQ2" s="61" t="s">
        <v>57</v>
      </c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</row>
    <row r="3" spans="1:61" s="83" customFormat="1" x14ac:dyDescent="0.15">
      <c r="A3" s="70"/>
      <c r="B3" s="84"/>
      <c r="C3" s="71"/>
      <c r="D3" s="115"/>
      <c r="E3" s="73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9"/>
      <c r="W3" s="84"/>
      <c r="X3" s="84"/>
      <c r="Y3" s="70"/>
      <c r="AF3" s="84" t="e">
        <f>1/(AVERAGE(AG4:AG15)/AVERAGE(AF4:AF15))</f>
        <v>#DIV/0!</v>
      </c>
      <c r="AG3" s="84"/>
      <c r="AH3" s="233"/>
      <c r="AI3" s="233"/>
      <c r="AJ3" s="233"/>
      <c r="AK3" s="233"/>
      <c r="AL3" s="233"/>
      <c r="AM3" s="233"/>
    </row>
    <row r="4" spans="1:61" s="327" customFormat="1" x14ac:dyDescent="0.15">
      <c r="A4" s="316" t="s">
        <v>235</v>
      </c>
      <c r="B4" s="317" t="s">
        <v>236</v>
      </c>
      <c r="C4" s="318">
        <v>0</v>
      </c>
      <c r="D4" s="319">
        <v>1.6</v>
      </c>
      <c r="E4" s="320">
        <v>440</v>
      </c>
      <c r="F4" s="32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1"/>
      <c r="R4" s="322">
        <f>813+U4</f>
        <v>818</v>
      </c>
      <c r="S4" s="321">
        <f>294+U4</f>
        <v>299</v>
      </c>
      <c r="T4" s="318">
        <f>IF(R4&gt;0.9,SUM(R4:S4),"")</f>
        <v>1117</v>
      </c>
      <c r="U4" s="318">
        <v>5</v>
      </c>
      <c r="V4" s="323">
        <f>IF(U4&gt;0.9,(IF(R4&gt;S4,U4/S4,U4/R4)),"")</f>
        <v>1.6722408026755852E-2</v>
      </c>
      <c r="W4" s="324">
        <v>68.7</v>
      </c>
      <c r="X4" s="325">
        <v>27.1</v>
      </c>
      <c r="Y4" s="326">
        <v>70</v>
      </c>
      <c r="AH4" s="328"/>
      <c r="AI4" s="328"/>
      <c r="AJ4" s="329"/>
      <c r="AK4" s="330"/>
      <c r="AL4" s="330"/>
      <c r="AM4" s="329"/>
      <c r="AN4" s="321">
        <v>400</v>
      </c>
      <c r="AO4" s="321">
        <v>-800</v>
      </c>
      <c r="AP4" s="322">
        <v>-150</v>
      </c>
      <c r="AQ4" s="322">
        <v>-300</v>
      </c>
    </row>
    <row r="5" spans="1:61" s="106" customFormat="1" x14ac:dyDescent="0.15">
      <c r="A5" s="91"/>
      <c r="B5" s="92" t="s">
        <v>237</v>
      </c>
      <c r="C5" s="93">
        <v>0</v>
      </c>
      <c r="D5" s="94">
        <v>1.3</v>
      </c>
      <c r="E5" s="95">
        <v>164</v>
      </c>
      <c r="F5" s="96"/>
      <c r="G5" s="96"/>
      <c r="H5" s="97"/>
      <c r="I5" s="97"/>
      <c r="J5" s="97"/>
      <c r="K5" s="97"/>
      <c r="L5" s="97"/>
      <c r="M5" s="97"/>
      <c r="N5" s="97"/>
      <c r="O5" s="97"/>
      <c r="P5" s="97"/>
      <c r="Q5" s="96"/>
      <c r="R5" s="97">
        <v>272</v>
      </c>
      <c r="S5" s="96">
        <v>149</v>
      </c>
      <c r="T5" s="93">
        <f t="shared" ref="T5:T10" si="0">IF(R5&gt;0.9,SUM(R5:S5),"")</f>
        <v>421</v>
      </c>
      <c r="U5" s="93">
        <v>0</v>
      </c>
      <c r="V5" s="101" t="str">
        <f t="shared" ref="V5:V10" si="1">IF(U5&gt;0.9,(IF(R5&gt;S5,U5/S5,U5/R5)),"")</f>
        <v/>
      </c>
      <c r="W5" s="102">
        <v>66.5</v>
      </c>
      <c r="X5" s="103">
        <v>39.6</v>
      </c>
      <c r="Y5" s="104">
        <f t="shared" ref="Y5:Y16" si="2">IF(W5&gt;1,(IF(R5&gt;1,(IF(R5&gt;S5,(IF((R5/S5)&lt;5,AVERAGE(W5:X5),"")),IF(R5&lt;S5,(IF((S5/R5)&lt;5,AVERAGE(W5:X5),""))))),"")),"")</f>
        <v>53.05</v>
      </c>
      <c r="AH5" s="147"/>
      <c r="AI5" s="147"/>
      <c r="AJ5" s="149"/>
      <c r="AK5" s="235"/>
      <c r="AL5" s="235"/>
      <c r="AM5" s="149"/>
      <c r="AN5" s="96"/>
      <c r="AO5" s="96"/>
      <c r="AP5" s="97"/>
      <c r="AQ5" s="97"/>
    </row>
    <row r="6" spans="1:61" s="106" customFormat="1" x14ac:dyDescent="0.15">
      <c r="A6" s="91"/>
      <c r="B6" s="92" t="s">
        <v>238</v>
      </c>
      <c r="C6" s="93">
        <v>0</v>
      </c>
      <c r="D6" s="94">
        <v>1.3</v>
      </c>
      <c r="E6" s="95">
        <v>503</v>
      </c>
      <c r="F6" s="96"/>
      <c r="G6" s="96"/>
      <c r="H6" s="97"/>
      <c r="I6" s="97"/>
      <c r="J6" s="97"/>
      <c r="K6" s="97"/>
      <c r="L6" s="97"/>
      <c r="M6" s="97"/>
      <c r="N6" s="97"/>
      <c r="O6" s="97"/>
      <c r="P6" s="97"/>
      <c r="Q6" s="96"/>
      <c r="R6" s="97">
        <v>184</v>
      </c>
      <c r="S6" s="96">
        <v>91</v>
      </c>
      <c r="T6" s="93">
        <f t="shared" si="0"/>
        <v>275</v>
      </c>
      <c r="U6" s="93">
        <v>0</v>
      </c>
      <c r="V6" s="101" t="str">
        <f t="shared" si="1"/>
        <v/>
      </c>
      <c r="W6" s="102">
        <v>84.2</v>
      </c>
      <c r="X6" s="103">
        <v>68.099999999999994</v>
      </c>
      <c r="Y6" s="104">
        <f t="shared" si="2"/>
        <v>76.150000000000006</v>
      </c>
      <c r="AH6" s="147"/>
      <c r="AI6" s="147"/>
      <c r="AJ6" s="149"/>
      <c r="AK6" s="235"/>
      <c r="AL6" s="235"/>
      <c r="AM6" s="149"/>
      <c r="AN6" s="96"/>
      <c r="AO6" s="96"/>
      <c r="AP6" s="97"/>
      <c r="AQ6" s="97"/>
    </row>
    <row r="7" spans="1:61" s="106" customFormat="1" x14ac:dyDescent="0.15">
      <c r="A7" s="91"/>
      <c r="B7" s="92" t="s">
        <v>239</v>
      </c>
      <c r="C7" s="93">
        <v>0</v>
      </c>
      <c r="D7" s="94">
        <v>1.3</v>
      </c>
      <c r="E7" s="95">
        <v>782</v>
      </c>
      <c r="F7" s="96"/>
      <c r="G7" s="96"/>
      <c r="H7" s="97"/>
      <c r="I7" s="97"/>
      <c r="J7" s="97"/>
      <c r="K7" s="97"/>
      <c r="L7" s="97"/>
      <c r="M7" s="97"/>
      <c r="N7" s="97"/>
      <c r="O7" s="97"/>
      <c r="P7" s="97"/>
      <c r="Q7" s="96"/>
      <c r="R7" s="97">
        <f>777+U7</f>
        <v>778</v>
      </c>
      <c r="S7" s="96">
        <f>289+U7</f>
        <v>290</v>
      </c>
      <c r="T7" s="93">
        <f t="shared" si="0"/>
        <v>1068</v>
      </c>
      <c r="U7" s="93">
        <v>1</v>
      </c>
      <c r="V7" s="101">
        <f t="shared" si="1"/>
        <v>3.4482758620689655E-3</v>
      </c>
      <c r="W7" s="102">
        <v>90.3</v>
      </c>
      <c r="X7" s="103">
        <v>74</v>
      </c>
      <c r="Y7" s="104">
        <f t="shared" si="2"/>
        <v>82.15</v>
      </c>
      <c r="AH7" s="147"/>
      <c r="AI7" s="147"/>
      <c r="AJ7" s="149"/>
      <c r="AK7" s="235"/>
      <c r="AL7" s="235"/>
      <c r="AM7" s="149"/>
      <c r="AN7" s="96"/>
      <c r="AO7" s="96"/>
      <c r="AP7" s="97"/>
      <c r="AQ7" s="97"/>
    </row>
    <row r="8" spans="1:61" s="327" customFormat="1" x14ac:dyDescent="0.15">
      <c r="A8" s="331"/>
      <c r="B8" s="317" t="s">
        <v>240</v>
      </c>
      <c r="C8" s="318">
        <v>0</v>
      </c>
      <c r="D8" s="319">
        <v>1.3</v>
      </c>
      <c r="E8" s="332">
        <v>310</v>
      </c>
      <c r="F8" s="32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1"/>
      <c r="R8" s="322">
        <v>402</v>
      </c>
      <c r="S8" s="321">
        <v>39</v>
      </c>
      <c r="T8" s="318">
        <f t="shared" si="0"/>
        <v>441</v>
      </c>
      <c r="U8" s="318">
        <v>0</v>
      </c>
      <c r="V8" s="323" t="str">
        <f t="shared" si="1"/>
        <v/>
      </c>
      <c r="W8" s="324">
        <v>94</v>
      </c>
      <c r="X8" s="325">
        <v>28.2</v>
      </c>
      <c r="Y8" s="326">
        <v>61</v>
      </c>
      <c r="AH8" s="328"/>
      <c r="AI8" s="328"/>
      <c r="AJ8" s="329"/>
      <c r="AK8" s="330"/>
      <c r="AL8" s="330"/>
      <c r="AM8" s="329"/>
      <c r="AN8" s="321"/>
      <c r="AO8" s="321"/>
      <c r="AP8" s="322"/>
      <c r="AQ8" s="322"/>
    </row>
    <row r="9" spans="1:61" s="327" customFormat="1" x14ac:dyDescent="0.15">
      <c r="A9" s="331"/>
      <c r="B9" s="317" t="s">
        <v>241</v>
      </c>
      <c r="C9" s="318">
        <v>0</v>
      </c>
      <c r="D9" s="319">
        <v>1.3</v>
      </c>
      <c r="E9" s="332">
        <v>240</v>
      </c>
      <c r="F9" s="32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1"/>
      <c r="R9" s="322">
        <v>429</v>
      </c>
      <c r="S9" s="321">
        <v>52</v>
      </c>
      <c r="T9" s="318">
        <f t="shared" si="0"/>
        <v>481</v>
      </c>
      <c r="U9" s="318">
        <v>0</v>
      </c>
      <c r="V9" s="323" t="str">
        <f t="shared" si="1"/>
        <v/>
      </c>
      <c r="W9" s="324">
        <v>96.7</v>
      </c>
      <c r="X9" s="325">
        <v>67.3</v>
      </c>
      <c r="Y9" s="326">
        <v>59</v>
      </c>
      <c r="AH9" s="328"/>
      <c r="AI9" s="328"/>
      <c r="AJ9" s="329"/>
      <c r="AK9" s="330"/>
      <c r="AL9" s="330"/>
      <c r="AM9" s="329"/>
      <c r="AN9" s="321"/>
      <c r="AO9" s="321"/>
      <c r="AP9" s="322"/>
      <c r="AQ9" s="322"/>
    </row>
    <row r="10" spans="1:61" s="327" customFormat="1" x14ac:dyDescent="0.15">
      <c r="A10" s="331"/>
      <c r="B10" s="317" t="s">
        <v>242</v>
      </c>
      <c r="C10" s="318">
        <v>0</v>
      </c>
      <c r="D10" s="319">
        <v>1.3</v>
      </c>
      <c r="E10" s="320">
        <v>505</v>
      </c>
      <c r="F10" s="32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1"/>
      <c r="R10" s="322">
        <v>406</v>
      </c>
      <c r="S10" s="321">
        <v>317</v>
      </c>
      <c r="T10" s="318">
        <f t="shared" si="0"/>
        <v>723</v>
      </c>
      <c r="U10" s="318">
        <v>0</v>
      </c>
      <c r="V10" s="323" t="str">
        <f t="shared" si="1"/>
        <v/>
      </c>
      <c r="W10" s="324">
        <v>84.7</v>
      </c>
      <c r="X10" s="325">
        <v>82</v>
      </c>
      <c r="Y10" s="334">
        <f t="shared" si="2"/>
        <v>83.35</v>
      </c>
      <c r="AH10" s="328"/>
      <c r="AI10" s="328"/>
      <c r="AJ10" s="329"/>
      <c r="AK10" s="330"/>
      <c r="AL10" s="330"/>
      <c r="AM10" s="329"/>
      <c r="AN10" s="321"/>
      <c r="AO10" s="321"/>
      <c r="AP10" s="322"/>
      <c r="AQ10" s="322"/>
    </row>
    <row r="11" spans="1:61" s="106" customFormat="1" x14ac:dyDescent="0.15">
      <c r="A11" s="92"/>
      <c r="B11" s="92" t="s">
        <v>243</v>
      </c>
      <c r="C11" s="93">
        <v>0</v>
      </c>
      <c r="D11" s="94">
        <v>1.3</v>
      </c>
      <c r="E11" s="95">
        <v>1069</v>
      </c>
      <c r="F11" s="96"/>
      <c r="G11" s="96"/>
      <c r="H11" s="97"/>
      <c r="I11" s="97"/>
      <c r="J11" s="97"/>
      <c r="K11" s="97"/>
      <c r="L11" s="97"/>
      <c r="M11" s="97"/>
      <c r="N11" s="97"/>
      <c r="O11" s="97"/>
      <c r="P11" s="97"/>
      <c r="Q11" s="96"/>
      <c r="R11" s="97">
        <v>280</v>
      </c>
      <c r="S11" s="96">
        <v>304</v>
      </c>
      <c r="T11" s="93">
        <f>IF(R11&gt;0.9,SUM(R11:S11),"")</f>
        <v>584</v>
      </c>
      <c r="U11" s="93">
        <v>0</v>
      </c>
      <c r="V11" s="101" t="str">
        <f>IF(U11&gt;0.9,(IF(R11&gt;S11,U11/S11,U11/R11)),"")</f>
        <v/>
      </c>
      <c r="W11" s="102">
        <v>88.2</v>
      </c>
      <c r="X11" s="103">
        <v>86.5</v>
      </c>
      <c r="Y11" s="104">
        <f t="shared" si="2"/>
        <v>87.35</v>
      </c>
      <c r="AH11" s="147"/>
      <c r="AI11" s="147"/>
      <c r="AJ11" s="149"/>
      <c r="AK11" s="235"/>
      <c r="AL11" s="235"/>
      <c r="AM11" s="149"/>
      <c r="AN11" s="96"/>
      <c r="AO11" s="96"/>
      <c r="AP11" s="97"/>
      <c r="AQ11" s="97"/>
    </row>
    <row r="12" spans="1:61" s="106" customFormat="1" x14ac:dyDescent="0.15">
      <c r="A12" s="91"/>
      <c r="B12" s="92" t="s">
        <v>407</v>
      </c>
      <c r="C12" s="93"/>
      <c r="D12" s="94"/>
      <c r="E12" s="95">
        <v>470</v>
      </c>
      <c r="F12" s="96"/>
      <c r="G12" s="96"/>
      <c r="H12" s="97"/>
      <c r="I12" s="97"/>
      <c r="J12" s="97"/>
      <c r="K12" s="97"/>
      <c r="L12" s="97"/>
      <c r="M12" s="97"/>
      <c r="N12" s="97"/>
      <c r="O12" s="97"/>
      <c r="P12" s="97"/>
      <c r="Q12" s="96"/>
      <c r="R12" s="97">
        <v>503</v>
      </c>
      <c r="S12" s="96">
        <v>84</v>
      </c>
      <c r="T12" s="93">
        <f>IF(R12&gt;0.9,SUM(R12:S12),"")</f>
        <v>587</v>
      </c>
      <c r="U12" s="93"/>
      <c r="V12" s="101"/>
      <c r="W12" s="102">
        <v>92</v>
      </c>
      <c r="X12" s="103">
        <v>48.8</v>
      </c>
      <c r="Y12" s="104">
        <f>AVERAGE(W12:X12)</f>
        <v>70.400000000000006</v>
      </c>
      <c r="AH12" s="147"/>
      <c r="AI12" s="147"/>
      <c r="AJ12" s="149"/>
      <c r="AK12" s="235"/>
      <c r="AL12" s="235"/>
      <c r="AM12" s="149"/>
      <c r="AN12" s="96"/>
      <c r="AO12" s="96"/>
      <c r="AP12" s="97"/>
      <c r="AQ12" s="97"/>
    </row>
    <row r="13" spans="1:61" s="499" customFormat="1" x14ac:dyDescent="0.15">
      <c r="A13" s="485"/>
      <c r="B13" s="486" t="s">
        <v>408</v>
      </c>
      <c r="C13" s="487"/>
      <c r="D13" s="488"/>
      <c r="E13" s="489">
        <v>979</v>
      </c>
      <c r="F13" s="490"/>
      <c r="G13" s="490"/>
      <c r="H13" s="491"/>
      <c r="I13" s="491"/>
      <c r="J13" s="491"/>
      <c r="K13" s="491"/>
      <c r="L13" s="491"/>
      <c r="M13" s="491"/>
      <c r="N13" s="491"/>
      <c r="O13" s="491"/>
      <c r="P13" s="491"/>
      <c r="Q13" s="490"/>
      <c r="R13" s="491">
        <v>218</v>
      </c>
      <c r="S13" s="490">
        <v>275</v>
      </c>
      <c r="T13" s="487">
        <f>IF(R13&gt;0.9,SUM(R13:S13),"")</f>
        <v>493</v>
      </c>
      <c r="U13" s="487"/>
      <c r="V13" s="495"/>
      <c r="W13" s="496">
        <v>92.7</v>
      </c>
      <c r="X13" s="497">
        <v>93.8</v>
      </c>
      <c r="Y13" s="498">
        <f t="shared" si="2"/>
        <v>93.25</v>
      </c>
      <c r="AH13" s="506"/>
      <c r="AI13" s="506"/>
      <c r="AJ13" s="507"/>
      <c r="AK13" s="508"/>
      <c r="AL13" s="508"/>
      <c r="AM13" s="507"/>
      <c r="AN13" s="490"/>
      <c r="AO13" s="490"/>
      <c r="AP13" s="491"/>
      <c r="AQ13" s="491"/>
    </row>
    <row r="14" spans="1:61" s="106" customFormat="1" x14ac:dyDescent="0.15">
      <c r="A14" s="91"/>
      <c r="B14" s="92" t="s">
        <v>409</v>
      </c>
      <c r="C14" s="93"/>
      <c r="D14" s="94"/>
      <c r="E14" s="95">
        <v>1210</v>
      </c>
      <c r="F14" s="96"/>
      <c r="G14" s="96"/>
      <c r="H14" s="97"/>
      <c r="I14" s="97"/>
      <c r="J14" s="97"/>
      <c r="K14" s="97"/>
      <c r="L14" s="97"/>
      <c r="M14" s="97"/>
      <c r="N14" s="97"/>
      <c r="O14" s="97"/>
      <c r="P14" s="97"/>
      <c r="Q14" s="96"/>
      <c r="R14" s="97">
        <v>242</v>
      </c>
      <c r="S14" s="96">
        <v>28</v>
      </c>
      <c r="T14" s="93">
        <f>IF(R14&gt;0.9,SUM(R14:S14),"")</f>
        <v>270</v>
      </c>
      <c r="U14" s="93">
        <v>0</v>
      </c>
      <c r="V14" s="101"/>
      <c r="W14" s="102">
        <v>99.5</v>
      </c>
      <c r="X14" s="103">
        <v>89.3</v>
      </c>
      <c r="Y14" s="104">
        <f>AVERAGE(W14:X14)</f>
        <v>94.4</v>
      </c>
      <c r="AH14" s="147"/>
      <c r="AI14" s="147"/>
      <c r="AJ14" s="149"/>
      <c r="AK14" s="235"/>
      <c r="AL14" s="235"/>
      <c r="AM14" s="149"/>
      <c r="AN14" s="96"/>
      <c r="AO14" s="96"/>
      <c r="AP14" s="97"/>
      <c r="AQ14" s="97"/>
    </row>
    <row r="15" spans="1:61" s="106" customFormat="1" x14ac:dyDescent="0.15">
      <c r="A15" s="91"/>
      <c r="B15" s="92"/>
      <c r="C15" s="93"/>
      <c r="D15" s="94"/>
      <c r="E15" s="95"/>
      <c r="F15" s="96"/>
      <c r="G15" s="96"/>
      <c r="H15" s="97"/>
      <c r="I15" s="97"/>
      <c r="J15" s="97"/>
      <c r="K15" s="97"/>
      <c r="L15" s="97"/>
      <c r="M15" s="97"/>
      <c r="N15" s="97"/>
      <c r="O15" s="97"/>
      <c r="P15" s="97"/>
      <c r="Q15" s="96"/>
      <c r="R15" s="97"/>
      <c r="S15" s="96"/>
      <c r="T15" s="93"/>
      <c r="U15" s="93"/>
      <c r="V15" s="101"/>
      <c r="W15" s="102"/>
      <c r="X15" s="103"/>
      <c r="Y15" s="104" t="str">
        <f t="shared" si="2"/>
        <v/>
      </c>
      <c r="AH15" s="147"/>
      <c r="AI15" s="147"/>
      <c r="AJ15" s="149"/>
      <c r="AK15" s="235"/>
      <c r="AL15" s="235"/>
      <c r="AM15" s="149"/>
      <c r="AN15" s="96"/>
      <c r="AO15" s="96"/>
      <c r="AP15" s="97"/>
      <c r="AQ15" s="97"/>
    </row>
    <row r="16" spans="1:61" s="137" customFormat="1" x14ac:dyDescent="0.15">
      <c r="A16" s="91">
        <f>COUNT(D4:D15)</f>
        <v>8</v>
      </c>
      <c r="C16" s="93"/>
      <c r="D16" s="94"/>
      <c r="E16" s="134"/>
      <c r="F16" s="135"/>
      <c r="G16" s="135"/>
      <c r="H16" s="136"/>
      <c r="I16" s="136"/>
      <c r="J16" s="136"/>
      <c r="K16" s="136"/>
      <c r="L16" s="136"/>
      <c r="M16" s="136"/>
      <c r="N16" s="136"/>
      <c r="O16" s="136"/>
      <c r="P16" s="136"/>
      <c r="Q16" s="135"/>
      <c r="Y16" s="104" t="str">
        <f t="shared" si="2"/>
        <v/>
      </c>
    </row>
    <row r="17" spans="1:43" s="70" customFormat="1" x14ac:dyDescent="0.15">
      <c r="A17" s="114" t="s">
        <v>244</v>
      </c>
      <c r="B17" s="70">
        <f>STDEV(D4:D15)</f>
        <v>0.10606601717798217</v>
      </c>
      <c r="D17" s="82">
        <f>AVERAGE(D4:D15)</f>
        <v>1.3375000000000001</v>
      </c>
      <c r="E17" s="82">
        <f>AVERAGE(E4:E16)</f>
        <v>606.5454545454545</v>
      </c>
      <c r="F17" s="73">
        <f>STDEV(E4:E16)</f>
        <v>351.15306168004957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>
        <f>AVERAGE(R4:R15)</f>
        <v>412</v>
      </c>
      <c r="S17" s="73">
        <f>AVERAGE(S4:S15)</f>
        <v>175.27272727272728</v>
      </c>
      <c r="T17" s="73">
        <f>SUM(R17:S17)</f>
        <v>587.27272727272725</v>
      </c>
      <c r="U17" s="73">
        <f>AVERAGE(U4:U15)</f>
        <v>0.66666666666666663</v>
      </c>
      <c r="V17" s="133">
        <f>AVERAGE(V4:V15)</f>
        <v>1.0085341944412409E-2</v>
      </c>
      <c r="Y17" s="82">
        <f>AVERAGE(Y4:Y16)</f>
        <v>75.463636363636368</v>
      </c>
      <c r="Z17" s="83">
        <f>STDEV(Y4:Y16)</f>
        <v>14.0061074340641</v>
      </c>
      <c r="AA17" s="82"/>
      <c r="AF17" s="70">
        <v>1</v>
      </c>
      <c r="AG17" s="70" t="e">
        <f t="shared" ref="AG17:AM17" si="3">AVERAGE("#REF!)")</f>
        <v>#VALUE!</v>
      </c>
      <c r="AH17" s="215" t="e">
        <f t="shared" si="3"/>
        <v>#VALUE!</v>
      </c>
      <c r="AI17" s="215" t="e">
        <f t="shared" si="3"/>
        <v>#VALUE!</v>
      </c>
      <c r="AJ17" s="215" t="e">
        <f t="shared" si="3"/>
        <v>#VALUE!</v>
      </c>
      <c r="AK17" s="215" t="e">
        <f t="shared" si="3"/>
        <v>#VALUE!</v>
      </c>
      <c r="AL17" s="215" t="e">
        <f t="shared" si="3"/>
        <v>#VALUE!</v>
      </c>
      <c r="AM17" s="215" t="e">
        <f t="shared" si="3"/>
        <v>#VALUE!</v>
      </c>
      <c r="AN17" s="73"/>
      <c r="AO17" s="73"/>
      <c r="AP17" s="73"/>
      <c r="AQ17" s="73"/>
    </row>
    <row r="18" spans="1:43" x14ac:dyDescent="0.15">
      <c r="A18" s="117" t="s">
        <v>245</v>
      </c>
      <c r="B18" s="129" t="s">
        <v>246</v>
      </c>
      <c r="C18" s="4">
        <v>2</v>
      </c>
      <c r="E18" s="236"/>
      <c r="F18" s="15"/>
      <c r="G18" s="15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4"/>
      <c r="S18" s="15"/>
      <c r="T18" s="93" t="str">
        <f>IF(R18&gt;0.9,SUM(R18:S18),"")</f>
        <v/>
      </c>
      <c r="U18" s="237"/>
      <c r="V18" s="101" t="str">
        <f t="shared" ref="V18:V33" si="4">IF(U18&gt;0.9,(IF(R18&gt;S18,U18/S18,U18/R18)),"")</f>
        <v/>
      </c>
      <c r="W18" s="9"/>
      <c r="X18" s="10"/>
      <c r="Y18" s="104" t="str">
        <f>IF(W18&gt;1,(IF(R18&gt;1,(IF(R18&gt;S18,(IF((R18/S18)&lt;5,AVERAGE(W18:X18),"")),IF(R18&lt;S18,(IF((S18/R18)&lt;5,AVERAGE(W18:X18),""))))),"")),"")</f>
        <v/>
      </c>
      <c r="AG18" s="105">
        <v>14.005699999999999</v>
      </c>
      <c r="AH18" s="107">
        <f>(AG18-1.4146)/AG18</f>
        <v>0.89899826499211033</v>
      </c>
      <c r="AI18" s="107">
        <f>7.378/AG18</f>
        <v>0.52678552303704929</v>
      </c>
      <c r="AJ18" s="107">
        <f>0.692/AG18</f>
        <v>4.9408455128983196E-2</v>
      </c>
      <c r="AK18" s="108">
        <f>9.8965/AG18</f>
        <v>0.70660516789592809</v>
      </c>
      <c r="AL18" s="108">
        <f>4.6875/AG18</f>
        <v>0.33468516389755604</v>
      </c>
      <c r="AM18" s="108">
        <f>3.3005/AG18</f>
        <v>0.23565405513469517</v>
      </c>
    </row>
    <row r="19" spans="1:43" x14ac:dyDescent="0.15">
      <c r="A19" s="123"/>
      <c r="B19" s="19" t="s">
        <v>247</v>
      </c>
      <c r="C19" s="4">
        <v>2</v>
      </c>
      <c r="E19" s="118">
        <v>900</v>
      </c>
      <c r="F19" s="15"/>
      <c r="G19" s="15"/>
      <c r="H19" s="14"/>
      <c r="I19" s="14"/>
      <c r="J19" s="14"/>
      <c r="K19" s="14"/>
      <c r="L19" s="14"/>
      <c r="M19" s="14"/>
      <c r="N19" s="14"/>
      <c r="O19" s="14"/>
      <c r="P19" s="14"/>
      <c r="Q19" s="15"/>
      <c r="R19" s="14">
        <v>279</v>
      </c>
      <c r="S19" s="15">
        <v>356</v>
      </c>
      <c r="T19" s="93">
        <f t="shared" ref="T19:T33" si="5">IF(R19&gt;1,SUM(R19:S19),"")</f>
        <v>635</v>
      </c>
      <c r="U19" s="4">
        <v>0</v>
      </c>
      <c r="V19" s="101" t="str">
        <f t="shared" si="4"/>
        <v/>
      </c>
      <c r="W19" s="9">
        <v>67</v>
      </c>
      <c r="X19" s="10">
        <v>73</v>
      </c>
      <c r="Y19" s="104">
        <f t="shared" ref="Y19:Y35" si="6">IF(W19&gt;1,(IF(R19&gt;1,(IF(R19&gt;S19,(IF((R19/S19)&lt;5,AVERAGE(W19:X19),"")),IF(R19&lt;S19,(IF((S19/R19)&lt;5,AVERAGE(W19:X19),""))))),"")),"")</f>
        <v>70</v>
      </c>
      <c r="AG19" s="106">
        <v>11.397</v>
      </c>
      <c r="AH19" s="107">
        <f>10.4325/AG19</f>
        <v>0.91537246643853631</v>
      </c>
      <c r="AI19" s="107">
        <f>2.6997/AG19</f>
        <v>0.23687812582258488</v>
      </c>
      <c r="AJ19" s="107">
        <f>0.518/AG19</f>
        <v>4.545055716416601E-2</v>
      </c>
      <c r="AK19" s="108">
        <f>10.2785/AG19</f>
        <v>0.90186013863297354</v>
      </c>
      <c r="AL19" s="108">
        <f>(0.6371+2.1845)/AG19</f>
        <v>0.24757392296218303</v>
      </c>
      <c r="AM19" s="108">
        <f>(0.1584+1.3718)/AG19</f>
        <v>0.13426340264982012</v>
      </c>
    </row>
    <row r="20" spans="1:43" x14ac:dyDescent="0.15">
      <c r="A20" s="123"/>
      <c r="B20" s="19" t="s">
        <v>248</v>
      </c>
      <c r="C20" s="4">
        <v>2</v>
      </c>
      <c r="E20" s="118">
        <v>800</v>
      </c>
      <c r="F20" s="15"/>
      <c r="G20" s="15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4">
        <v>229</v>
      </c>
      <c r="S20" s="15">
        <v>299</v>
      </c>
      <c r="T20" s="93">
        <f t="shared" si="5"/>
        <v>528</v>
      </c>
      <c r="U20" s="4">
        <v>0</v>
      </c>
      <c r="V20" s="101" t="str">
        <f t="shared" si="4"/>
        <v/>
      </c>
      <c r="W20" s="9">
        <v>79</v>
      </c>
      <c r="X20" s="10">
        <v>87</v>
      </c>
      <c r="Y20" s="104">
        <f t="shared" si="6"/>
        <v>83</v>
      </c>
      <c r="AG20" s="106">
        <v>12.494199999999999</v>
      </c>
      <c r="AH20" s="107">
        <f>9.4384/AG20</f>
        <v>0.75542251604744604</v>
      </c>
      <c r="AI20" s="107">
        <f>8.159/AG20</f>
        <v>0.65302300267324043</v>
      </c>
      <c r="AJ20" s="107">
        <f>0.3717/AG20</f>
        <v>2.9749803909013783E-2</v>
      </c>
      <c r="AK20" s="108">
        <f>(AG20-0.8795)/AG20</f>
        <v>0.92960733780474136</v>
      </c>
      <c r="AL20" s="108">
        <f>5.335/AG20</f>
        <v>0.42699812713098878</v>
      </c>
      <c r="AM20" s="108">
        <f>0.252/AG20</f>
        <v>2.0169358582382228E-2</v>
      </c>
    </row>
    <row r="21" spans="1:43" s="335" customFormat="1" x14ac:dyDescent="0.15">
      <c r="A21" s="333" t="s">
        <v>249</v>
      </c>
      <c r="B21" s="317" t="s">
        <v>250</v>
      </c>
      <c r="C21" s="318">
        <v>2</v>
      </c>
      <c r="D21" s="319"/>
      <c r="E21" s="332">
        <v>750</v>
      </c>
      <c r="F21" s="321"/>
      <c r="G21" s="321"/>
      <c r="H21" s="322"/>
      <c r="I21" s="322"/>
      <c r="J21" s="322"/>
      <c r="K21" s="322"/>
      <c r="L21" s="322"/>
      <c r="M21" s="322"/>
      <c r="N21" s="322"/>
      <c r="O21" s="322"/>
      <c r="P21" s="322"/>
      <c r="Q21" s="321"/>
      <c r="R21" s="322">
        <v>167</v>
      </c>
      <c r="S21" s="321">
        <v>90</v>
      </c>
      <c r="T21" s="318">
        <f t="shared" si="5"/>
        <v>257</v>
      </c>
      <c r="U21" s="318">
        <v>0</v>
      </c>
      <c r="V21" s="323" t="str">
        <f t="shared" si="4"/>
        <v/>
      </c>
      <c r="W21" s="324">
        <v>91.6</v>
      </c>
      <c r="X21" s="325">
        <v>81.099999999999994</v>
      </c>
      <c r="Y21" s="334">
        <f t="shared" si="6"/>
        <v>86.35</v>
      </c>
      <c r="AG21" s="327">
        <v>10.388999999999999</v>
      </c>
      <c r="AH21" s="336">
        <f>(AG21-2.0789)/AG21</f>
        <v>0.79989411877947825</v>
      </c>
      <c r="AI21" s="336">
        <f>3.344/AG21</f>
        <v>0.32187891038598521</v>
      </c>
      <c r="AJ21" s="336">
        <f>0.94/AG21</f>
        <v>9.0480315718548462E-2</v>
      </c>
      <c r="AK21" s="337">
        <f>(AG21-3.2151)/AG21</f>
        <v>0.69052844354605836</v>
      </c>
      <c r="AL21" s="337">
        <f>4.662/AG21</f>
        <v>0.44874386370199254</v>
      </c>
      <c r="AM21" s="337">
        <f>1.105/AG21</f>
        <v>0.10636249879680432</v>
      </c>
    </row>
    <row r="22" spans="1:43" s="335" customFormat="1" x14ac:dyDescent="0.15">
      <c r="A22" s="333"/>
      <c r="B22" s="317" t="s">
        <v>251</v>
      </c>
      <c r="C22" s="318">
        <v>2</v>
      </c>
      <c r="D22" s="319"/>
      <c r="E22" s="320">
        <v>600</v>
      </c>
      <c r="F22" s="321"/>
      <c r="G22" s="321"/>
      <c r="H22" s="322"/>
      <c r="I22" s="322"/>
      <c r="J22" s="322"/>
      <c r="K22" s="322"/>
      <c r="L22" s="322"/>
      <c r="M22" s="322"/>
      <c r="N22" s="322"/>
      <c r="O22" s="322"/>
      <c r="P22" s="322"/>
      <c r="Q22" s="321"/>
      <c r="R22" s="322">
        <v>1023</v>
      </c>
      <c r="S22" s="321">
        <v>1221</v>
      </c>
      <c r="T22" s="318">
        <f t="shared" si="5"/>
        <v>2244</v>
      </c>
      <c r="U22" s="318">
        <v>18</v>
      </c>
      <c r="V22" s="323">
        <f t="shared" si="4"/>
        <v>1.7595307917888565E-2</v>
      </c>
      <c r="W22" s="324">
        <v>56.9</v>
      </c>
      <c r="X22" s="325">
        <v>62.3</v>
      </c>
      <c r="Y22" s="334">
        <f t="shared" si="6"/>
        <v>59.599999999999994</v>
      </c>
      <c r="AG22" s="327">
        <v>42.783299999999997</v>
      </c>
      <c r="AH22" s="336">
        <f>40.3417/AG22</f>
        <v>0.94293100345228176</v>
      </c>
      <c r="AI22" s="336">
        <f>11.2069/AG22</f>
        <v>0.26194566571536088</v>
      </c>
      <c r="AJ22" s="336">
        <f>4.0475/AG22</f>
        <v>9.4604670513962236E-2</v>
      </c>
      <c r="AK22" s="337">
        <f>37.3492/AG22</f>
        <v>0.87298548732799963</v>
      </c>
      <c r="AL22" s="337">
        <f>(2.3151+8.1004)/AG22</f>
        <v>0.2434477938821924</v>
      </c>
      <c r="AM22" s="337">
        <f>(0.5521+5.038)/AG22</f>
        <v>0.13066079521682528</v>
      </c>
    </row>
    <row r="23" spans="1:43" x14ac:dyDescent="0.15">
      <c r="A23" s="123"/>
      <c r="B23" s="19" t="s">
        <v>252</v>
      </c>
      <c r="C23" s="4">
        <v>2</v>
      </c>
      <c r="E23" s="118">
        <v>400</v>
      </c>
      <c r="F23" s="15"/>
      <c r="G23" s="15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4">
        <v>1072</v>
      </c>
      <c r="S23" s="15">
        <v>891</v>
      </c>
      <c r="T23" s="93">
        <f t="shared" si="5"/>
        <v>1963</v>
      </c>
      <c r="U23" s="4">
        <v>193</v>
      </c>
      <c r="V23" s="101">
        <f t="shared" si="4"/>
        <v>0.21661054994388329</v>
      </c>
      <c r="W23" s="9">
        <v>57</v>
      </c>
      <c r="X23" s="10">
        <v>49.5</v>
      </c>
      <c r="Y23" s="104">
        <f t="shared" si="6"/>
        <v>53.25</v>
      </c>
      <c r="AG23" s="106">
        <v>10.3942</v>
      </c>
      <c r="AH23" s="107">
        <f>9.6828/AG23</f>
        <v>0.931557984260453</v>
      </c>
      <c r="AI23" s="107">
        <f>4.58/AG23</f>
        <v>0.44063035154220626</v>
      </c>
      <c r="AJ23" s="107">
        <f>1.0971/AG23</f>
        <v>0.10554924861942237</v>
      </c>
      <c r="AK23" s="108">
        <f>8.9068/AG23</f>
        <v>0.8569009639991535</v>
      </c>
      <c r="AL23" s="108">
        <f>4.386/AG23</f>
        <v>0.42196609647688138</v>
      </c>
      <c r="AM23" s="108">
        <f>(0.0581+1.1893+0.3257)/AG23</f>
        <v>0.15134401877970408</v>
      </c>
    </row>
    <row r="24" spans="1:43" x14ac:dyDescent="0.15">
      <c r="A24" s="123"/>
      <c r="B24" s="19" t="s">
        <v>253</v>
      </c>
      <c r="C24" s="4">
        <v>2</v>
      </c>
      <c r="E24" s="118">
        <v>300</v>
      </c>
      <c r="F24" s="15"/>
      <c r="G24" s="15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4">
        <v>566</v>
      </c>
      <c r="S24" s="15">
        <v>1174</v>
      </c>
      <c r="T24" s="93">
        <f t="shared" si="5"/>
        <v>1740</v>
      </c>
      <c r="U24" s="4">
        <v>216</v>
      </c>
      <c r="V24" s="101">
        <f t="shared" si="4"/>
        <v>0.38162544169611307</v>
      </c>
      <c r="W24" s="9">
        <v>35.200000000000003</v>
      </c>
      <c r="X24" s="10">
        <v>62.6</v>
      </c>
      <c r="Y24" s="104">
        <f t="shared" si="6"/>
        <v>48.900000000000006</v>
      </c>
      <c r="AG24" s="106">
        <v>12.328099999999999</v>
      </c>
      <c r="AH24" s="107">
        <f>11.5974/AG24</f>
        <v>0.94072890388624375</v>
      </c>
      <c r="AI24" s="107">
        <f>7.5635/AG24</f>
        <v>0.61351708698015106</v>
      </c>
      <c r="AJ24" s="107">
        <f>0.50195/AG24</f>
        <v>4.071592540618587E-2</v>
      </c>
      <c r="AK24" s="108">
        <f>10.0847/AG24</f>
        <v>0.81802548649021345</v>
      </c>
      <c r="AL24" s="108">
        <f>2.8629/AG24</f>
        <v>0.23222556598340377</v>
      </c>
      <c r="AM24" s="108">
        <f>0.208/AG24</f>
        <v>1.6872024075080507E-2</v>
      </c>
    </row>
    <row r="25" spans="1:43" x14ac:dyDescent="0.15">
      <c r="A25" s="123"/>
      <c r="B25" s="19" t="s">
        <v>254</v>
      </c>
      <c r="C25" s="4">
        <v>2</v>
      </c>
      <c r="E25" s="118">
        <v>400</v>
      </c>
      <c r="F25" s="15"/>
      <c r="G25" s="15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s="14">
        <v>627</v>
      </c>
      <c r="S25" s="15">
        <v>150</v>
      </c>
      <c r="T25" s="93">
        <f t="shared" si="5"/>
        <v>777</v>
      </c>
      <c r="U25" s="4">
        <v>4</v>
      </c>
      <c r="V25" s="101">
        <f t="shared" si="4"/>
        <v>2.6666666666666668E-2</v>
      </c>
      <c r="W25" s="9">
        <v>80.099999999999994</v>
      </c>
      <c r="X25" s="10">
        <v>20.5</v>
      </c>
      <c r="Y25" s="104">
        <f t="shared" si="6"/>
        <v>50.3</v>
      </c>
      <c r="AG25" s="106">
        <v>10.7447</v>
      </c>
      <c r="AH25" s="107">
        <f>6.36/AG25</f>
        <v>0.59191973717274571</v>
      </c>
      <c r="AI25" s="107">
        <f>5.58/AG25</f>
        <v>0.51932580714212595</v>
      </c>
      <c r="AJ25" s="107"/>
      <c r="AK25" s="108">
        <f>8.8136/AG25</f>
        <v>0.82027418168957711</v>
      </c>
      <c r="AL25" s="108">
        <f>5.2276/AG25</f>
        <v>0.48652824183085613</v>
      </c>
      <c r="AM25" s="108">
        <f>0.5836/AG25</f>
        <v>5.4315150725473958E-2</v>
      </c>
    </row>
    <row r="26" spans="1:43" x14ac:dyDescent="0.15">
      <c r="A26" s="123"/>
      <c r="B26" s="19" t="s">
        <v>255</v>
      </c>
      <c r="C26" s="4">
        <v>2</v>
      </c>
      <c r="E26" s="118">
        <v>400</v>
      </c>
      <c r="F26" s="15"/>
      <c r="G26" s="15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4">
        <v>1456</v>
      </c>
      <c r="S26" s="15">
        <v>259</v>
      </c>
      <c r="T26" s="93">
        <f t="shared" si="5"/>
        <v>1715</v>
      </c>
      <c r="U26" s="4">
        <v>10</v>
      </c>
      <c r="V26" s="101">
        <f t="shared" si="4"/>
        <v>3.8610038610038609E-2</v>
      </c>
      <c r="W26" s="9">
        <v>91.4</v>
      </c>
      <c r="X26" s="10">
        <v>61.2</v>
      </c>
      <c r="Y26" s="104" t="str">
        <f t="shared" si="6"/>
        <v/>
      </c>
      <c r="AG26" s="106">
        <v>10.4953</v>
      </c>
      <c r="AH26" s="107">
        <f>9.4514/AG26</f>
        <v>0.90053643059274147</v>
      </c>
      <c r="AI26" s="107">
        <f>(0.9475+0.0816+0.1622)/AG26</f>
        <v>0.11350795117814641</v>
      </c>
      <c r="AJ26" s="107">
        <f>0.323/AG26</f>
        <v>3.0775680542719123E-2</v>
      </c>
      <c r="AK26" s="108">
        <f>10.1067/AG26</f>
        <v>0.96297390260402271</v>
      </c>
      <c r="AL26" s="108">
        <f>(0.0644+0.2079+7.3623)/AG26</f>
        <v>0.72743037359580009</v>
      </c>
      <c r="AM26" s="108">
        <f>(0.08158+0.29544)/AG26</f>
        <v>3.5922746372185642E-2</v>
      </c>
    </row>
    <row r="27" spans="1:43" x14ac:dyDescent="0.15">
      <c r="A27" s="123"/>
      <c r="B27" s="19" t="s">
        <v>256</v>
      </c>
      <c r="C27" s="4">
        <v>2</v>
      </c>
      <c r="E27" s="118">
        <v>250</v>
      </c>
      <c r="F27" s="15"/>
      <c r="G27" s="15"/>
      <c r="H27" s="14"/>
      <c r="I27" s="14"/>
      <c r="J27" s="14"/>
      <c r="K27" s="14"/>
      <c r="L27" s="14"/>
      <c r="M27" s="14"/>
      <c r="N27" s="14"/>
      <c r="O27" s="14"/>
      <c r="P27" s="14"/>
      <c r="Q27" s="15"/>
      <c r="R27" s="14">
        <v>684</v>
      </c>
      <c r="S27" s="15">
        <v>427</v>
      </c>
      <c r="T27" s="93">
        <f t="shared" si="5"/>
        <v>1111</v>
      </c>
      <c r="U27" s="4">
        <v>18</v>
      </c>
      <c r="V27" s="101">
        <f t="shared" si="4"/>
        <v>4.2154566744730677E-2</v>
      </c>
      <c r="W27" s="9">
        <v>49.15</v>
      </c>
      <c r="X27" s="10">
        <v>45.8</v>
      </c>
      <c r="Y27" s="104">
        <f t="shared" si="6"/>
        <v>47.474999999999994</v>
      </c>
      <c r="AG27" s="106">
        <v>10.789300000000001</v>
      </c>
      <c r="AH27" s="107">
        <f>9.682/AG27</f>
        <v>0.89737054303800989</v>
      </c>
      <c r="AI27" s="107">
        <f>2.9958/AG27</f>
        <v>0.2776639819080014</v>
      </c>
      <c r="AJ27" s="107">
        <f>0.7811/AG27</f>
        <v>7.2395799542138969E-2</v>
      </c>
      <c r="AK27" s="108">
        <f>(AG27-1.65)/AG27</f>
        <v>0.84707070894311953</v>
      </c>
      <c r="AL27" s="108">
        <f>4.4509/AG27</f>
        <v>0.41252907973640546</v>
      </c>
      <c r="AM27" s="108">
        <f>(0.5475+1.3069)/AG27</f>
        <v>0.17187398626416911</v>
      </c>
    </row>
    <row r="28" spans="1:43" x14ac:dyDescent="0.15">
      <c r="A28" s="123"/>
      <c r="B28" s="19" t="s">
        <v>257</v>
      </c>
      <c r="C28" s="4">
        <v>2</v>
      </c>
      <c r="E28" s="118">
        <v>200</v>
      </c>
      <c r="F28" s="15"/>
      <c r="G28" s="15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4">
        <v>671</v>
      </c>
      <c r="S28" s="15">
        <v>352</v>
      </c>
      <c r="T28" s="93">
        <f t="shared" si="5"/>
        <v>1023</v>
      </c>
      <c r="U28" s="4">
        <v>52</v>
      </c>
      <c r="V28" s="101">
        <f t="shared" si="4"/>
        <v>0.14772727272727273</v>
      </c>
      <c r="W28" s="9">
        <v>65.3</v>
      </c>
      <c r="X28" s="10">
        <v>32.4</v>
      </c>
      <c r="Y28" s="104">
        <f t="shared" si="6"/>
        <v>48.849999999999994</v>
      </c>
      <c r="AG28" s="106">
        <v>11.148199999999999</v>
      </c>
      <c r="AH28" s="107">
        <f>9.0941/AG28</f>
        <v>0.81574603971941662</v>
      </c>
      <c r="AI28" s="107">
        <f>1.2425/AG28</f>
        <v>0.11145296998618612</v>
      </c>
      <c r="AJ28" s="107">
        <f>0.1114/AG28</f>
        <v>9.9926445524838089E-3</v>
      </c>
      <c r="AK28" s="108">
        <f>10.2864/AG28</f>
        <v>0.92269604061642252</v>
      </c>
      <c r="AL28" s="108">
        <f>4.442/AG28</f>
        <v>0.39844997398683202</v>
      </c>
      <c r="AM28" s="108">
        <f>0.6783/AG28</f>
        <v>6.0843903051613718E-2</v>
      </c>
    </row>
    <row r="29" spans="1:43" x14ac:dyDescent="0.15">
      <c r="A29" s="123"/>
      <c r="B29" s="19" t="s">
        <v>258</v>
      </c>
      <c r="C29" s="4">
        <v>2</v>
      </c>
      <c r="E29" s="118">
        <v>300</v>
      </c>
      <c r="F29" s="15"/>
      <c r="G29" s="15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4">
        <v>668</v>
      </c>
      <c r="S29" s="15">
        <v>980</v>
      </c>
      <c r="T29" s="93">
        <f t="shared" si="5"/>
        <v>1648</v>
      </c>
      <c r="U29" s="4">
        <v>35</v>
      </c>
      <c r="V29" s="101">
        <f t="shared" si="4"/>
        <v>5.239520958083832E-2</v>
      </c>
      <c r="W29" s="227">
        <v>46.7</v>
      </c>
      <c r="X29" s="238">
        <v>63.1</v>
      </c>
      <c r="Y29" s="104">
        <f t="shared" si="6"/>
        <v>54.900000000000006</v>
      </c>
      <c r="AG29" s="106">
        <v>10.7944</v>
      </c>
      <c r="AH29" s="107">
        <f>(AG29-0.2635)/AG29</f>
        <v>0.97558919439709479</v>
      </c>
      <c r="AI29" s="107">
        <f>4.1883/AG29</f>
        <v>0.38800674423775294</v>
      </c>
      <c r="AJ29" s="107">
        <f>0.18653/AG29</f>
        <v>1.7280256429259618E-2</v>
      </c>
      <c r="AK29" s="108">
        <f>9.1776/AG29</f>
        <v>0.85021863188319868</v>
      </c>
      <c r="AL29" s="108">
        <f>3.0515/AG29</f>
        <v>0.2826928777884829</v>
      </c>
      <c r="AM29" s="108">
        <f>0.2581/AG29</f>
        <v>2.3910546209145483E-2</v>
      </c>
    </row>
    <row r="30" spans="1:43" x14ac:dyDescent="0.15">
      <c r="A30" s="123"/>
      <c r="B30" s="19" t="s">
        <v>259</v>
      </c>
      <c r="C30" s="4">
        <v>2</v>
      </c>
      <c r="E30" s="118">
        <v>300</v>
      </c>
      <c r="F30" s="15"/>
      <c r="G30" s="15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4">
        <v>1152</v>
      </c>
      <c r="S30" s="15">
        <v>606</v>
      </c>
      <c r="T30" s="93">
        <f t="shared" si="5"/>
        <v>1758</v>
      </c>
      <c r="U30" s="4">
        <v>226</v>
      </c>
      <c r="V30" s="101">
        <f t="shared" si="4"/>
        <v>0.37293729372937295</v>
      </c>
      <c r="W30" s="227">
        <v>58.2</v>
      </c>
      <c r="X30" s="238">
        <v>33.700000000000003</v>
      </c>
      <c r="Y30" s="104">
        <f t="shared" si="6"/>
        <v>45.95</v>
      </c>
      <c r="AG30" s="106">
        <v>12.6538</v>
      </c>
      <c r="AH30" s="107">
        <f>11.0418/AG30</f>
        <v>0.87260743808184105</v>
      </c>
      <c r="AI30" s="107">
        <f>4.8872/AG30</f>
        <v>0.386223901120612</v>
      </c>
      <c r="AJ30" s="107">
        <f>0.4452/AG30</f>
        <v>3.5183107050846381E-2</v>
      </c>
      <c r="AK30" s="108">
        <f>12.2047/AG30</f>
        <v>0.96450868513806132</v>
      </c>
      <c r="AL30" s="108">
        <f>5.5928/AG30</f>
        <v>0.44198580663516102</v>
      </c>
      <c r="AM30" s="108">
        <f>0.41898/AG30</f>
        <v>3.3111002228579559E-2</v>
      </c>
    </row>
    <row r="31" spans="1:43" x14ac:dyDescent="0.15">
      <c r="A31" s="123"/>
      <c r="B31" s="19" t="s">
        <v>260</v>
      </c>
      <c r="C31" s="4">
        <v>2</v>
      </c>
      <c r="E31" s="118">
        <v>450</v>
      </c>
      <c r="F31" s="15"/>
      <c r="G31" s="15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4">
        <v>299</v>
      </c>
      <c r="S31" s="15">
        <v>1375</v>
      </c>
      <c r="T31" s="93">
        <f t="shared" si="5"/>
        <v>1674</v>
      </c>
      <c r="U31" s="4">
        <v>15</v>
      </c>
      <c r="V31" s="101">
        <f t="shared" si="4"/>
        <v>5.016722408026756E-2</v>
      </c>
      <c r="W31" s="227">
        <v>29.6</v>
      </c>
      <c r="X31" s="238">
        <v>83.9</v>
      </c>
      <c r="Y31" s="104">
        <f t="shared" si="6"/>
        <v>56.75</v>
      </c>
      <c r="AG31" s="106">
        <v>11.856299999999999</v>
      </c>
      <c r="AH31" s="107">
        <f>11.3021/AG31</f>
        <v>0.95325691826286452</v>
      </c>
      <c r="AI31" s="107">
        <f>5.7518/AG31</f>
        <v>0.48512605112893575</v>
      </c>
      <c r="AJ31" s="107">
        <f>0.35615/AG31</f>
        <v>3.0038882281993542E-2</v>
      </c>
      <c r="AK31" s="108">
        <f>9.2387/AG31</f>
        <v>0.77922286042019862</v>
      </c>
      <c r="AL31" s="108">
        <f>1.3749/AG31</f>
        <v>0.1159636648870221</v>
      </c>
      <c r="AM31" s="108">
        <f>0.1235/AG31</f>
        <v>1.0416403093713892E-2</v>
      </c>
    </row>
    <row r="32" spans="1:43" x14ac:dyDescent="0.15">
      <c r="A32" s="123"/>
      <c r="B32" s="19" t="s">
        <v>261</v>
      </c>
      <c r="C32" s="4">
        <v>2</v>
      </c>
      <c r="E32" s="118">
        <v>500</v>
      </c>
      <c r="F32" s="15"/>
      <c r="G32" s="15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14">
        <v>65</v>
      </c>
      <c r="S32" s="15">
        <v>177</v>
      </c>
      <c r="T32" s="93">
        <f t="shared" si="5"/>
        <v>242</v>
      </c>
      <c r="U32" s="4">
        <v>9</v>
      </c>
      <c r="V32" s="101">
        <f t="shared" si="4"/>
        <v>0.13846153846153847</v>
      </c>
      <c r="W32" s="227">
        <v>64.849999999999994</v>
      </c>
      <c r="X32" s="238">
        <v>44.75</v>
      </c>
      <c r="Y32" s="104">
        <f t="shared" si="6"/>
        <v>54.8</v>
      </c>
      <c r="AG32" s="106">
        <v>10.671200000000001</v>
      </c>
      <c r="AH32" s="107">
        <f>(AG32-2.0717)/AG32</f>
        <v>0.80586063423045207</v>
      </c>
      <c r="AI32" s="107">
        <f>4/AG32</f>
        <v>0.37484069270560011</v>
      </c>
      <c r="AJ32" s="107">
        <f>0.212/AG32</f>
        <v>1.9866556713396804E-2</v>
      </c>
      <c r="AK32" s="108">
        <f>9.8364/AG32</f>
        <v>0.92177074743234111</v>
      </c>
      <c r="AL32" s="108">
        <f>3.5498/AG32</f>
        <v>0.33265237274158477</v>
      </c>
      <c r="AM32" s="108">
        <f>0.21805/AG32</f>
        <v>2.0433503261114025E-2</v>
      </c>
    </row>
    <row r="33" spans="1:43" x14ac:dyDescent="0.15">
      <c r="A33" s="123"/>
      <c r="B33" s="19" t="s">
        <v>262</v>
      </c>
      <c r="C33" s="4">
        <v>2</v>
      </c>
      <c r="E33" s="118">
        <v>350</v>
      </c>
      <c r="F33" s="15"/>
      <c r="G33" s="15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4">
        <v>671</v>
      </c>
      <c r="S33" s="15">
        <v>868</v>
      </c>
      <c r="T33" s="93">
        <f t="shared" si="5"/>
        <v>1539</v>
      </c>
      <c r="U33" s="4">
        <v>2</v>
      </c>
      <c r="V33" s="101">
        <f t="shared" si="4"/>
        <v>2.9806259314456036E-3</v>
      </c>
      <c r="W33" s="227">
        <v>44.7</v>
      </c>
      <c r="X33" s="238">
        <v>55</v>
      </c>
      <c r="Y33" s="104">
        <f t="shared" si="6"/>
        <v>49.85</v>
      </c>
      <c r="AG33" s="106">
        <v>9.2705000000000002</v>
      </c>
      <c r="AH33" s="107">
        <f>8.3585/AG33</f>
        <v>0.90162342915700333</v>
      </c>
      <c r="AI33" s="107">
        <f>4.2811/AG33</f>
        <v>0.4617981770131061</v>
      </c>
      <c r="AJ33" s="107">
        <f>0.21568/AG33</f>
        <v>2.3265196051992881E-2</v>
      </c>
      <c r="AK33" s="108">
        <f>8.4791/AG33</f>
        <v>0.91463243622242607</v>
      </c>
      <c r="AL33" s="108">
        <f>4.8446/AG33</f>
        <v>0.52258238498462861</v>
      </c>
      <c r="AM33" s="108">
        <f>0.819/AG33</f>
        <v>8.8344749474138395E-2</v>
      </c>
    </row>
    <row r="34" spans="1:43" s="106" customFormat="1" x14ac:dyDescent="0.15">
      <c r="A34" s="130"/>
      <c r="B34" s="92" t="s">
        <v>263</v>
      </c>
      <c r="C34" s="4">
        <v>2</v>
      </c>
      <c r="D34" s="5">
        <v>1.9</v>
      </c>
      <c r="E34" s="95">
        <v>850</v>
      </c>
      <c r="F34" s="96"/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6"/>
      <c r="R34" s="97">
        <v>233</v>
      </c>
      <c r="S34" s="96">
        <v>142</v>
      </c>
      <c r="T34" s="93">
        <f>IF(R34&gt;1,SUM(R34:S34),"")</f>
        <v>375</v>
      </c>
      <c r="U34" s="93">
        <v>0</v>
      </c>
      <c r="V34" s="101" t="str">
        <f>IF(U34&gt;0.9,(IF(R34&gt;S34,U34/S34,U34/R34)),"")</f>
        <v/>
      </c>
      <c r="W34" s="102">
        <v>93.1</v>
      </c>
      <c r="X34" s="103">
        <v>88.7</v>
      </c>
      <c r="Y34" s="104">
        <f t="shared" si="6"/>
        <v>90.9</v>
      </c>
      <c r="AF34" s="106">
        <v>30.507400000000001</v>
      </c>
      <c r="AG34" s="106">
        <v>10.071099999999999</v>
      </c>
      <c r="AH34" s="147">
        <f>8.061/AG34</f>
        <v>0.80040909136042737</v>
      </c>
      <c r="AI34" s="147">
        <f>5.4892/AG34</f>
        <v>0.54504473195579439</v>
      </c>
      <c r="AJ34" s="147">
        <f>0.19/AG34</f>
        <v>1.8865863709028808E-2</v>
      </c>
      <c r="AK34" s="235">
        <f>9.4609/AG34</f>
        <v>0.93941078928816124</v>
      </c>
      <c r="AL34" s="235">
        <f>4.5064/AG34</f>
        <v>0.44745856957035479</v>
      </c>
      <c r="AM34" s="235">
        <f>0.2261/AG34</f>
        <v>2.2450377813744277E-2</v>
      </c>
      <c r="AN34" s="96">
        <v>-1000</v>
      </c>
      <c r="AO34" s="96">
        <v>350</v>
      </c>
      <c r="AP34" s="97">
        <v>480</v>
      </c>
      <c r="AQ34" s="97">
        <v>80</v>
      </c>
    </row>
    <row r="35" spans="1:43" s="137" customFormat="1" x14ac:dyDescent="0.15">
      <c r="A35" s="91">
        <f>COUNT(D18:D35)</f>
        <v>2</v>
      </c>
      <c r="B35" s="134" t="s">
        <v>264</v>
      </c>
      <c r="C35" s="93">
        <v>2</v>
      </c>
      <c r="D35" s="94">
        <v>1.8</v>
      </c>
      <c r="E35" s="134"/>
      <c r="F35" s="135"/>
      <c r="G35" s="135"/>
      <c r="H35" s="136"/>
      <c r="I35" s="136"/>
      <c r="J35" s="136"/>
      <c r="K35" s="136"/>
      <c r="L35" s="136"/>
      <c r="M35" s="136"/>
      <c r="N35" s="136"/>
      <c r="O35" s="136"/>
      <c r="P35" s="136"/>
      <c r="Q35" s="135"/>
      <c r="Y35" s="104" t="str">
        <f t="shared" si="6"/>
        <v/>
      </c>
    </row>
    <row r="36" spans="1:43" s="83" customFormat="1" x14ac:dyDescent="0.15">
      <c r="A36" s="114" t="s">
        <v>98</v>
      </c>
      <c r="B36" s="70">
        <f>STDEV(D18:D35)</f>
        <v>7.0710678118654655E-2</v>
      </c>
      <c r="D36" s="82">
        <f>AVERAGE(D18:D35)</f>
        <v>1.85</v>
      </c>
      <c r="E36" s="82">
        <f>AVERAGE(E18:E35)</f>
        <v>484.375</v>
      </c>
      <c r="F36" s="73">
        <f>STDEV(E18:E35)</f>
        <v>226.36162071635141</v>
      </c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>
        <v>630.13043478260863</v>
      </c>
      <c r="S36" s="73">
        <v>607.60869565217388</v>
      </c>
      <c r="T36" s="73">
        <v>1237.739130434783</v>
      </c>
      <c r="U36" s="73">
        <v>37.91304347826086</v>
      </c>
      <c r="V36" s="133">
        <f>U36/S36</f>
        <v>6.2397137745974947E-2</v>
      </c>
      <c r="W36" s="70"/>
      <c r="X36" s="70"/>
      <c r="Y36" s="82">
        <f>AVERAGE(Y18:Y35)</f>
        <v>60.05833333333333</v>
      </c>
      <c r="Z36" s="83">
        <f>STDEV(Y18:Y35)</f>
        <v>15.086274706626867</v>
      </c>
      <c r="AF36" s="84" t="str">
        <f>("#REF!/AVERAGE(AF18:AF34))*AF3")</f>
        <v>#REF!/AVERAGE(AF18:AF34))*AF3</v>
      </c>
      <c r="AG36" s="84">
        <f t="shared" ref="AG36:AM36" si="7">AVERAGE(AG18:AG34)</f>
        <v>13.075664705882351</v>
      </c>
      <c r="AH36" s="233">
        <f t="shared" si="7"/>
        <v>0.8646955714040675</v>
      </c>
      <c r="AI36" s="233">
        <f t="shared" si="7"/>
        <v>0.3951558632078141</v>
      </c>
      <c r="AJ36" s="233">
        <f t="shared" si="7"/>
        <v>4.4601435208383861E-2</v>
      </c>
      <c r="AK36" s="233">
        <f t="shared" si="7"/>
        <v>0.8646642358785056</v>
      </c>
      <c r="AL36" s="233">
        <f t="shared" si="7"/>
        <v>0.38375963998778384</v>
      </c>
      <c r="AM36" s="233">
        <f t="shared" si="7"/>
        <v>7.746756010171707E-2</v>
      </c>
    </row>
    <row r="37" spans="1:43" x14ac:dyDescent="0.15">
      <c r="A37" s="123" t="s">
        <v>265</v>
      </c>
      <c r="B37" s="19" t="s">
        <v>266</v>
      </c>
      <c r="C37" s="4">
        <v>4</v>
      </c>
      <c r="E37" s="118">
        <v>500</v>
      </c>
      <c r="F37" s="15"/>
      <c r="G37" s="15"/>
      <c r="H37" s="14"/>
      <c r="I37" s="14"/>
      <c r="J37" s="14"/>
      <c r="K37" s="14"/>
      <c r="L37" s="14"/>
      <c r="M37" s="14"/>
      <c r="N37" s="14"/>
      <c r="O37" s="14"/>
      <c r="P37" s="14"/>
      <c r="Q37" s="15"/>
      <c r="R37" s="14">
        <v>966</v>
      </c>
      <c r="S37" s="15">
        <v>149</v>
      </c>
      <c r="T37" s="93">
        <f>IF(R37&gt;0.9,SUM(R37:S37),"")</f>
        <v>1115</v>
      </c>
      <c r="U37" s="4">
        <v>10</v>
      </c>
      <c r="V37" s="101">
        <f>IF(U37&gt;0.9,(IF(R37&gt;S37,U37/S37,U37/R37)),"")</f>
        <v>6.7114093959731544E-2</v>
      </c>
      <c r="W37" s="227">
        <v>92.1</v>
      </c>
      <c r="X37" s="238">
        <v>61.3</v>
      </c>
      <c r="Y37" s="104">
        <f>IF(W37&gt;1,(IF(R37&gt;1,(IF(R37&gt;S37,(IF((R37/S37)&lt;7,AVERAGE(W37:X37),"")),IF(R37&lt;S37,(IF((S37/R37)&lt;7,AVERAGE(W37:X37),""))))),"")),"")</f>
        <v>76.699999999999989</v>
      </c>
      <c r="AF37" s="212"/>
      <c r="AG37" s="212"/>
      <c r="AH37" s="239"/>
      <c r="AI37" s="239"/>
      <c r="AJ37" s="239"/>
      <c r="AK37" s="239"/>
      <c r="AL37" s="239"/>
      <c r="AM37" s="239"/>
    </row>
    <row r="38" spans="1:43" s="106" customFormat="1" x14ac:dyDescent="0.15">
      <c r="A38" s="132"/>
      <c r="B38" s="92" t="s">
        <v>267</v>
      </c>
      <c r="C38" s="4">
        <v>4</v>
      </c>
      <c r="D38" s="5">
        <v>2.7</v>
      </c>
      <c r="E38" s="95">
        <v>390</v>
      </c>
      <c r="F38" s="96"/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6"/>
      <c r="R38" s="97">
        <v>66</v>
      </c>
      <c r="S38" s="96">
        <v>285</v>
      </c>
      <c r="T38" s="93">
        <f t="shared" ref="T38:T48" si="8">IF(R38&gt;0.9,SUM(R38:S38),"")</f>
        <v>351</v>
      </c>
      <c r="U38" s="93">
        <v>0</v>
      </c>
      <c r="V38" s="101" t="str">
        <f t="shared" ref="V38:V48" si="9">IF(U38&gt;0.9,(IF(R38&gt;S38,U38/S38,U38/R38)),"")</f>
        <v/>
      </c>
      <c r="W38" s="102">
        <v>39.4</v>
      </c>
      <c r="X38" s="103">
        <v>84.6</v>
      </c>
      <c r="Y38" s="104">
        <f t="shared" ref="Y38:Y48" si="10">IF(W38&gt;1,(IF(R38&gt;1,(IF(R38&gt;S38,(IF((R38/S38)&lt;5,AVERAGE(W38:X38),"")),IF(R38&lt;S38,(IF((S38/R38)&lt;5,AVERAGE(W38:X38),""))))),"")),"")</f>
        <v>62</v>
      </c>
      <c r="AH38" s="149"/>
      <c r="AI38" s="149"/>
      <c r="AJ38" s="149"/>
      <c r="AK38" s="149"/>
      <c r="AL38" s="149"/>
      <c r="AM38" s="149"/>
      <c r="AN38" s="96"/>
      <c r="AO38" s="96"/>
      <c r="AP38" s="97"/>
      <c r="AQ38" s="97"/>
    </row>
    <row r="39" spans="1:43" s="106" customFormat="1" x14ac:dyDescent="0.15">
      <c r="A39" s="92"/>
      <c r="B39" s="92" t="s">
        <v>268</v>
      </c>
      <c r="C39" s="4">
        <v>4</v>
      </c>
      <c r="D39" s="5">
        <v>2.5</v>
      </c>
      <c r="E39" s="95">
        <v>285</v>
      </c>
      <c r="F39" s="99"/>
      <c r="G39" s="99"/>
      <c r="H39" s="98"/>
      <c r="I39" s="98"/>
      <c r="J39" s="98"/>
      <c r="K39" s="98"/>
      <c r="L39" s="98"/>
      <c r="M39" s="98"/>
      <c r="N39" s="98"/>
      <c r="O39" s="98"/>
      <c r="P39" s="98"/>
      <c r="Q39" s="99"/>
      <c r="R39" s="97">
        <f>47+U39</f>
        <v>49</v>
      </c>
      <c r="S39" s="96">
        <f>380+U39</f>
        <v>382</v>
      </c>
      <c r="T39" s="93">
        <f t="shared" si="8"/>
        <v>431</v>
      </c>
      <c r="U39" s="93">
        <v>2</v>
      </c>
      <c r="V39" s="101">
        <f t="shared" si="9"/>
        <v>4.0816326530612242E-2</v>
      </c>
      <c r="W39" s="98">
        <v>25.5</v>
      </c>
      <c r="X39" s="99">
        <v>88.4</v>
      </c>
      <c r="Y39" s="104">
        <f>AVERAGE(W39:X39)</f>
        <v>56.95</v>
      </c>
      <c r="AH39" s="147"/>
      <c r="AI39" s="147"/>
      <c r="AJ39" s="147"/>
      <c r="AK39" s="235"/>
      <c r="AL39" s="235"/>
      <c r="AM39" s="235"/>
      <c r="AN39" s="93">
        <v>100</v>
      </c>
      <c r="AO39" s="93">
        <v>430</v>
      </c>
      <c r="AP39" s="93">
        <v>250</v>
      </c>
      <c r="AQ39" s="93">
        <v>900</v>
      </c>
    </row>
    <row r="40" spans="1:43" s="106" customFormat="1" x14ac:dyDescent="0.15">
      <c r="A40" s="132"/>
      <c r="B40" s="92" t="s">
        <v>376</v>
      </c>
      <c r="C40" s="4">
        <v>4</v>
      </c>
      <c r="D40" s="5">
        <v>3.87</v>
      </c>
      <c r="E40" s="95">
        <f>250*1.92</f>
        <v>480</v>
      </c>
      <c r="F40" s="96"/>
      <c r="G40" s="96"/>
      <c r="H40" s="97"/>
      <c r="I40" s="97"/>
      <c r="J40" s="97"/>
      <c r="K40" s="97"/>
      <c r="L40" s="97"/>
      <c r="M40" s="97"/>
      <c r="N40" s="97"/>
      <c r="O40" s="97"/>
      <c r="P40" s="97">
        <v>22</v>
      </c>
      <c r="Q40" s="96">
        <v>66</v>
      </c>
      <c r="R40" s="97">
        <v>299</v>
      </c>
      <c r="S40" s="96">
        <v>3243</v>
      </c>
      <c r="T40" s="93">
        <f t="shared" si="8"/>
        <v>3542</v>
      </c>
      <c r="U40" s="93">
        <v>0</v>
      </c>
      <c r="V40" s="101" t="str">
        <f t="shared" si="9"/>
        <v/>
      </c>
      <c r="W40" s="102">
        <v>80</v>
      </c>
      <c r="X40" s="103">
        <v>60</v>
      </c>
      <c r="Y40" s="104">
        <v>70</v>
      </c>
      <c r="AF40" s="106">
        <v>101.254</v>
      </c>
      <c r="AG40" s="106">
        <v>12.569000000000001</v>
      </c>
      <c r="AH40" s="149">
        <f>12.3/AG40</f>
        <v>0.97859813827671249</v>
      </c>
      <c r="AI40" s="149">
        <f>2.826/AG40</f>
        <v>0.22483888933089347</v>
      </c>
      <c r="AJ40" s="149">
        <f>1.179/AG40</f>
        <v>9.380221179091415E-2</v>
      </c>
      <c r="AK40" s="149">
        <f>7.61/AG40</f>
        <v>0.60545787254355954</v>
      </c>
      <c r="AL40" s="149">
        <f>0.532/AG40</f>
        <v>4.2326358501074073E-2</v>
      </c>
      <c r="AM40" s="149">
        <f>0.212/AG40</f>
        <v>1.6866894741029516E-2</v>
      </c>
      <c r="AN40" s="96"/>
      <c r="AO40" s="96"/>
      <c r="AP40" s="97"/>
      <c r="AQ40" s="97"/>
    </row>
    <row r="41" spans="1:43" s="106" customFormat="1" x14ac:dyDescent="0.15">
      <c r="A41" s="132"/>
      <c r="B41" s="92" t="s">
        <v>377</v>
      </c>
      <c r="C41" s="4">
        <v>4</v>
      </c>
      <c r="D41" s="5">
        <v>3.32</v>
      </c>
      <c r="E41" s="95">
        <f>320*1.92</f>
        <v>614.4</v>
      </c>
      <c r="F41" s="96"/>
      <c r="G41" s="96"/>
      <c r="H41" s="97"/>
      <c r="I41" s="97"/>
      <c r="J41" s="97"/>
      <c r="K41" s="97"/>
      <c r="L41" s="97"/>
      <c r="M41" s="97"/>
      <c r="N41" s="97"/>
      <c r="O41" s="97"/>
      <c r="P41" s="97"/>
      <c r="Q41" s="96"/>
      <c r="R41" s="97">
        <v>82</v>
      </c>
      <c r="S41" s="96">
        <v>77</v>
      </c>
      <c r="T41" s="93">
        <f t="shared" si="8"/>
        <v>159</v>
      </c>
      <c r="U41" s="93">
        <v>0</v>
      </c>
      <c r="V41" s="101" t="str">
        <f t="shared" si="9"/>
        <v/>
      </c>
      <c r="W41" s="102">
        <v>100</v>
      </c>
      <c r="X41" s="103">
        <v>100</v>
      </c>
      <c r="Y41" s="104">
        <v>100</v>
      </c>
      <c r="AH41" s="149"/>
      <c r="AI41" s="149"/>
      <c r="AJ41" s="149"/>
      <c r="AK41" s="149"/>
      <c r="AL41" s="149"/>
      <c r="AM41" s="149"/>
      <c r="AN41" s="96"/>
      <c r="AO41" s="96"/>
      <c r="AP41" s="97"/>
      <c r="AQ41" s="97"/>
    </row>
    <row r="42" spans="1:43" s="106" customFormat="1" x14ac:dyDescent="0.15">
      <c r="A42" s="132"/>
      <c r="B42" s="92" t="s">
        <v>378</v>
      </c>
      <c r="C42" s="4">
        <v>4</v>
      </c>
      <c r="D42" s="5">
        <v>3.82</v>
      </c>
      <c r="E42" s="95">
        <f>400*1.92</f>
        <v>768</v>
      </c>
      <c r="F42" s="96"/>
      <c r="G42" s="96"/>
      <c r="H42" s="97"/>
      <c r="I42" s="97"/>
      <c r="J42" s="97"/>
      <c r="K42" s="97"/>
      <c r="L42" s="97"/>
      <c r="M42" s="97"/>
      <c r="N42" s="97"/>
      <c r="O42" s="97"/>
      <c r="P42" s="97"/>
      <c r="Q42" s="96"/>
      <c r="R42" s="97">
        <v>38</v>
      </c>
      <c r="S42" s="96">
        <v>26</v>
      </c>
      <c r="T42" s="93">
        <f t="shared" si="8"/>
        <v>64</v>
      </c>
      <c r="U42" s="93">
        <v>0</v>
      </c>
      <c r="V42" s="101" t="str">
        <f t="shared" si="9"/>
        <v/>
      </c>
      <c r="W42" s="102">
        <v>100</v>
      </c>
      <c r="X42" s="103">
        <v>100</v>
      </c>
      <c r="Y42" s="104">
        <v>100</v>
      </c>
      <c r="AH42" s="149"/>
      <c r="AI42" s="149"/>
      <c r="AJ42" s="149"/>
      <c r="AK42" s="149"/>
      <c r="AL42" s="149"/>
      <c r="AM42" s="149"/>
      <c r="AN42" s="96"/>
      <c r="AO42" s="96"/>
      <c r="AP42" s="97"/>
      <c r="AQ42" s="97"/>
    </row>
    <row r="43" spans="1:43" s="106" customFormat="1" x14ac:dyDescent="0.15">
      <c r="A43" s="132"/>
      <c r="B43" s="92"/>
      <c r="C43" s="4"/>
      <c r="D43" s="5"/>
      <c r="E43" s="95"/>
      <c r="F43" s="96"/>
      <c r="G43" s="96"/>
      <c r="H43" s="97"/>
      <c r="I43" s="97"/>
      <c r="J43" s="97"/>
      <c r="K43" s="97"/>
      <c r="L43" s="97"/>
      <c r="M43" s="97"/>
      <c r="N43" s="97"/>
      <c r="O43" s="97"/>
      <c r="P43" s="97"/>
      <c r="Q43" s="96"/>
      <c r="R43" s="97"/>
      <c r="S43" s="96"/>
      <c r="T43" s="93" t="str">
        <f t="shared" si="8"/>
        <v/>
      </c>
      <c r="U43" s="93"/>
      <c r="V43" s="101" t="str">
        <f t="shared" si="9"/>
        <v/>
      </c>
      <c r="W43" s="102"/>
      <c r="X43" s="103"/>
      <c r="Y43" s="104" t="str">
        <f t="shared" si="10"/>
        <v/>
      </c>
      <c r="AH43" s="149"/>
      <c r="AI43" s="149"/>
      <c r="AJ43" s="149"/>
      <c r="AK43" s="149"/>
      <c r="AL43" s="149"/>
      <c r="AM43" s="149"/>
      <c r="AN43" s="96"/>
      <c r="AO43" s="96"/>
      <c r="AP43" s="97"/>
      <c r="AQ43" s="97"/>
    </row>
    <row r="44" spans="1:43" s="106" customFormat="1" x14ac:dyDescent="0.15">
      <c r="A44" s="132"/>
      <c r="B44" s="92"/>
      <c r="C44" s="4"/>
      <c r="D44" s="5"/>
      <c r="E44" s="95"/>
      <c r="F44" s="96"/>
      <c r="G44" s="96"/>
      <c r="H44" s="97"/>
      <c r="I44" s="97"/>
      <c r="J44" s="97"/>
      <c r="K44" s="97"/>
      <c r="L44" s="97"/>
      <c r="M44" s="97"/>
      <c r="N44" s="97"/>
      <c r="O44" s="97"/>
      <c r="P44" s="97"/>
      <c r="Q44" s="96"/>
      <c r="R44" s="97"/>
      <c r="S44" s="96"/>
      <c r="T44" s="93" t="str">
        <f t="shared" si="8"/>
        <v/>
      </c>
      <c r="U44" s="93"/>
      <c r="V44" s="101" t="str">
        <f t="shared" si="9"/>
        <v/>
      </c>
      <c r="W44" s="102"/>
      <c r="X44" s="103"/>
      <c r="Y44" s="104" t="str">
        <f t="shared" si="10"/>
        <v/>
      </c>
      <c r="AH44" s="149"/>
      <c r="AI44" s="149"/>
      <c r="AJ44" s="149"/>
      <c r="AK44" s="149"/>
      <c r="AL44" s="149"/>
      <c r="AM44" s="149"/>
      <c r="AN44" s="96"/>
      <c r="AO44" s="96"/>
      <c r="AP44" s="97"/>
      <c r="AQ44" s="97"/>
    </row>
    <row r="45" spans="1:43" s="106" customFormat="1" x14ac:dyDescent="0.15">
      <c r="A45" s="132"/>
      <c r="B45" s="92"/>
      <c r="C45" s="4"/>
      <c r="D45" s="5"/>
      <c r="E45" s="95"/>
      <c r="F45" s="96"/>
      <c r="G45" s="96"/>
      <c r="H45" s="97"/>
      <c r="I45" s="97"/>
      <c r="J45" s="97"/>
      <c r="K45" s="97"/>
      <c r="L45" s="97"/>
      <c r="M45" s="97"/>
      <c r="N45" s="97"/>
      <c r="O45" s="97"/>
      <c r="P45" s="97"/>
      <c r="Q45" s="96"/>
      <c r="R45" s="97"/>
      <c r="S45" s="96"/>
      <c r="T45" s="93" t="str">
        <f t="shared" si="8"/>
        <v/>
      </c>
      <c r="U45" s="93"/>
      <c r="V45" s="101" t="str">
        <f t="shared" si="9"/>
        <v/>
      </c>
      <c r="W45" s="102"/>
      <c r="X45" s="103"/>
      <c r="Y45" s="104" t="str">
        <f t="shared" si="10"/>
        <v/>
      </c>
      <c r="AH45" s="149"/>
      <c r="AI45" s="149"/>
      <c r="AJ45" s="149"/>
      <c r="AK45" s="149"/>
      <c r="AL45" s="149"/>
      <c r="AM45" s="149"/>
      <c r="AN45" s="96"/>
      <c r="AO45" s="96"/>
      <c r="AP45" s="97"/>
      <c r="AQ45" s="97"/>
    </row>
    <row r="46" spans="1:43" s="106" customFormat="1" x14ac:dyDescent="0.15">
      <c r="A46" s="132"/>
      <c r="B46" s="92"/>
      <c r="C46" s="4"/>
      <c r="D46" s="5"/>
      <c r="E46" s="95"/>
      <c r="F46" s="96"/>
      <c r="G46" s="96"/>
      <c r="H46" s="97"/>
      <c r="I46" s="97"/>
      <c r="J46" s="97"/>
      <c r="K46" s="97"/>
      <c r="L46" s="97"/>
      <c r="M46" s="97"/>
      <c r="N46" s="97"/>
      <c r="O46" s="97"/>
      <c r="P46" s="97"/>
      <c r="Q46" s="96"/>
      <c r="R46" s="97"/>
      <c r="S46" s="96"/>
      <c r="T46" s="93" t="str">
        <f t="shared" si="8"/>
        <v/>
      </c>
      <c r="U46" s="93"/>
      <c r="V46" s="101" t="str">
        <f t="shared" si="9"/>
        <v/>
      </c>
      <c r="W46" s="102"/>
      <c r="X46" s="103"/>
      <c r="Y46" s="104" t="str">
        <f t="shared" si="10"/>
        <v/>
      </c>
      <c r="AH46" s="149"/>
      <c r="AI46" s="149"/>
      <c r="AJ46" s="149"/>
      <c r="AK46" s="149"/>
      <c r="AL46" s="149"/>
      <c r="AM46" s="149"/>
      <c r="AN46" s="96"/>
      <c r="AO46" s="96"/>
      <c r="AP46" s="97"/>
      <c r="AQ46" s="97"/>
    </row>
    <row r="47" spans="1:43" s="106" customFormat="1" x14ac:dyDescent="0.15">
      <c r="A47" s="132"/>
      <c r="B47" s="92"/>
      <c r="C47" s="4"/>
      <c r="D47" s="5"/>
      <c r="E47" s="95"/>
      <c r="F47" s="96"/>
      <c r="G47" s="96"/>
      <c r="H47" s="97"/>
      <c r="I47" s="97"/>
      <c r="J47" s="97"/>
      <c r="K47" s="97"/>
      <c r="L47" s="97"/>
      <c r="M47" s="97"/>
      <c r="N47" s="97"/>
      <c r="O47" s="97"/>
      <c r="P47" s="97"/>
      <c r="Q47" s="96"/>
      <c r="R47" s="97"/>
      <c r="S47" s="96"/>
      <c r="T47" s="93" t="str">
        <f t="shared" si="8"/>
        <v/>
      </c>
      <c r="U47" s="93"/>
      <c r="V47" s="101" t="str">
        <f t="shared" si="9"/>
        <v/>
      </c>
      <c r="W47" s="102"/>
      <c r="X47" s="103"/>
      <c r="Y47" s="104" t="str">
        <f t="shared" si="10"/>
        <v/>
      </c>
      <c r="AH47" s="149"/>
      <c r="AI47" s="149"/>
      <c r="AJ47" s="149"/>
      <c r="AK47" s="149"/>
      <c r="AL47" s="149"/>
      <c r="AM47" s="149"/>
      <c r="AN47" s="96"/>
      <c r="AO47" s="96"/>
      <c r="AP47" s="97"/>
      <c r="AQ47" s="97"/>
    </row>
    <row r="48" spans="1:43" s="137" customFormat="1" x14ac:dyDescent="0.15">
      <c r="A48" s="91">
        <f>COUNT(D37:D47)</f>
        <v>5</v>
      </c>
      <c r="C48" s="93"/>
      <c r="D48" s="94"/>
      <c r="E48" s="134"/>
      <c r="F48" s="135"/>
      <c r="G48" s="135"/>
      <c r="H48" s="136"/>
      <c r="I48" s="136"/>
      <c r="J48" s="136"/>
      <c r="K48" s="136"/>
      <c r="L48" s="136"/>
      <c r="M48" s="136"/>
      <c r="N48" s="136"/>
      <c r="O48" s="136"/>
      <c r="P48" s="136"/>
      <c r="Q48" s="135"/>
      <c r="T48" s="93" t="str">
        <f t="shared" si="8"/>
        <v/>
      </c>
      <c r="V48" s="101" t="str">
        <f t="shared" si="9"/>
        <v/>
      </c>
      <c r="Y48" s="104" t="str">
        <f t="shared" si="10"/>
        <v/>
      </c>
    </row>
    <row r="49" spans="1:43" s="83" customFormat="1" x14ac:dyDescent="0.15">
      <c r="A49" s="114" t="s">
        <v>114</v>
      </c>
      <c r="B49" s="70">
        <f>STDEV(D37:D47)</f>
        <v>0.62826745896950287</v>
      </c>
      <c r="D49" s="82">
        <f>AVERAGE(D37:D47)</f>
        <v>3.242</v>
      </c>
      <c r="E49" s="82">
        <f>AVERAGE(E37:E48)</f>
        <v>506.23333333333335</v>
      </c>
      <c r="F49" s="83">
        <f>STDEV(E37:E48)</f>
        <v>169.35361427104718</v>
      </c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>
        <v>589.16666666666663</v>
      </c>
      <c r="S49" s="73">
        <v>644.91666666666663</v>
      </c>
      <c r="T49" s="73">
        <v>1234.0833333333326</v>
      </c>
      <c r="U49" s="73">
        <v>47.833333333333343</v>
      </c>
      <c r="V49" s="133">
        <f>U49/R49</f>
        <v>8.1188118811881205E-2</v>
      </c>
      <c r="W49" s="70"/>
      <c r="X49" s="70"/>
      <c r="Y49" s="82">
        <f>AVERAGE(Y37:Y48)</f>
        <v>77.608333333333334</v>
      </c>
      <c r="Z49" s="83">
        <f>STDEV(Y37:Y48)</f>
        <v>18.611136898821282</v>
      </c>
      <c r="AF49" s="84" t="str">
        <f>("#REF!/AVERAGE(AF37:AF48))*AF3")</f>
        <v>#REF!/AVERAGE(AF37:AF48))*AF3</v>
      </c>
      <c r="AG49" s="84">
        <f t="shared" ref="AG49:AM49" si="11">AVERAGE(AG37:AG47)</f>
        <v>12.569000000000001</v>
      </c>
      <c r="AH49" s="84">
        <f t="shared" si="11"/>
        <v>0.97859813827671249</v>
      </c>
      <c r="AI49" s="84">
        <f t="shared" si="11"/>
        <v>0.22483888933089347</v>
      </c>
      <c r="AJ49" s="84">
        <f t="shared" si="11"/>
        <v>9.380221179091415E-2</v>
      </c>
      <c r="AK49" s="84">
        <f t="shared" si="11"/>
        <v>0.60545787254355954</v>
      </c>
      <c r="AL49" s="84">
        <f t="shared" si="11"/>
        <v>4.2326358501074073E-2</v>
      </c>
      <c r="AM49" s="84">
        <f t="shared" si="11"/>
        <v>1.6866894741029516E-2</v>
      </c>
    </row>
    <row r="50" spans="1:43" s="137" customFormat="1" x14ac:dyDescent="0.15">
      <c r="A50" s="134" t="s">
        <v>269</v>
      </c>
      <c r="B50" s="134" t="s">
        <v>270</v>
      </c>
      <c r="C50" s="93">
        <v>8</v>
      </c>
      <c r="D50" s="94">
        <v>3.6</v>
      </c>
      <c r="E50" s="134">
        <v>79</v>
      </c>
      <c r="F50" s="135"/>
      <c r="G50" s="135"/>
      <c r="H50" s="136"/>
      <c r="I50" s="136"/>
      <c r="J50" s="136"/>
      <c r="K50" s="136"/>
      <c r="L50" s="136"/>
      <c r="M50" s="136"/>
      <c r="N50" s="136"/>
      <c r="O50" s="136"/>
      <c r="P50" s="136"/>
      <c r="Q50" s="135"/>
      <c r="R50" s="137">
        <f>109+U50</f>
        <v>145</v>
      </c>
      <c r="S50" s="137">
        <f>228+U50</f>
        <v>264</v>
      </c>
      <c r="T50" s="93">
        <f>IF(R50&gt;0.9,SUM(R50:S50),"")</f>
        <v>409</v>
      </c>
      <c r="U50" s="137">
        <v>36</v>
      </c>
      <c r="V50" s="101">
        <f>IF(U50&gt;0.9,(IF(R50&gt;S50,U50/S50,U50/R50)),"")</f>
        <v>0.24827586206896551</v>
      </c>
      <c r="W50" s="137">
        <v>67.2</v>
      </c>
      <c r="X50" s="137">
        <v>81.599999999999994</v>
      </c>
      <c r="Y50" s="104">
        <f>IF(W50&gt;1,(IF(R50&gt;1,(IF(R50&gt;S50,(IF((R50/S50)&lt;5,AVERAGE(W50:X50),"")),IF(R50&lt;S50,(IF((S50/R50)&lt;5,AVERAGE(W50:X50),""))))),"")),"")</f>
        <v>74.400000000000006</v>
      </c>
    </row>
    <row r="51" spans="1:43" s="106" customFormat="1" x14ac:dyDescent="0.15">
      <c r="A51" s="146"/>
      <c r="B51" s="134" t="s">
        <v>271</v>
      </c>
      <c r="C51" s="93">
        <v>8</v>
      </c>
      <c r="D51" s="94">
        <v>3.9</v>
      </c>
      <c r="E51" s="95">
        <v>40</v>
      </c>
      <c r="F51" s="96"/>
      <c r="G51" s="96"/>
      <c r="H51" s="97"/>
      <c r="I51" s="97"/>
      <c r="J51" s="97"/>
      <c r="K51" s="97"/>
      <c r="L51" s="97"/>
      <c r="M51" s="97"/>
      <c r="N51" s="97"/>
      <c r="O51" s="97"/>
      <c r="P51" s="97"/>
      <c r="Q51" s="96"/>
      <c r="R51" s="97">
        <f>607+U51</f>
        <v>610</v>
      </c>
      <c r="S51" s="96">
        <f>340+U51</f>
        <v>343</v>
      </c>
      <c r="T51" s="93">
        <f>IF(R51&gt;0.9,SUM(R51:S51),"")</f>
        <v>953</v>
      </c>
      <c r="U51" s="93">
        <v>3</v>
      </c>
      <c r="V51" s="101">
        <f>IF(U51&gt;0.9,(IF(R51&gt;S51,U51/S51,U51/R51)),"")</f>
        <v>8.7463556851311956E-3</v>
      </c>
      <c r="W51" s="102">
        <v>65.2</v>
      </c>
      <c r="X51" s="103">
        <v>43.4</v>
      </c>
      <c r="Y51" s="104">
        <f t="shared" ref="Y51:Y62" si="12">IF(W51&gt;1,(IF(R51&gt;1,(IF(R51&gt;S51,(IF((R51/S51)&lt;5,AVERAGE(W51:X51),"")),IF(R51&lt;S51,(IF((S51/R51)&lt;5,AVERAGE(W51:X51),""))))),"")),"")</f>
        <v>54.3</v>
      </c>
      <c r="AC51" s="99"/>
      <c r="AD51" s="98"/>
      <c r="AE51" s="99"/>
      <c r="AH51" s="147"/>
      <c r="AI51" s="147"/>
      <c r="AJ51" s="147"/>
      <c r="AK51" s="235"/>
      <c r="AL51" s="235"/>
      <c r="AM51" s="235"/>
      <c r="AN51" s="96"/>
      <c r="AO51" s="96"/>
      <c r="AP51" s="97"/>
      <c r="AQ51" s="97"/>
    </row>
    <row r="52" spans="1:43" s="106" customFormat="1" x14ac:dyDescent="0.15">
      <c r="A52" s="146"/>
      <c r="B52" s="134" t="s">
        <v>272</v>
      </c>
      <c r="C52" s="93">
        <v>8</v>
      </c>
      <c r="D52" s="94">
        <v>4</v>
      </c>
      <c r="E52" s="95">
        <v>128</v>
      </c>
      <c r="F52" s="96"/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6"/>
      <c r="R52" s="97">
        <f>714+U52</f>
        <v>764</v>
      </c>
      <c r="S52" s="96">
        <v>893</v>
      </c>
      <c r="T52" s="93">
        <f>IF(R52&gt;0.9,SUM(R52:S52),"")</f>
        <v>1657</v>
      </c>
      <c r="U52" s="93">
        <v>50</v>
      </c>
      <c r="V52" s="101">
        <f>IF(U52&gt;0.9,(IF(R52&gt;S52,U52/S52,U52/R52)),"")</f>
        <v>6.5445026178010471E-2</v>
      </c>
      <c r="W52" s="102">
        <v>73.8</v>
      </c>
      <c r="X52" s="103">
        <v>76.8</v>
      </c>
      <c r="Y52" s="104">
        <f t="shared" si="12"/>
        <v>75.3</v>
      </c>
      <c r="AC52" s="99"/>
      <c r="AD52" s="98"/>
      <c r="AE52" s="99"/>
      <c r="AH52" s="147"/>
      <c r="AI52" s="147"/>
      <c r="AJ52" s="147"/>
      <c r="AK52" s="235"/>
      <c r="AL52" s="235"/>
      <c r="AM52" s="235"/>
      <c r="AN52" s="96"/>
      <c r="AO52" s="96"/>
      <c r="AP52" s="97"/>
      <c r="AQ52" s="97"/>
    </row>
    <row r="53" spans="1:43" s="327" customFormat="1" x14ac:dyDescent="0.15">
      <c r="A53" s="338"/>
      <c r="B53" s="339" t="s">
        <v>273</v>
      </c>
      <c r="C53" s="318">
        <v>8</v>
      </c>
      <c r="D53" s="319">
        <v>3.5</v>
      </c>
      <c r="E53" s="320">
        <v>95</v>
      </c>
      <c r="F53" s="321"/>
      <c r="G53" s="321"/>
      <c r="H53" s="322"/>
      <c r="I53" s="322"/>
      <c r="J53" s="322"/>
      <c r="K53" s="322"/>
      <c r="L53" s="322"/>
      <c r="M53" s="322"/>
      <c r="N53" s="322"/>
      <c r="O53" s="322"/>
      <c r="P53" s="322"/>
      <c r="Q53" s="321"/>
      <c r="R53" s="322">
        <f>225+U53</f>
        <v>259</v>
      </c>
      <c r="S53" s="321">
        <f>421+U53</f>
        <v>455</v>
      </c>
      <c r="T53" s="318">
        <f>IF(R53&gt;0.9,SUM(R53:S53),"")</f>
        <v>714</v>
      </c>
      <c r="U53" s="318">
        <v>34</v>
      </c>
      <c r="V53" s="323">
        <f>IF(U53&gt;0.9,(IF(R53&gt;S53,U53/S53,U53/R53)),"")</f>
        <v>0.13127413127413126</v>
      </c>
      <c r="W53" s="324">
        <v>72</v>
      </c>
      <c r="X53" s="325">
        <v>84.7</v>
      </c>
      <c r="Y53" s="334">
        <f t="shared" si="12"/>
        <v>78.349999999999994</v>
      </c>
      <c r="AC53" s="340"/>
      <c r="AD53" s="341"/>
      <c r="AE53" s="340"/>
      <c r="AH53" s="328"/>
      <c r="AI53" s="328"/>
      <c r="AJ53" s="328"/>
      <c r="AK53" s="330"/>
      <c r="AL53" s="330"/>
      <c r="AM53" s="330"/>
      <c r="AN53" s="321"/>
      <c r="AO53" s="321"/>
      <c r="AP53" s="322"/>
      <c r="AQ53" s="322"/>
    </row>
    <row r="54" spans="1:43" s="106" customFormat="1" x14ac:dyDescent="0.15">
      <c r="A54" s="92"/>
      <c r="B54" s="134" t="s">
        <v>274</v>
      </c>
      <c r="C54" s="93">
        <v>8</v>
      </c>
      <c r="D54" s="94">
        <v>4</v>
      </c>
      <c r="E54" s="95">
        <v>90</v>
      </c>
      <c r="F54" s="96"/>
      <c r="G54" s="96"/>
      <c r="H54" s="97"/>
      <c r="I54" s="97"/>
      <c r="J54" s="97"/>
      <c r="K54" s="97"/>
      <c r="L54" s="97"/>
      <c r="M54" s="97"/>
      <c r="N54" s="97"/>
      <c r="O54" s="97"/>
      <c r="P54" s="97"/>
      <c r="Q54" s="96"/>
      <c r="R54" s="97">
        <f>714+U54</f>
        <v>764</v>
      </c>
      <c r="S54" s="96">
        <f>893+U54</f>
        <v>943</v>
      </c>
      <c r="T54" s="93">
        <f>IF(R54&gt;0.9,SUM(R54:S54),"")</f>
        <v>1707</v>
      </c>
      <c r="U54" s="93">
        <v>50</v>
      </c>
      <c r="V54" s="101">
        <f>IF(U54&gt;0.9,(IF(R54&gt;S54,U54/S54,U54/R54)),"")</f>
        <v>6.5445026178010471E-2</v>
      </c>
      <c r="W54" s="102">
        <v>73.8</v>
      </c>
      <c r="X54" s="103">
        <v>76.8</v>
      </c>
      <c r="Y54" s="104">
        <f t="shared" si="12"/>
        <v>75.3</v>
      </c>
      <c r="AC54" s="99"/>
      <c r="AD54" s="98"/>
      <c r="AE54" s="99"/>
      <c r="AH54" s="147"/>
      <c r="AI54" s="147"/>
      <c r="AJ54" s="147"/>
      <c r="AK54" s="235"/>
      <c r="AL54" s="235"/>
      <c r="AM54" s="235"/>
      <c r="AN54" s="96"/>
      <c r="AO54" s="96"/>
      <c r="AP54" s="97"/>
      <c r="AQ54" s="97"/>
    </row>
    <row r="55" spans="1:43" s="106" customFormat="1" x14ac:dyDescent="0.15">
      <c r="A55" s="146"/>
      <c r="B55" s="134" t="s">
        <v>275</v>
      </c>
      <c r="C55" s="93">
        <v>8</v>
      </c>
      <c r="D55" s="94"/>
      <c r="E55" s="95">
        <v>230</v>
      </c>
      <c r="F55" s="96"/>
      <c r="G55" s="96"/>
      <c r="H55" s="97"/>
      <c r="I55" s="97"/>
      <c r="J55" s="97"/>
      <c r="K55" s="97"/>
      <c r="L55" s="97"/>
      <c r="M55" s="97"/>
      <c r="N55" s="97"/>
      <c r="O55" s="97"/>
      <c r="P55" s="97">
        <v>33</v>
      </c>
      <c r="Q55" s="96">
        <v>73</v>
      </c>
      <c r="R55" s="97">
        <v>103</v>
      </c>
      <c r="S55" s="96">
        <v>238</v>
      </c>
      <c r="T55" s="93">
        <f t="shared" ref="T55:T62" si="13">IF(R55&gt;0.9,SUM(R55:S55),"")</f>
        <v>341</v>
      </c>
      <c r="U55" s="93">
        <v>0</v>
      </c>
      <c r="V55" s="101" t="str">
        <f t="shared" ref="V55:V62" si="14">IF(U55&gt;0.9,(IF(R55&gt;S55,U55/S55,U55/R55)),"")</f>
        <v/>
      </c>
      <c r="W55" s="102">
        <v>83.5</v>
      </c>
      <c r="X55" s="103">
        <v>93.3</v>
      </c>
      <c r="Y55" s="104">
        <f t="shared" si="12"/>
        <v>88.4</v>
      </c>
      <c r="AC55" s="99"/>
      <c r="AD55" s="98"/>
      <c r="AE55" s="99"/>
      <c r="AH55" s="147"/>
      <c r="AI55" s="147"/>
      <c r="AJ55" s="147"/>
      <c r="AK55" s="235"/>
      <c r="AL55" s="235"/>
      <c r="AM55" s="235"/>
      <c r="AN55" s="96"/>
      <c r="AO55" s="96"/>
      <c r="AP55" s="97"/>
      <c r="AQ55" s="97"/>
    </row>
    <row r="56" spans="1:43" s="106" customFormat="1" x14ac:dyDescent="0.15">
      <c r="A56" s="146"/>
      <c r="B56" s="134"/>
      <c r="C56" s="93"/>
      <c r="D56" s="94"/>
      <c r="E56" s="95"/>
      <c r="F56" s="96"/>
      <c r="G56" s="96"/>
      <c r="H56" s="97"/>
      <c r="I56" s="97"/>
      <c r="J56" s="97"/>
      <c r="K56" s="97"/>
      <c r="L56" s="97"/>
      <c r="M56" s="97"/>
      <c r="N56" s="97"/>
      <c r="O56" s="97"/>
      <c r="P56" s="97"/>
      <c r="Q56" s="96"/>
      <c r="R56" s="97"/>
      <c r="S56" s="96"/>
      <c r="T56" s="93" t="str">
        <f t="shared" si="13"/>
        <v/>
      </c>
      <c r="U56" s="93"/>
      <c r="V56" s="101" t="str">
        <f t="shared" si="14"/>
        <v/>
      </c>
      <c r="W56" s="102"/>
      <c r="X56" s="103"/>
      <c r="Y56" s="104" t="str">
        <f t="shared" si="12"/>
        <v/>
      </c>
      <c r="AC56" s="99"/>
      <c r="AD56" s="98"/>
      <c r="AE56" s="99"/>
      <c r="AH56" s="147"/>
      <c r="AI56" s="147"/>
      <c r="AJ56" s="147"/>
      <c r="AK56" s="235"/>
      <c r="AL56" s="235"/>
      <c r="AM56" s="235"/>
      <c r="AN56" s="96"/>
      <c r="AO56" s="96"/>
      <c r="AP56" s="97"/>
      <c r="AQ56" s="97"/>
    </row>
    <row r="57" spans="1:43" s="106" customFormat="1" x14ac:dyDescent="0.15">
      <c r="A57" s="146"/>
      <c r="B57" s="134"/>
      <c r="C57" s="93"/>
      <c r="D57" s="94"/>
      <c r="E57" s="95"/>
      <c r="F57" s="96"/>
      <c r="G57" s="96"/>
      <c r="H57" s="97"/>
      <c r="I57" s="97"/>
      <c r="J57" s="97"/>
      <c r="K57" s="97"/>
      <c r="L57" s="97"/>
      <c r="M57" s="97"/>
      <c r="N57" s="97"/>
      <c r="O57" s="97"/>
      <c r="P57" s="97"/>
      <c r="Q57" s="96"/>
      <c r="R57" s="97"/>
      <c r="S57" s="96"/>
      <c r="T57" s="93" t="str">
        <f t="shared" si="13"/>
        <v/>
      </c>
      <c r="U57" s="93"/>
      <c r="V57" s="101" t="str">
        <f t="shared" si="14"/>
        <v/>
      </c>
      <c r="W57" s="102"/>
      <c r="X57" s="103"/>
      <c r="Y57" s="104" t="str">
        <f t="shared" si="12"/>
        <v/>
      </c>
      <c r="AC57" s="99"/>
      <c r="AD57" s="98"/>
      <c r="AE57" s="99"/>
      <c r="AH57" s="147"/>
      <c r="AI57" s="147"/>
      <c r="AJ57" s="147"/>
      <c r="AK57" s="235"/>
      <c r="AL57" s="235"/>
      <c r="AM57" s="235"/>
      <c r="AN57" s="96"/>
      <c r="AO57" s="96"/>
      <c r="AP57" s="97"/>
      <c r="AQ57" s="97"/>
    </row>
    <row r="58" spans="1:43" s="106" customFormat="1" x14ac:dyDescent="0.15">
      <c r="A58" s="146"/>
      <c r="B58" s="134"/>
      <c r="C58" s="93"/>
      <c r="D58" s="94"/>
      <c r="E58" s="95"/>
      <c r="F58" s="96"/>
      <c r="G58" s="96"/>
      <c r="H58" s="97"/>
      <c r="I58" s="97"/>
      <c r="J58" s="97"/>
      <c r="K58" s="97"/>
      <c r="L58" s="97"/>
      <c r="M58" s="97"/>
      <c r="N58" s="97"/>
      <c r="O58" s="97"/>
      <c r="P58" s="97"/>
      <c r="Q58" s="96"/>
      <c r="R58" s="97"/>
      <c r="S58" s="96"/>
      <c r="T58" s="93" t="str">
        <f t="shared" si="13"/>
        <v/>
      </c>
      <c r="U58" s="93"/>
      <c r="V58" s="101" t="str">
        <f t="shared" si="14"/>
        <v/>
      </c>
      <c r="W58" s="102"/>
      <c r="X58" s="103"/>
      <c r="Y58" s="104" t="str">
        <f t="shared" si="12"/>
        <v/>
      </c>
      <c r="AC58" s="99"/>
      <c r="AD58" s="98"/>
      <c r="AE58" s="99"/>
      <c r="AH58" s="147"/>
      <c r="AI58" s="147"/>
      <c r="AJ58" s="147"/>
      <c r="AK58" s="235"/>
      <c r="AL58" s="235"/>
      <c r="AM58" s="235"/>
      <c r="AN58" s="96"/>
      <c r="AO58" s="96"/>
      <c r="AP58" s="97"/>
      <c r="AQ58" s="97"/>
    </row>
    <row r="59" spans="1:43" s="106" customFormat="1" x14ac:dyDescent="0.15">
      <c r="A59" s="146"/>
      <c r="B59" s="134"/>
      <c r="C59" s="93"/>
      <c r="D59" s="94"/>
      <c r="E59" s="95"/>
      <c r="F59" s="96"/>
      <c r="G59" s="96"/>
      <c r="H59" s="97"/>
      <c r="I59" s="97"/>
      <c r="J59" s="97"/>
      <c r="K59" s="97"/>
      <c r="L59" s="97"/>
      <c r="M59" s="97"/>
      <c r="N59" s="97"/>
      <c r="O59" s="97"/>
      <c r="P59" s="97"/>
      <c r="Q59" s="96"/>
      <c r="R59" s="97"/>
      <c r="S59" s="96"/>
      <c r="T59" s="93" t="str">
        <f t="shared" si="13"/>
        <v/>
      </c>
      <c r="U59" s="93"/>
      <c r="V59" s="101" t="str">
        <f t="shared" si="14"/>
        <v/>
      </c>
      <c r="W59" s="102"/>
      <c r="X59" s="103"/>
      <c r="Y59" s="104" t="str">
        <f t="shared" si="12"/>
        <v/>
      </c>
      <c r="AC59" s="99"/>
      <c r="AD59" s="98"/>
      <c r="AE59" s="99"/>
      <c r="AH59" s="147"/>
      <c r="AI59" s="147"/>
      <c r="AJ59" s="147"/>
      <c r="AK59" s="235"/>
      <c r="AL59" s="235"/>
      <c r="AM59" s="235"/>
      <c r="AN59" s="96"/>
      <c r="AO59" s="96"/>
      <c r="AP59" s="97"/>
      <c r="AQ59" s="97"/>
    </row>
    <row r="60" spans="1:43" s="106" customFormat="1" x14ac:dyDescent="0.15">
      <c r="A60" s="146"/>
      <c r="B60" s="134"/>
      <c r="C60" s="93"/>
      <c r="D60" s="94"/>
      <c r="E60" s="95"/>
      <c r="F60" s="96"/>
      <c r="G60" s="96"/>
      <c r="H60" s="97"/>
      <c r="I60" s="97"/>
      <c r="J60" s="97"/>
      <c r="K60" s="97"/>
      <c r="L60" s="97"/>
      <c r="M60" s="97"/>
      <c r="N60" s="97"/>
      <c r="O60" s="97"/>
      <c r="P60" s="97"/>
      <c r="Q60" s="96"/>
      <c r="R60" s="97"/>
      <c r="S60" s="96"/>
      <c r="T60" s="93" t="str">
        <f t="shared" si="13"/>
        <v/>
      </c>
      <c r="U60" s="93"/>
      <c r="V60" s="101" t="str">
        <f t="shared" si="14"/>
        <v/>
      </c>
      <c r="W60" s="102"/>
      <c r="X60" s="103"/>
      <c r="Y60" s="104" t="str">
        <f t="shared" si="12"/>
        <v/>
      </c>
      <c r="AC60" s="99"/>
      <c r="AD60" s="98"/>
      <c r="AE60" s="99"/>
      <c r="AH60" s="147"/>
      <c r="AI60" s="147"/>
      <c r="AJ60" s="147"/>
      <c r="AK60" s="235"/>
      <c r="AL60" s="235"/>
      <c r="AM60" s="235"/>
      <c r="AN60" s="96"/>
      <c r="AO60" s="96"/>
      <c r="AP60" s="97"/>
      <c r="AQ60" s="97"/>
    </row>
    <row r="61" spans="1:43" s="106" customFormat="1" x14ac:dyDescent="0.15">
      <c r="A61" s="146"/>
      <c r="B61" s="134"/>
      <c r="C61" s="93"/>
      <c r="D61" s="94"/>
      <c r="E61" s="95"/>
      <c r="F61" s="96"/>
      <c r="G61" s="96"/>
      <c r="H61" s="97"/>
      <c r="I61" s="97"/>
      <c r="J61" s="97"/>
      <c r="K61" s="97"/>
      <c r="L61" s="97"/>
      <c r="M61" s="97"/>
      <c r="N61" s="97"/>
      <c r="O61" s="97"/>
      <c r="P61" s="97"/>
      <c r="Q61" s="96"/>
      <c r="R61" s="97"/>
      <c r="S61" s="96"/>
      <c r="T61" s="93" t="str">
        <f t="shared" si="13"/>
        <v/>
      </c>
      <c r="U61" s="93"/>
      <c r="V61" s="101" t="str">
        <f t="shared" si="14"/>
        <v/>
      </c>
      <c r="W61" s="102"/>
      <c r="X61" s="103"/>
      <c r="Y61" s="104" t="str">
        <f t="shared" si="12"/>
        <v/>
      </c>
      <c r="AC61" s="99"/>
      <c r="AD61" s="98"/>
      <c r="AE61" s="99"/>
      <c r="AH61" s="147"/>
      <c r="AI61" s="147"/>
      <c r="AJ61" s="147"/>
      <c r="AK61" s="235"/>
      <c r="AL61" s="235"/>
      <c r="AM61" s="235"/>
      <c r="AN61" s="96"/>
      <c r="AO61" s="96"/>
      <c r="AP61" s="97"/>
      <c r="AQ61" s="97"/>
    </row>
    <row r="62" spans="1:43" s="137" customFormat="1" x14ac:dyDescent="0.15">
      <c r="A62" s="91">
        <f>COUNT(D50:D61)</f>
        <v>5</v>
      </c>
      <c r="C62" s="93"/>
      <c r="D62" s="94"/>
      <c r="E62" s="134"/>
      <c r="F62" s="135"/>
      <c r="G62" s="135"/>
      <c r="H62" s="136"/>
      <c r="I62" s="136"/>
      <c r="J62" s="136"/>
      <c r="K62" s="136"/>
      <c r="L62" s="136"/>
      <c r="M62" s="136"/>
      <c r="N62" s="136"/>
      <c r="O62" s="136"/>
      <c r="P62" s="136"/>
      <c r="Q62" s="135"/>
      <c r="T62" s="93" t="str">
        <f t="shared" si="13"/>
        <v/>
      </c>
      <c r="V62" s="101" t="str">
        <f t="shared" si="14"/>
        <v/>
      </c>
      <c r="Y62" s="104" t="str">
        <f t="shared" si="12"/>
        <v/>
      </c>
    </row>
    <row r="63" spans="1:43" s="70" customFormat="1" x14ac:dyDescent="0.15">
      <c r="A63" s="114" t="s">
        <v>162</v>
      </c>
      <c r="B63" s="70">
        <f>STDEV(D50:D61)</f>
        <v>0.23452078799117146</v>
      </c>
      <c r="D63" s="82">
        <f>AVERAGE(D50:D61)</f>
        <v>3.8</v>
      </c>
      <c r="E63" s="82">
        <f>AVERAGE(E50:E62)</f>
        <v>110.33333333333333</v>
      </c>
      <c r="F63" s="83">
        <f>STDEV(E50:E62)</f>
        <v>65.129614359879838</v>
      </c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>
        <f>AVERAGE(R50:R50)</f>
        <v>145</v>
      </c>
      <c r="S63" s="73">
        <f>AVERAGE(S50:S50)</f>
        <v>264</v>
      </c>
      <c r="T63" s="73">
        <f>SUM(R63:S63)</f>
        <v>409</v>
      </c>
      <c r="U63" s="73">
        <f>AVERAGE(U50:U50)</f>
        <v>36</v>
      </c>
      <c r="V63" s="133">
        <f>U63/S63</f>
        <v>0.13636363636363635</v>
      </c>
      <c r="Y63" s="82">
        <f>AVERAGE(Y50:Y62)</f>
        <v>74.341666666666683</v>
      </c>
      <c r="Z63" s="83">
        <f>STDEV(Y50:Y62)</f>
        <v>11.110464286728298</v>
      </c>
      <c r="AF63" s="70" t="e">
        <f>#N/A</f>
        <v>#N/A</v>
      </c>
      <c r="AG63" s="70" t="e">
        <f t="shared" ref="AG63:AM63" si="15">AVERAGE(AG50:AG61)</f>
        <v>#DIV/0!</v>
      </c>
      <c r="AH63" s="215" t="e">
        <f t="shared" si="15"/>
        <v>#DIV/0!</v>
      </c>
      <c r="AI63" s="215" t="e">
        <f t="shared" si="15"/>
        <v>#DIV/0!</v>
      </c>
      <c r="AJ63" s="215" t="e">
        <f t="shared" si="15"/>
        <v>#DIV/0!</v>
      </c>
      <c r="AK63" s="215" t="e">
        <f t="shared" si="15"/>
        <v>#DIV/0!</v>
      </c>
      <c r="AL63" s="215" t="e">
        <f t="shared" si="15"/>
        <v>#DIV/0!</v>
      </c>
      <c r="AM63" s="215" t="e">
        <f t="shared" si="15"/>
        <v>#DIV/0!</v>
      </c>
      <c r="AN63" s="73"/>
      <c r="AO63" s="73"/>
      <c r="AP63" s="73"/>
      <c r="AQ63" s="73"/>
    </row>
    <row r="64" spans="1:43" s="137" customFormat="1" x14ac:dyDescent="0.15">
      <c r="A64" s="234" t="s">
        <v>276</v>
      </c>
      <c r="B64" s="92" t="s">
        <v>277</v>
      </c>
      <c r="C64" s="93">
        <v>12</v>
      </c>
      <c r="D64" s="94">
        <v>6.4</v>
      </c>
      <c r="E64" s="95">
        <v>113</v>
      </c>
      <c r="F64" s="96"/>
      <c r="G64" s="96"/>
      <c r="H64" s="97"/>
      <c r="I64" s="97"/>
      <c r="J64" s="97"/>
      <c r="K64" s="97"/>
      <c r="L64" s="97"/>
      <c r="M64" s="97"/>
      <c r="N64" s="97"/>
      <c r="O64" s="97"/>
      <c r="P64" s="97">
        <v>105</v>
      </c>
      <c r="Q64" s="96">
        <v>79</v>
      </c>
      <c r="R64" s="97">
        <f>412+U64</f>
        <v>463</v>
      </c>
      <c r="S64" s="96">
        <f>375+U64</f>
        <v>426</v>
      </c>
      <c r="T64" s="93">
        <f>IF(R64&gt;0.9,SUM(R64:S64),"")</f>
        <v>889</v>
      </c>
      <c r="U64" s="93">
        <v>51</v>
      </c>
      <c r="V64" s="101">
        <f t="shared" ref="V64:V69" si="16">IF(U64&gt;0.9,(IF(R64&gt;S64,U64/S64,U64/R64)),"")</f>
        <v>0.11971830985915492</v>
      </c>
      <c r="W64" s="98">
        <v>69.5</v>
      </c>
      <c r="X64" s="99">
        <v>69.599999999999994</v>
      </c>
      <c r="Y64" s="104">
        <f>IF(W64&gt;1,(IF(R64&gt;1,(IF(R64&gt;S64,(IF((R64/S64)&lt;5,AVERAGE(W64:X64),"")),IF(R64&lt;S64,(IF((S64/R64)&lt;5,AVERAGE(W64:X64),""))))),"")),"")</f>
        <v>69.55</v>
      </c>
    </row>
    <row r="65" spans="1:43" s="137" customFormat="1" x14ac:dyDescent="0.15">
      <c r="A65" s="234"/>
      <c r="B65" s="92" t="s">
        <v>278</v>
      </c>
      <c r="C65" s="93">
        <v>12</v>
      </c>
      <c r="D65" s="94">
        <v>6.7</v>
      </c>
      <c r="E65" s="95">
        <v>131</v>
      </c>
      <c r="F65" s="96"/>
      <c r="G65" s="96"/>
      <c r="H65" s="97"/>
      <c r="I65" s="97"/>
      <c r="J65" s="97"/>
      <c r="K65" s="97"/>
      <c r="L65" s="97"/>
      <c r="M65" s="97"/>
      <c r="N65" s="97"/>
      <c r="O65" s="97"/>
      <c r="P65" s="97"/>
      <c r="Q65" s="96"/>
      <c r="R65" s="97">
        <f>228+U65</f>
        <v>370</v>
      </c>
      <c r="S65" s="96">
        <f>413+U65</f>
        <v>555</v>
      </c>
      <c r="T65" s="93">
        <f>IF(R65&gt;0.9,SUM(R65:S65),"")</f>
        <v>925</v>
      </c>
      <c r="U65" s="93">
        <v>142</v>
      </c>
      <c r="V65" s="101">
        <f t="shared" si="16"/>
        <v>0.38378378378378381</v>
      </c>
      <c r="W65" s="98">
        <v>57.2</v>
      </c>
      <c r="X65" s="99">
        <v>69.5</v>
      </c>
      <c r="Y65" s="104">
        <f t="shared" ref="Y65:Y76" si="17">IF(W65&gt;1,(IF(R65&gt;1,(IF(R65&gt;S65,(IF((R65/S65)&lt;5,AVERAGE(W65:X65),"")),IF(R65&lt;S65,(IF((S65/R65)&lt;5,AVERAGE(W65:X65),""))))),"")),"")</f>
        <v>63.35</v>
      </c>
    </row>
    <row r="66" spans="1:43" s="137" customFormat="1" x14ac:dyDescent="0.15">
      <c r="A66" s="234"/>
      <c r="B66" s="92" t="s">
        <v>279</v>
      </c>
      <c r="C66" s="93">
        <v>12</v>
      </c>
      <c r="D66" s="94">
        <v>5.8</v>
      </c>
      <c r="E66" s="95">
        <v>122</v>
      </c>
      <c r="F66" s="96"/>
      <c r="G66" s="96"/>
      <c r="H66" s="97"/>
      <c r="I66" s="97"/>
      <c r="J66" s="97"/>
      <c r="K66" s="97"/>
      <c r="L66" s="97"/>
      <c r="M66" s="97"/>
      <c r="N66" s="97"/>
      <c r="O66" s="97"/>
      <c r="P66" s="97"/>
      <c r="Q66" s="96"/>
      <c r="R66" s="97">
        <f>117+U66</f>
        <v>128</v>
      </c>
      <c r="S66" s="96">
        <f>405+U66</f>
        <v>416</v>
      </c>
      <c r="T66" s="93">
        <f>IF(R66&gt;0.9,SUM(R66:S66),"")</f>
        <v>544</v>
      </c>
      <c r="U66" s="93">
        <v>11</v>
      </c>
      <c r="V66" s="101">
        <f t="shared" si="16"/>
        <v>8.59375E-2</v>
      </c>
      <c r="W66" s="98">
        <v>59</v>
      </c>
      <c r="X66" s="99">
        <v>88.7</v>
      </c>
      <c r="Y66" s="104">
        <f t="shared" si="17"/>
        <v>73.849999999999994</v>
      </c>
    </row>
    <row r="67" spans="1:43" s="137" customFormat="1" x14ac:dyDescent="0.15">
      <c r="A67" s="234"/>
      <c r="B67" s="92" t="s">
        <v>280</v>
      </c>
      <c r="C67" s="93">
        <v>12</v>
      </c>
      <c r="D67" s="94">
        <v>6.7</v>
      </c>
      <c r="E67" s="95">
        <v>148</v>
      </c>
      <c r="F67" s="96"/>
      <c r="G67" s="96"/>
      <c r="H67" s="97"/>
      <c r="I67" s="97"/>
      <c r="J67" s="97"/>
      <c r="K67" s="97"/>
      <c r="L67" s="97"/>
      <c r="M67" s="97"/>
      <c r="N67" s="97"/>
      <c r="O67" s="97"/>
      <c r="P67" s="97"/>
      <c r="Q67" s="96"/>
      <c r="R67" s="97">
        <f>206+U67</f>
        <v>261</v>
      </c>
      <c r="S67" s="96">
        <f>543+U67</f>
        <v>598</v>
      </c>
      <c r="T67" s="93">
        <f>IF(R67&gt;0.9,SUM(R67:S67),"")</f>
        <v>859</v>
      </c>
      <c r="U67" s="93">
        <v>55</v>
      </c>
      <c r="V67" s="101">
        <f t="shared" si="16"/>
        <v>0.21072796934865901</v>
      </c>
      <c r="W67" s="98">
        <v>58.8</v>
      </c>
      <c r="X67" s="99">
        <v>83.1</v>
      </c>
      <c r="Y67" s="104">
        <f t="shared" si="17"/>
        <v>70.949999999999989</v>
      </c>
    </row>
    <row r="68" spans="1:43" s="137" customFormat="1" x14ac:dyDescent="0.15">
      <c r="A68" s="134"/>
      <c r="B68" s="92" t="s">
        <v>281</v>
      </c>
      <c r="C68" s="93">
        <v>12</v>
      </c>
      <c r="D68" s="94">
        <v>6.7</v>
      </c>
      <c r="E68" s="95">
        <v>101</v>
      </c>
      <c r="F68" s="96"/>
      <c r="G68" s="96"/>
      <c r="H68" s="97"/>
      <c r="I68" s="97"/>
      <c r="J68" s="97"/>
      <c r="K68" s="97"/>
      <c r="L68" s="97"/>
      <c r="M68" s="97"/>
      <c r="N68" s="97"/>
      <c r="O68" s="97"/>
      <c r="P68" s="97"/>
      <c r="Q68" s="96"/>
      <c r="R68" s="97">
        <f>145+U68</f>
        <v>175</v>
      </c>
      <c r="S68" s="96">
        <f>158+U68</f>
        <v>188</v>
      </c>
      <c r="T68" s="93">
        <f>IF(R68&gt;0.9,SUM(R68:S68),"")</f>
        <v>363</v>
      </c>
      <c r="U68" s="93">
        <v>30</v>
      </c>
      <c r="V68" s="101">
        <f t="shared" si="16"/>
        <v>0.17142857142857143</v>
      </c>
      <c r="W68" s="98">
        <v>69.7</v>
      </c>
      <c r="X68" s="99">
        <v>74.5</v>
      </c>
      <c r="Y68" s="104">
        <f t="shared" si="17"/>
        <v>72.099999999999994</v>
      </c>
    </row>
    <row r="69" spans="1:43" s="137" customFormat="1" x14ac:dyDescent="0.15">
      <c r="A69" s="234"/>
      <c r="B69" s="92" t="s">
        <v>181</v>
      </c>
      <c r="C69" s="93">
        <v>12</v>
      </c>
      <c r="D69" s="94">
        <v>6</v>
      </c>
      <c r="E69" s="95">
        <v>385</v>
      </c>
      <c r="F69" s="96"/>
      <c r="G69" s="96"/>
      <c r="H69" s="97"/>
      <c r="I69" s="97"/>
      <c r="J69" s="97"/>
      <c r="K69" s="97"/>
      <c r="L69" s="97"/>
      <c r="M69" s="97"/>
      <c r="N69" s="97"/>
      <c r="O69" s="97"/>
      <c r="P69" s="97"/>
      <c r="Q69" s="96"/>
      <c r="R69" s="97">
        <v>77</v>
      </c>
      <c r="S69" s="96">
        <v>67</v>
      </c>
      <c r="T69" s="93">
        <f t="shared" ref="T69:T76" si="18">IF(R69&gt;0.9,SUM(R69:S69),"")</f>
        <v>144</v>
      </c>
      <c r="U69" s="93">
        <v>0</v>
      </c>
      <c r="V69" s="101" t="str">
        <f t="shared" si="16"/>
        <v/>
      </c>
      <c r="W69" s="98">
        <v>94.8</v>
      </c>
      <c r="X69" s="99">
        <v>94</v>
      </c>
      <c r="Y69" s="104">
        <f t="shared" si="17"/>
        <v>94.4</v>
      </c>
    </row>
    <row r="70" spans="1:43" s="391" customFormat="1" x14ac:dyDescent="0.15">
      <c r="A70" s="379"/>
      <c r="B70" s="380" t="s">
        <v>401</v>
      </c>
      <c r="C70" s="381">
        <v>12</v>
      </c>
      <c r="D70" s="382"/>
      <c r="E70" s="383">
        <v>400</v>
      </c>
      <c r="F70" s="384"/>
      <c r="G70" s="384"/>
      <c r="H70" s="385"/>
      <c r="I70" s="385"/>
      <c r="J70" s="385"/>
      <c r="K70" s="385"/>
      <c r="L70" s="385"/>
      <c r="M70" s="385"/>
      <c r="N70" s="385"/>
      <c r="O70" s="385"/>
      <c r="P70" s="385"/>
      <c r="Q70" s="384"/>
      <c r="R70" s="385">
        <v>156</v>
      </c>
      <c r="S70" s="384">
        <v>40</v>
      </c>
      <c r="T70" s="386">
        <f t="shared" si="18"/>
        <v>196</v>
      </c>
      <c r="U70" s="386">
        <v>0</v>
      </c>
      <c r="V70" s="387" t="str">
        <f t="shared" ref="V70:V76" si="19">IF(U70&gt;0.9,(IF(R70&gt;S70,U70/S70,U70/R70)),"")</f>
        <v/>
      </c>
      <c r="W70" s="388">
        <v>98.1</v>
      </c>
      <c r="X70" s="389">
        <v>92.5</v>
      </c>
      <c r="Y70" s="390">
        <f t="shared" si="17"/>
        <v>95.3</v>
      </c>
    </row>
    <row r="71" spans="1:43" s="391" customFormat="1" x14ac:dyDescent="0.15">
      <c r="A71" s="379"/>
      <c r="B71" s="380" t="s">
        <v>402</v>
      </c>
      <c r="C71" s="381">
        <v>12</v>
      </c>
      <c r="D71" s="382"/>
      <c r="E71" s="383">
        <v>470</v>
      </c>
      <c r="F71" s="384"/>
      <c r="G71" s="384"/>
      <c r="H71" s="385"/>
      <c r="I71" s="385"/>
      <c r="J71" s="385"/>
      <c r="K71" s="385"/>
      <c r="L71" s="385"/>
      <c r="M71" s="385"/>
      <c r="N71" s="385"/>
      <c r="O71" s="385"/>
      <c r="P71" s="385"/>
      <c r="Q71" s="384"/>
      <c r="R71" s="385">
        <v>265</v>
      </c>
      <c r="S71" s="384">
        <v>73</v>
      </c>
      <c r="T71" s="386">
        <f t="shared" si="18"/>
        <v>338</v>
      </c>
      <c r="U71" s="386">
        <v>0</v>
      </c>
      <c r="V71" s="387" t="str">
        <f t="shared" si="19"/>
        <v/>
      </c>
      <c r="W71" s="388">
        <v>98.1</v>
      </c>
      <c r="X71" s="389">
        <v>93.2</v>
      </c>
      <c r="Y71" s="390">
        <f t="shared" si="17"/>
        <v>95.65</v>
      </c>
    </row>
    <row r="72" spans="1:43" s="391" customFormat="1" x14ac:dyDescent="0.15">
      <c r="A72" s="379"/>
      <c r="B72" s="380" t="s">
        <v>403</v>
      </c>
      <c r="C72" s="381">
        <v>12</v>
      </c>
      <c r="D72" s="382"/>
      <c r="E72" s="383">
        <v>420</v>
      </c>
      <c r="F72" s="384"/>
      <c r="G72" s="384"/>
      <c r="H72" s="385"/>
      <c r="I72" s="385"/>
      <c r="J72" s="385"/>
      <c r="K72" s="385"/>
      <c r="L72" s="385"/>
      <c r="M72" s="385"/>
      <c r="N72" s="385"/>
      <c r="O72" s="385"/>
      <c r="P72" s="385"/>
      <c r="Q72" s="384"/>
      <c r="R72" s="385">
        <v>102</v>
      </c>
      <c r="S72" s="384">
        <v>112</v>
      </c>
      <c r="T72" s="386">
        <f t="shared" si="18"/>
        <v>214</v>
      </c>
      <c r="U72" s="386"/>
      <c r="V72" s="387" t="str">
        <f t="shared" si="19"/>
        <v/>
      </c>
      <c r="W72" s="388">
        <v>94.1</v>
      </c>
      <c r="X72" s="389">
        <v>96.4</v>
      </c>
      <c r="Y72" s="390">
        <f t="shared" si="17"/>
        <v>95.25</v>
      </c>
    </row>
    <row r="73" spans="1:43" s="137" customFormat="1" x14ac:dyDescent="0.15">
      <c r="A73" s="234"/>
      <c r="B73" s="92"/>
      <c r="C73" s="93"/>
      <c r="D73" s="94"/>
      <c r="E73" s="95"/>
      <c r="F73" s="96"/>
      <c r="G73" s="96"/>
      <c r="H73" s="97"/>
      <c r="I73" s="97"/>
      <c r="J73" s="97"/>
      <c r="K73" s="97"/>
      <c r="L73" s="97"/>
      <c r="M73" s="97"/>
      <c r="N73" s="97"/>
      <c r="O73" s="97"/>
      <c r="P73" s="97"/>
      <c r="Q73" s="96"/>
      <c r="R73" s="97"/>
      <c r="S73" s="96"/>
      <c r="T73" s="93" t="str">
        <f t="shared" si="18"/>
        <v/>
      </c>
      <c r="U73" s="93"/>
      <c r="V73" s="101" t="str">
        <f t="shared" si="19"/>
        <v/>
      </c>
      <c r="W73" s="98"/>
      <c r="X73" s="99"/>
      <c r="Y73" s="104" t="str">
        <f t="shared" si="17"/>
        <v/>
      </c>
    </row>
    <row r="74" spans="1:43" s="137" customFormat="1" x14ac:dyDescent="0.15">
      <c r="A74" s="234"/>
      <c r="B74" s="92"/>
      <c r="C74" s="93"/>
      <c r="D74" s="94"/>
      <c r="E74" s="95"/>
      <c r="F74" s="96"/>
      <c r="G74" s="96"/>
      <c r="H74" s="97"/>
      <c r="I74" s="97"/>
      <c r="J74" s="97"/>
      <c r="K74" s="97"/>
      <c r="L74" s="97"/>
      <c r="M74" s="97"/>
      <c r="N74" s="97"/>
      <c r="O74" s="97"/>
      <c r="P74" s="97"/>
      <c r="Q74" s="96"/>
      <c r="R74" s="97"/>
      <c r="S74" s="96"/>
      <c r="T74" s="93" t="str">
        <f t="shared" si="18"/>
        <v/>
      </c>
      <c r="U74" s="93"/>
      <c r="V74" s="101" t="str">
        <f t="shared" si="19"/>
        <v/>
      </c>
      <c r="W74" s="98"/>
      <c r="X74" s="99"/>
      <c r="Y74" s="104" t="str">
        <f t="shared" si="17"/>
        <v/>
      </c>
    </row>
    <row r="75" spans="1:43" s="137" customFormat="1" x14ac:dyDescent="0.15">
      <c r="A75" s="234"/>
      <c r="B75" s="92"/>
      <c r="C75" s="93"/>
      <c r="D75" s="94"/>
      <c r="E75" s="95"/>
      <c r="F75" s="96"/>
      <c r="G75" s="96"/>
      <c r="H75" s="97"/>
      <c r="I75" s="97"/>
      <c r="J75" s="97"/>
      <c r="K75" s="97"/>
      <c r="L75" s="97"/>
      <c r="M75" s="97"/>
      <c r="N75" s="97"/>
      <c r="O75" s="97"/>
      <c r="P75" s="97"/>
      <c r="Q75" s="96"/>
      <c r="R75" s="97"/>
      <c r="S75" s="96"/>
      <c r="T75" s="93" t="str">
        <f t="shared" si="18"/>
        <v/>
      </c>
      <c r="U75" s="93"/>
      <c r="V75" s="101" t="str">
        <f t="shared" si="19"/>
        <v/>
      </c>
      <c r="W75" s="98"/>
      <c r="X75" s="99"/>
      <c r="Y75" s="104" t="str">
        <f t="shared" si="17"/>
        <v/>
      </c>
    </row>
    <row r="76" spans="1:43" x14ac:dyDescent="0.15">
      <c r="A76" s="91">
        <f>COUNT(D64:D75)</f>
        <v>6</v>
      </c>
      <c r="T76" s="93" t="str">
        <f t="shared" si="18"/>
        <v/>
      </c>
      <c r="V76" s="101" t="str">
        <f t="shared" si="19"/>
        <v/>
      </c>
      <c r="Y76" s="104" t="str">
        <f t="shared" si="17"/>
        <v/>
      </c>
    </row>
    <row r="77" spans="1:43" s="83" customFormat="1" x14ac:dyDescent="0.15">
      <c r="A77" s="214" t="s">
        <v>182</v>
      </c>
      <c r="B77" s="70">
        <f>STDEV(D64:D75)</f>
        <v>0.39707262140150984</v>
      </c>
      <c r="D77" s="82">
        <f>AVERAGE(D64:D75)</f>
        <v>6.3833333333333337</v>
      </c>
      <c r="E77" s="82">
        <f>AVERAGE(E64:E76)</f>
        <v>254.44444444444446</v>
      </c>
      <c r="F77" s="83">
        <f>STDEV(E64:E76)</f>
        <v>158.02144720821215</v>
      </c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>
        <v>367</v>
      </c>
      <c r="S77" s="73">
        <v>199</v>
      </c>
      <c r="T77" s="73">
        <v>566</v>
      </c>
      <c r="U77" s="73">
        <v>0</v>
      </c>
      <c r="V77" s="133">
        <f>U77/S77</f>
        <v>0</v>
      </c>
      <c r="W77" s="70"/>
      <c r="X77" s="70"/>
      <c r="Y77" s="82">
        <f>AVERAGE(Y64:Y76)</f>
        <v>81.155555555555537</v>
      </c>
      <c r="Z77" s="83">
        <f>STDEV(Y64:Y76)</f>
        <v>13.580672029681734</v>
      </c>
      <c r="AF77" s="70" t="e">
        <f>(AG77/AVERAGE(AF63:AF75))*AF3</f>
        <v>#DIV/0!</v>
      </c>
      <c r="AG77" s="70" t="e">
        <f t="shared" ref="AG77:AM77" si="20">AVERAGE(AG63:AG75)</f>
        <v>#DIV/0!</v>
      </c>
      <c r="AH77" s="70" t="e">
        <f t="shared" si="20"/>
        <v>#DIV/0!</v>
      </c>
      <c r="AI77" s="70" t="e">
        <f t="shared" si="20"/>
        <v>#DIV/0!</v>
      </c>
      <c r="AJ77" s="70" t="e">
        <f t="shared" si="20"/>
        <v>#DIV/0!</v>
      </c>
      <c r="AK77" s="70" t="e">
        <f t="shared" si="20"/>
        <v>#DIV/0!</v>
      </c>
      <c r="AL77" s="70" t="e">
        <f t="shared" si="20"/>
        <v>#DIV/0!</v>
      </c>
      <c r="AM77" s="70" t="e">
        <f t="shared" si="20"/>
        <v>#DIV/0!</v>
      </c>
    </row>
    <row r="78" spans="1:43" s="106" customFormat="1" x14ac:dyDescent="0.15">
      <c r="A78" s="146" t="s">
        <v>282</v>
      </c>
      <c r="B78" s="92" t="s">
        <v>283</v>
      </c>
      <c r="C78" s="93">
        <v>22</v>
      </c>
      <c r="D78" s="94">
        <v>7.1</v>
      </c>
      <c r="E78" s="95">
        <v>110</v>
      </c>
      <c r="F78" s="96"/>
      <c r="G78" s="96"/>
      <c r="H78" s="97"/>
      <c r="I78" s="97"/>
      <c r="J78" s="97"/>
      <c r="K78" s="97"/>
      <c r="L78" s="97"/>
      <c r="M78" s="97"/>
      <c r="N78" s="97"/>
      <c r="O78" s="97"/>
      <c r="P78" s="97"/>
      <c r="Q78" s="96"/>
      <c r="R78" s="97">
        <f>140+U78</f>
        <v>141</v>
      </c>
      <c r="S78" s="96">
        <f>157+U78</f>
        <v>158</v>
      </c>
      <c r="T78" s="93">
        <f>IF(R78&gt;0.9,SUM(R78:S78),"")</f>
        <v>299</v>
      </c>
      <c r="U78" s="93">
        <v>1</v>
      </c>
      <c r="V78" s="101">
        <f>IF(U78&gt;0.9,(IF(R78&gt;S78,U78/S78,U78/R78)),"")</f>
        <v>7.0921985815602835E-3</v>
      </c>
      <c r="W78" s="102">
        <v>67</v>
      </c>
      <c r="X78" s="103">
        <v>73.7</v>
      </c>
      <c r="Y78" s="104">
        <f>IF(W78&gt;1,(IF(R78&gt;1,(IF(R78&gt;S78,(IF((R78/S78)&lt;5,AVERAGE(W78:X78),"")),IF(R78&lt;S78,(IF((S78/R78)&lt;5,AVERAGE(W78:X78),""))))),"")),"")</f>
        <v>70.349999999999994</v>
      </c>
      <c r="AC78" s="99"/>
      <c r="AD78" s="98"/>
      <c r="AE78" s="99"/>
      <c r="AH78" s="147"/>
      <c r="AI78" s="147"/>
      <c r="AJ78" s="147"/>
      <c r="AK78" s="235"/>
      <c r="AL78" s="235"/>
      <c r="AM78" s="235"/>
      <c r="AN78" s="96"/>
      <c r="AO78" s="96"/>
      <c r="AP78" s="97"/>
      <c r="AQ78" s="97"/>
    </row>
    <row r="79" spans="1:43" s="106" customFormat="1" x14ac:dyDescent="0.15">
      <c r="A79" s="146"/>
      <c r="B79" s="92" t="s">
        <v>284</v>
      </c>
      <c r="C79" s="93">
        <v>22</v>
      </c>
      <c r="D79" s="94">
        <v>10.4</v>
      </c>
      <c r="E79" s="95">
        <v>284</v>
      </c>
      <c r="F79" s="96"/>
      <c r="G79" s="96"/>
      <c r="H79" s="97"/>
      <c r="I79" s="97"/>
      <c r="J79" s="97"/>
      <c r="K79" s="97"/>
      <c r="L79" s="97"/>
      <c r="M79" s="97"/>
      <c r="N79" s="97"/>
      <c r="O79" s="97"/>
      <c r="P79" s="97"/>
      <c r="Q79" s="96"/>
      <c r="R79" s="97">
        <v>320</v>
      </c>
      <c r="S79" s="96">
        <v>31</v>
      </c>
      <c r="T79" s="93">
        <f t="shared" ref="T79:T89" si="21">IF(R79&gt;0.9,SUM(R79:S79),"")</f>
        <v>351</v>
      </c>
      <c r="U79" s="93">
        <v>0</v>
      </c>
      <c r="V79" s="101" t="str">
        <f t="shared" ref="V79:V89" si="22">IF(U79&gt;0.9,(IF(R79&gt;S79,U79/S79,U79/R79)),"")</f>
        <v/>
      </c>
      <c r="W79" s="102">
        <v>99.1</v>
      </c>
      <c r="X79" s="103">
        <v>93.5</v>
      </c>
      <c r="Y79" s="104">
        <f>AVERAGE(W79:X79)</f>
        <v>96.3</v>
      </c>
      <c r="AC79" s="99"/>
      <c r="AD79" s="98"/>
      <c r="AE79" s="99"/>
      <c r="AH79" s="147"/>
      <c r="AI79" s="147"/>
      <c r="AJ79" s="147"/>
      <c r="AK79" s="235"/>
      <c r="AL79" s="235"/>
      <c r="AM79" s="235"/>
      <c r="AN79" s="96"/>
      <c r="AO79" s="96"/>
      <c r="AP79" s="97"/>
      <c r="AQ79" s="97"/>
    </row>
    <row r="80" spans="1:43" s="106" customFormat="1" x14ac:dyDescent="0.15">
      <c r="A80" s="146"/>
      <c r="B80" s="92" t="s">
        <v>285</v>
      </c>
      <c r="C80" s="93">
        <v>22</v>
      </c>
      <c r="D80" s="94">
        <v>9.6</v>
      </c>
      <c r="E80" s="95">
        <v>215</v>
      </c>
      <c r="F80" s="96"/>
      <c r="G80" s="96"/>
      <c r="H80" s="97"/>
      <c r="I80" s="97"/>
      <c r="J80" s="97"/>
      <c r="K80" s="97"/>
      <c r="L80" s="97"/>
      <c r="M80" s="97"/>
      <c r="N80" s="97"/>
      <c r="O80" s="97"/>
      <c r="P80" s="97"/>
      <c r="Q80" s="96"/>
      <c r="R80" s="97">
        <f>540+U80</f>
        <v>543</v>
      </c>
      <c r="S80" s="96">
        <f>257+U80</f>
        <v>260</v>
      </c>
      <c r="T80" s="93">
        <f t="shared" si="21"/>
        <v>803</v>
      </c>
      <c r="U80" s="93">
        <v>3</v>
      </c>
      <c r="V80" s="101">
        <f t="shared" si="22"/>
        <v>1.1538461538461539E-2</v>
      </c>
      <c r="W80" s="102">
        <v>96</v>
      </c>
      <c r="X80" s="103">
        <v>91.7</v>
      </c>
      <c r="Y80" s="104">
        <f t="shared" ref="Y80:Y89" si="23">IF(W80&gt;1,(IF(R80&gt;1,(IF(R80&gt;S80,(IF((R80/S80)&lt;5,AVERAGE(W80:X80),"")),IF(R80&lt;S80,(IF((S80/R80)&lt;5,AVERAGE(W80:X80),""))))),"")),"")</f>
        <v>93.85</v>
      </c>
      <c r="AC80" s="99"/>
      <c r="AD80" s="98"/>
      <c r="AE80" s="99"/>
      <c r="AH80" s="147"/>
      <c r="AI80" s="147"/>
      <c r="AJ80" s="147"/>
      <c r="AK80" s="235"/>
      <c r="AL80" s="235"/>
      <c r="AM80" s="235"/>
      <c r="AN80" s="96"/>
      <c r="AO80" s="96"/>
      <c r="AP80" s="97"/>
      <c r="AQ80" s="97"/>
    </row>
    <row r="81" spans="1:72" s="106" customFormat="1" x14ac:dyDescent="0.15">
      <c r="A81" s="92"/>
      <c r="B81" s="92" t="s">
        <v>286</v>
      </c>
      <c r="C81" s="93">
        <v>22</v>
      </c>
      <c r="D81" s="94">
        <v>9.9</v>
      </c>
      <c r="E81" s="95">
        <v>148</v>
      </c>
      <c r="F81" s="96"/>
      <c r="G81" s="96"/>
      <c r="H81" s="97"/>
      <c r="I81" s="97"/>
      <c r="J81" s="97"/>
      <c r="K81" s="97"/>
      <c r="L81" s="97"/>
      <c r="M81" s="97"/>
      <c r="N81" s="97"/>
      <c r="O81" s="97"/>
      <c r="P81" s="97"/>
      <c r="Q81" s="96"/>
      <c r="R81" s="97">
        <f>106+U81</f>
        <v>113</v>
      </c>
      <c r="S81" s="96">
        <f>85+U81</f>
        <v>92</v>
      </c>
      <c r="T81" s="93">
        <f t="shared" si="21"/>
        <v>205</v>
      </c>
      <c r="U81" s="93">
        <v>7</v>
      </c>
      <c r="V81" s="101">
        <f t="shared" si="22"/>
        <v>7.6086956521739135E-2</v>
      </c>
      <c r="W81" s="102">
        <v>78.8</v>
      </c>
      <c r="X81" s="103">
        <v>74.5</v>
      </c>
      <c r="Y81" s="104">
        <f t="shared" si="23"/>
        <v>76.650000000000006</v>
      </c>
      <c r="AC81" s="99"/>
      <c r="AD81" s="98"/>
      <c r="AE81" s="99"/>
      <c r="AH81" s="147"/>
      <c r="AI81" s="147"/>
      <c r="AJ81" s="147"/>
      <c r="AK81" s="235"/>
      <c r="AL81" s="235"/>
      <c r="AM81" s="235"/>
      <c r="AN81" s="96"/>
      <c r="AO81" s="96"/>
      <c r="AP81" s="97"/>
      <c r="AQ81" s="97"/>
    </row>
    <row r="82" spans="1:72" s="106" customFormat="1" x14ac:dyDescent="0.15">
      <c r="A82" s="146"/>
      <c r="B82" s="92"/>
      <c r="C82" s="93"/>
      <c r="D82" s="94"/>
      <c r="E82" s="95"/>
      <c r="F82" s="96"/>
      <c r="G82" s="96"/>
      <c r="H82" s="97"/>
      <c r="I82" s="97"/>
      <c r="J82" s="97"/>
      <c r="K82" s="97"/>
      <c r="L82" s="97"/>
      <c r="M82" s="97"/>
      <c r="N82" s="97"/>
      <c r="O82" s="97"/>
      <c r="P82" s="97"/>
      <c r="Q82" s="96"/>
      <c r="R82" s="97"/>
      <c r="S82" s="96"/>
      <c r="T82" s="93" t="str">
        <f t="shared" si="21"/>
        <v/>
      </c>
      <c r="U82" s="93"/>
      <c r="V82" s="101" t="str">
        <f t="shared" si="22"/>
        <v/>
      </c>
      <c r="W82" s="102"/>
      <c r="X82" s="103"/>
      <c r="Y82" s="104" t="str">
        <f t="shared" si="23"/>
        <v/>
      </c>
      <c r="AC82" s="99"/>
      <c r="AD82" s="98"/>
      <c r="AE82" s="99"/>
      <c r="AH82" s="147"/>
      <c r="AI82" s="147"/>
      <c r="AJ82" s="147"/>
      <c r="AK82" s="235"/>
      <c r="AL82" s="235"/>
      <c r="AM82" s="235"/>
      <c r="AN82" s="96"/>
      <c r="AO82" s="96"/>
      <c r="AP82" s="97"/>
      <c r="AQ82" s="97"/>
    </row>
    <row r="83" spans="1:72" s="106" customFormat="1" x14ac:dyDescent="0.15">
      <c r="A83" s="146"/>
      <c r="B83" s="92"/>
      <c r="C83" s="93"/>
      <c r="D83" s="94"/>
      <c r="E83" s="95"/>
      <c r="F83" s="96"/>
      <c r="G83" s="96"/>
      <c r="H83" s="97"/>
      <c r="I83" s="97"/>
      <c r="J83" s="97"/>
      <c r="K83" s="97"/>
      <c r="L83" s="97"/>
      <c r="M83" s="97"/>
      <c r="N83" s="97"/>
      <c r="O83" s="97"/>
      <c r="P83" s="97"/>
      <c r="Q83" s="96"/>
      <c r="R83" s="97"/>
      <c r="S83" s="96"/>
      <c r="T83" s="93" t="str">
        <f t="shared" si="21"/>
        <v/>
      </c>
      <c r="U83" s="93"/>
      <c r="V83" s="101" t="str">
        <f t="shared" si="22"/>
        <v/>
      </c>
      <c r="W83" s="102"/>
      <c r="X83" s="103"/>
      <c r="Y83" s="104" t="str">
        <f t="shared" si="23"/>
        <v/>
      </c>
      <c r="AC83" s="99"/>
      <c r="AD83" s="98"/>
      <c r="AE83" s="99"/>
      <c r="AH83" s="147"/>
      <c r="AI83" s="147"/>
      <c r="AJ83" s="147"/>
      <c r="AK83" s="235"/>
      <c r="AL83" s="235"/>
      <c r="AM83" s="235"/>
      <c r="AN83" s="96"/>
      <c r="AO83" s="96"/>
      <c r="AP83" s="97"/>
      <c r="AQ83" s="97"/>
    </row>
    <row r="84" spans="1:72" s="106" customFormat="1" x14ac:dyDescent="0.15">
      <c r="A84" s="146"/>
      <c r="B84" s="92"/>
      <c r="C84" s="93"/>
      <c r="D84" s="94"/>
      <c r="E84" s="95"/>
      <c r="F84" s="96"/>
      <c r="G84" s="96"/>
      <c r="H84" s="97"/>
      <c r="I84" s="97"/>
      <c r="J84" s="97"/>
      <c r="K84" s="97"/>
      <c r="L84" s="97"/>
      <c r="M84" s="97"/>
      <c r="N84" s="97"/>
      <c r="O84" s="97"/>
      <c r="P84" s="97"/>
      <c r="Q84" s="96"/>
      <c r="R84" s="97"/>
      <c r="S84" s="96"/>
      <c r="T84" s="93" t="str">
        <f t="shared" si="21"/>
        <v/>
      </c>
      <c r="U84" s="93"/>
      <c r="V84" s="101" t="str">
        <f t="shared" si="22"/>
        <v/>
      </c>
      <c r="W84" s="102"/>
      <c r="X84" s="103"/>
      <c r="Y84" s="104" t="str">
        <f t="shared" si="23"/>
        <v/>
      </c>
      <c r="AC84" s="99"/>
      <c r="AD84" s="98"/>
      <c r="AE84" s="99"/>
      <c r="AH84" s="147"/>
      <c r="AI84" s="147"/>
      <c r="AJ84" s="147"/>
      <c r="AK84" s="235"/>
      <c r="AL84" s="235"/>
      <c r="AM84" s="235"/>
      <c r="AN84" s="96"/>
      <c r="AO84" s="96"/>
      <c r="AP84" s="97"/>
      <c r="AQ84" s="97"/>
    </row>
    <row r="85" spans="1:72" s="106" customFormat="1" x14ac:dyDescent="0.15">
      <c r="A85" s="146"/>
      <c r="B85" s="92"/>
      <c r="C85" s="93"/>
      <c r="D85" s="94"/>
      <c r="E85" s="95"/>
      <c r="F85" s="96"/>
      <c r="G85" s="96"/>
      <c r="H85" s="97"/>
      <c r="I85" s="97"/>
      <c r="J85" s="97"/>
      <c r="K85" s="97"/>
      <c r="L85" s="97"/>
      <c r="M85" s="97"/>
      <c r="N85" s="97"/>
      <c r="O85" s="97"/>
      <c r="P85" s="97"/>
      <c r="Q85" s="96"/>
      <c r="R85" s="97"/>
      <c r="S85" s="96"/>
      <c r="T85" s="93" t="str">
        <f t="shared" si="21"/>
        <v/>
      </c>
      <c r="U85" s="93"/>
      <c r="V85" s="101" t="str">
        <f t="shared" si="22"/>
        <v/>
      </c>
      <c r="W85" s="102"/>
      <c r="X85" s="103"/>
      <c r="Y85" s="104" t="str">
        <f t="shared" si="23"/>
        <v/>
      </c>
      <c r="AC85" s="99"/>
      <c r="AD85" s="98"/>
      <c r="AE85" s="99"/>
      <c r="AH85" s="147"/>
      <c r="AI85" s="147"/>
      <c r="AJ85" s="147"/>
      <c r="AK85" s="235"/>
      <c r="AL85" s="235"/>
      <c r="AM85" s="235"/>
      <c r="AN85" s="96"/>
      <c r="AO85" s="96"/>
      <c r="AP85" s="97"/>
      <c r="AQ85" s="97"/>
    </row>
    <row r="86" spans="1:72" s="106" customFormat="1" x14ac:dyDescent="0.15">
      <c r="A86" s="146"/>
      <c r="B86" s="92"/>
      <c r="C86" s="93"/>
      <c r="D86" s="94"/>
      <c r="E86" s="95"/>
      <c r="F86" s="96"/>
      <c r="G86" s="96"/>
      <c r="H86" s="97"/>
      <c r="I86" s="97"/>
      <c r="J86" s="97"/>
      <c r="K86" s="97"/>
      <c r="L86" s="97"/>
      <c r="M86" s="97"/>
      <c r="N86" s="97"/>
      <c r="O86" s="97"/>
      <c r="P86" s="97"/>
      <c r="Q86" s="96"/>
      <c r="R86" s="97"/>
      <c r="S86" s="96"/>
      <c r="T86" s="93" t="str">
        <f t="shared" si="21"/>
        <v/>
      </c>
      <c r="U86" s="93"/>
      <c r="V86" s="101" t="str">
        <f t="shared" si="22"/>
        <v/>
      </c>
      <c r="W86" s="102"/>
      <c r="X86" s="103"/>
      <c r="Y86" s="104" t="str">
        <f t="shared" si="23"/>
        <v/>
      </c>
      <c r="AC86" s="99"/>
      <c r="AD86" s="98"/>
      <c r="AE86" s="99"/>
      <c r="AH86" s="147"/>
      <c r="AI86" s="147"/>
      <c r="AJ86" s="147"/>
      <c r="AK86" s="235"/>
      <c r="AL86" s="235"/>
      <c r="AM86" s="235"/>
      <c r="AN86" s="96"/>
      <c r="AO86" s="96"/>
      <c r="AP86" s="97"/>
      <c r="AQ86" s="97"/>
    </row>
    <row r="87" spans="1:72" s="106" customFormat="1" x14ac:dyDescent="0.15">
      <c r="A87" s="146"/>
      <c r="B87" s="92"/>
      <c r="C87" s="93"/>
      <c r="D87" s="94"/>
      <c r="E87" s="95"/>
      <c r="F87" s="96"/>
      <c r="G87" s="96"/>
      <c r="H87" s="97"/>
      <c r="I87" s="97"/>
      <c r="J87" s="97"/>
      <c r="K87" s="97"/>
      <c r="L87" s="97"/>
      <c r="M87" s="97"/>
      <c r="N87" s="97"/>
      <c r="O87" s="97"/>
      <c r="P87" s="97"/>
      <c r="Q87" s="96"/>
      <c r="R87" s="97"/>
      <c r="S87" s="96"/>
      <c r="T87" s="93" t="str">
        <f t="shared" si="21"/>
        <v/>
      </c>
      <c r="U87" s="93"/>
      <c r="V87" s="101" t="str">
        <f t="shared" si="22"/>
        <v/>
      </c>
      <c r="W87" s="102"/>
      <c r="X87" s="103"/>
      <c r="Y87" s="104" t="str">
        <f t="shared" si="23"/>
        <v/>
      </c>
      <c r="AC87" s="99"/>
      <c r="AD87" s="98"/>
      <c r="AE87" s="99"/>
      <c r="AH87" s="147"/>
      <c r="AI87" s="147"/>
      <c r="AJ87" s="147"/>
      <c r="AK87" s="235"/>
      <c r="AL87" s="235"/>
      <c r="AM87" s="235"/>
      <c r="AN87" s="96"/>
      <c r="AO87" s="96"/>
      <c r="AP87" s="97"/>
      <c r="AQ87" s="97"/>
    </row>
    <row r="88" spans="1:72" s="106" customFormat="1" x14ac:dyDescent="0.15">
      <c r="A88" s="146"/>
      <c r="B88" s="92"/>
      <c r="C88" s="93"/>
      <c r="D88" s="94"/>
      <c r="E88" s="95"/>
      <c r="F88" s="96"/>
      <c r="G88" s="96"/>
      <c r="H88" s="97"/>
      <c r="I88" s="97"/>
      <c r="J88" s="97"/>
      <c r="K88" s="97"/>
      <c r="L88" s="97"/>
      <c r="M88" s="97"/>
      <c r="N88" s="97"/>
      <c r="O88" s="97"/>
      <c r="P88" s="97"/>
      <c r="Q88" s="96"/>
      <c r="R88" s="97"/>
      <c r="S88" s="96"/>
      <c r="T88" s="93" t="str">
        <f t="shared" si="21"/>
        <v/>
      </c>
      <c r="U88" s="93"/>
      <c r="V88" s="101" t="str">
        <f t="shared" si="22"/>
        <v/>
      </c>
      <c r="W88" s="102"/>
      <c r="X88" s="103"/>
      <c r="Y88" s="104" t="str">
        <f t="shared" si="23"/>
        <v/>
      </c>
      <c r="AC88" s="99"/>
      <c r="AD88" s="98"/>
      <c r="AE88" s="99"/>
      <c r="AH88" s="147"/>
      <c r="AI88" s="147"/>
      <c r="AJ88" s="147"/>
      <c r="AK88" s="235"/>
      <c r="AL88" s="235"/>
      <c r="AM88" s="235"/>
      <c r="AN88" s="96"/>
      <c r="AO88" s="96"/>
      <c r="AP88" s="97"/>
      <c r="AQ88" s="97"/>
    </row>
    <row r="89" spans="1:72" s="137" customFormat="1" x14ac:dyDescent="0.15">
      <c r="A89" s="91">
        <f>COUNT(D78:D88)</f>
        <v>4</v>
      </c>
      <c r="C89" s="93"/>
      <c r="D89" s="94"/>
      <c r="E89" s="134"/>
      <c r="F89" s="135"/>
      <c r="G89" s="135"/>
      <c r="H89" s="136"/>
      <c r="I89" s="136"/>
      <c r="J89" s="136"/>
      <c r="K89" s="136"/>
      <c r="L89" s="136"/>
      <c r="M89" s="136"/>
      <c r="N89" s="136"/>
      <c r="O89" s="136"/>
      <c r="P89" s="136"/>
      <c r="Q89" s="135"/>
      <c r="T89" s="93" t="str">
        <f t="shared" si="21"/>
        <v/>
      </c>
      <c r="V89" s="101" t="str">
        <f t="shared" si="22"/>
        <v/>
      </c>
      <c r="Y89" s="104" t="str">
        <f t="shared" si="23"/>
        <v/>
      </c>
    </row>
    <row r="90" spans="1:72" s="70" customFormat="1" x14ac:dyDescent="0.15">
      <c r="A90" s="114" t="s">
        <v>197</v>
      </c>
      <c r="B90" s="70">
        <f>STDEV(D78:D88)</f>
        <v>1.4708274315273482</v>
      </c>
      <c r="D90" s="82">
        <f>AVERAGE(D78:D88)</f>
        <v>9.25</v>
      </c>
      <c r="E90" s="82">
        <f>AVERAGE(E78:E89)</f>
        <v>189.25</v>
      </c>
      <c r="F90" s="83">
        <f>STDEV(E78:E89)</f>
        <v>76.643655967079226</v>
      </c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>
        <f>AVERAGE(R78:R88)</f>
        <v>279.25</v>
      </c>
      <c r="S90" s="73">
        <f>AVERAGE(S78:S88)</f>
        <v>135.25</v>
      </c>
      <c r="T90" s="73">
        <f>SUM(R90:S90)</f>
        <v>414.5</v>
      </c>
      <c r="U90" s="73">
        <f>AVERAGE(U78:U88)</f>
        <v>2.75</v>
      </c>
      <c r="V90" s="133">
        <f>U90/S90</f>
        <v>2.0332717190388171E-2</v>
      </c>
      <c r="Y90" s="82">
        <f>AVERAGE(Y78:Y89)</f>
        <v>84.287499999999994</v>
      </c>
      <c r="Z90" s="83">
        <f>STDEV(Y78:Y89)</f>
        <v>12.758355105576879</v>
      </c>
      <c r="AF90" s="70" t="e">
        <f>(AG90/AVERAGE(AF78:AF88))*AF3</f>
        <v>#DIV/0!</v>
      </c>
      <c r="AG90" s="70" t="e">
        <f t="shared" ref="AG90:AM90" si="24">AVERAGE(AG78:AG88)</f>
        <v>#DIV/0!</v>
      </c>
      <c r="AH90" s="215" t="e">
        <f t="shared" si="24"/>
        <v>#DIV/0!</v>
      </c>
      <c r="AI90" s="215" t="e">
        <f t="shared" si="24"/>
        <v>#DIV/0!</v>
      </c>
      <c r="AJ90" s="215" t="e">
        <f t="shared" si="24"/>
        <v>#DIV/0!</v>
      </c>
      <c r="AK90" s="215" t="e">
        <f t="shared" si="24"/>
        <v>#DIV/0!</v>
      </c>
      <c r="AL90" s="215" t="e">
        <f t="shared" si="24"/>
        <v>#DIV/0!</v>
      </c>
      <c r="AM90" s="215" t="e">
        <f t="shared" si="24"/>
        <v>#DIV/0!</v>
      </c>
      <c r="AN90" s="73"/>
      <c r="AO90" s="73"/>
      <c r="AP90" s="73"/>
      <c r="AQ90" s="73"/>
    </row>
    <row r="91" spans="1:72" s="106" customFormat="1" x14ac:dyDescent="0.15">
      <c r="A91" s="146" t="s">
        <v>396</v>
      </c>
      <c r="F91" s="96"/>
      <c r="G91" s="96"/>
      <c r="H91" s="97"/>
      <c r="I91" s="97"/>
      <c r="J91" s="97"/>
      <c r="K91" s="97"/>
      <c r="L91" s="97"/>
      <c r="M91" s="97"/>
      <c r="N91" s="97"/>
      <c r="O91" s="97"/>
      <c r="P91" s="97"/>
      <c r="Q91" s="96"/>
      <c r="R91" s="97"/>
      <c r="S91" s="96"/>
      <c r="T91" s="93" t="str">
        <f>IF(R91&gt;0.9,SUM(R91:S91),"")</f>
        <v/>
      </c>
      <c r="U91" s="93"/>
      <c r="V91" s="101" t="str">
        <f>IF(U91&gt;0.9,(IF(R91&gt;S91,U91/S91,U91/R91)),"")</f>
        <v/>
      </c>
      <c r="W91" s="102"/>
      <c r="X91" s="103"/>
      <c r="Y91" s="104" t="str">
        <f>IF(W91&gt;1,(IF(R91&gt;1,(IF(R91&gt;S91,(IF((R91/S91)&lt;5,AVERAGE(W91:X91),"")),IF(R91&lt;S91,(IF((S91/R91)&lt;5,AVERAGE(W91:X91),""))))),"")),"")</f>
        <v/>
      </c>
      <c r="AC91" s="99"/>
      <c r="AD91" s="98"/>
      <c r="AE91" s="99"/>
      <c r="AH91" s="147"/>
      <c r="AI91" s="147"/>
      <c r="AJ91" s="147"/>
      <c r="AK91" s="235"/>
      <c r="AL91" s="235"/>
      <c r="AM91" s="235"/>
      <c r="AN91" s="96"/>
      <c r="AO91" s="96"/>
      <c r="AP91" s="97"/>
      <c r="AQ91" s="97"/>
    </row>
    <row r="92" spans="1:72" s="106" customFormat="1" x14ac:dyDescent="0.15">
      <c r="A92" s="146" t="s">
        <v>203</v>
      </c>
      <c r="B92" s="92" t="s">
        <v>204</v>
      </c>
      <c r="C92" s="4">
        <v>60</v>
      </c>
      <c r="D92" s="5"/>
      <c r="E92" s="95">
        <f>SQRT((G92-F92)+(I92-H92))</f>
        <v>37.215588131856791</v>
      </c>
      <c r="F92" s="96">
        <v>855</v>
      </c>
      <c r="G92" s="96">
        <v>1566</v>
      </c>
      <c r="H92" s="97">
        <v>876</v>
      </c>
      <c r="I92" s="97">
        <v>1550</v>
      </c>
      <c r="J92" s="97"/>
      <c r="K92" s="98"/>
      <c r="L92" s="98"/>
      <c r="M92" s="98"/>
      <c r="N92" s="99"/>
      <c r="O92" s="99"/>
      <c r="P92" s="97"/>
      <c r="Q92" s="96"/>
      <c r="R92" s="97">
        <v>199</v>
      </c>
      <c r="S92" s="96">
        <v>135</v>
      </c>
      <c r="T92" s="93">
        <f>IF(R92&gt;0.9,SUM(R92:S92)-U92,"")</f>
        <v>330</v>
      </c>
      <c r="U92" s="100">
        <v>4</v>
      </c>
      <c r="V92" s="101">
        <f>IF(U92&gt;0.9,(IF(R92&gt;S92,U92/S92,U92/R92)),"")</f>
        <v>2.9629629629629631E-2</v>
      </c>
      <c r="W92" s="102">
        <v>64.5</v>
      </c>
      <c r="X92" s="103">
        <v>53.6</v>
      </c>
      <c r="Y92" s="104">
        <f>IF(A92="x","x",IF(W92&gt;1,(IF(R92&gt;1,(IF(R92&gt;S92,(IF((R92/S92)&lt;5,AVERAGE(W92:X92),"")),IF(R92&lt;S92,(IF((S92/R92)&lt;5,AVERAGE(W92:X92),""))))),"")),""))</f>
        <v>59.05</v>
      </c>
      <c r="AC92" s="99"/>
      <c r="AD92" s="98"/>
      <c r="AE92" s="99"/>
      <c r="AF92" s="106">
        <v>23.33</v>
      </c>
      <c r="AG92" s="106">
        <f>AH92/AF92</f>
        <v>0.36558079725675097</v>
      </c>
      <c r="AH92" s="106">
        <v>8.5289999999999999</v>
      </c>
      <c r="AO92" s="107">
        <f>0.52/AH92</f>
        <v>6.0968460546371207E-2</v>
      </c>
      <c r="AP92" s="107">
        <f>0.109/AH92</f>
        <v>1.2779927306835503E-2</v>
      </c>
      <c r="AQ92" s="107">
        <f>0.029/AH92</f>
        <v>3.4001641458553172E-3</v>
      </c>
      <c r="AR92" s="108">
        <f>0.327/AH92</f>
        <v>3.8339781920506508E-2</v>
      </c>
      <c r="AS92" s="108">
        <f>0.104/AH92</f>
        <v>1.219369210927424E-2</v>
      </c>
      <c r="AT92" s="108">
        <f>0.034/AH92</f>
        <v>3.9863993434165789E-3</v>
      </c>
      <c r="AU92" s="96"/>
      <c r="AV92" s="96"/>
      <c r="AW92" s="97"/>
      <c r="AX92" s="97"/>
      <c r="AY92" s="97"/>
      <c r="AZ92" s="93"/>
      <c r="BA92" s="93"/>
      <c r="BB92" s="93"/>
      <c r="BC92" s="93"/>
      <c r="BD92" s="93"/>
      <c r="BE92" s="97"/>
      <c r="BF92" s="97"/>
      <c r="BG92" s="96"/>
      <c r="BH92" s="96"/>
      <c r="BI92" s="110"/>
      <c r="BJ92" s="110"/>
      <c r="BK92" s="108"/>
      <c r="BL92" s="108"/>
      <c r="BM92" s="107"/>
      <c r="BN92" s="107"/>
      <c r="BO92" s="111"/>
      <c r="BP92" s="111"/>
      <c r="BQ92" s="112"/>
      <c r="BR92" s="112"/>
      <c r="BS92" s="112"/>
    </row>
    <row r="93" spans="1:72" s="106" customFormat="1" x14ac:dyDescent="0.15">
      <c r="A93" s="146"/>
      <c r="B93" s="92" t="s">
        <v>208</v>
      </c>
      <c r="C93" s="4">
        <v>60</v>
      </c>
      <c r="D93" s="5"/>
      <c r="E93" s="95">
        <f>290-260</f>
        <v>30</v>
      </c>
      <c r="F93" s="96">
        <v>1061</v>
      </c>
      <c r="G93" s="96"/>
      <c r="H93" s="97">
        <v>1032</v>
      </c>
      <c r="I93" s="97"/>
      <c r="J93" s="97"/>
      <c r="K93" s="98"/>
      <c r="L93" s="98"/>
      <c r="M93" s="98"/>
      <c r="N93" s="99"/>
      <c r="O93" s="99"/>
      <c r="P93" s="97">
        <v>36</v>
      </c>
      <c r="Q93" s="96">
        <v>19</v>
      </c>
      <c r="R93" s="97">
        <f>172+U93</f>
        <v>174</v>
      </c>
      <c r="S93" s="96">
        <f>27+U93</f>
        <v>29</v>
      </c>
      <c r="T93" s="93">
        <f>IF(R93&gt;0.9,SUM(R93:S93)-U93,"")</f>
        <v>201</v>
      </c>
      <c r="U93" s="100">
        <v>2</v>
      </c>
      <c r="V93" s="101">
        <f>IF(U93&gt;0.9,(IF(R93&gt;S93,U93/S93,U93/R93)),"")</f>
        <v>6.8965517241379309E-2</v>
      </c>
      <c r="W93" s="102">
        <v>78</v>
      </c>
      <c r="X93" s="103">
        <v>17.2</v>
      </c>
      <c r="Y93" s="104" t="str">
        <f>IF(A93="x","x",IF(W93&gt;1,(IF(R93&gt;1,(IF(R93&gt;S93,(IF((R93/S93)&lt;5,AVERAGE(W93:X93),"")),IF(R93&lt;S93,(IF((S93/R93)&lt;5,AVERAGE(W93:X93),""))))),"")),""))</f>
        <v/>
      </c>
      <c r="AC93" s="99"/>
      <c r="AD93" s="98"/>
      <c r="AE93" s="99"/>
      <c r="AO93" s="107"/>
      <c r="AP93" s="107"/>
      <c r="AQ93" s="107"/>
      <c r="AR93" s="108"/>
      <c r="AS93" s="108"/>
      <c r="AT93" s="108"/>
      <c r="AU93" s="96"/>
      <c r="AV93" s="96"/>
      <c r="AW93" s="97"/>
      <c r="AX93" s="97"/>
      <c r="AY93" s="97"/>
      <c r="AZ93" s="93"/>
      <c r="BA93" s="93"/>
      <c r="BB93" s="93"/>
      <c r="BC93" s="93"/>
      <c r="BD93" s="93"/>
      <c r="BE93" s="97"/>
      <c r="BF93" s="97"/>
      <c r="BG93" s="96"/>
      <c r="BH93" s="96"/>
      <c r="BI93" s="110"/>
      <c r="BJ93" s="110"/>
      <c r="BK93" s="108"/>
      <c r="BL93" s="108"/>
      <c r="BM93" s="107"/>
      <c r="BN93" s="107"/>
      <c r="BO93" s="111"/>
      <c r="BP93" s="111"/>
      <c r="BQ93" s="112"/>
      <c r="BR93" s="112"/>
      <c r="BS93" s="112"/>
    </row>
    <row r="94" spans="1:72" s="106" customFormat="1" x14ac:dyDescent="0.15">
      <c r="A94" s="146"/>
      <c r="B94" s="92" t="s">
        <v>209</v>
      </c>
      <c r="C94" s="4">
        <v>60</v>
      </c>
      <c r="D94" s="5"/>
      <c r="E94" s="95">
        <v>53</v>
      </c>
      <c r="F94" s="96"/>
      <c r="G94" s="96"/>
      <c r="H94" s="97"/>
      <c r="I94" s="97"/>
      <c r="J94" s="97"/>
      <c r="K94" s="98"/>
      <c r="L94" s="98"/>
      <c r="M94" s="98"/>
      <c r="N94" s="99"/>
      <c r="O94" s="99"/>
      <c r="P94" s="97">
        <v>28</v>
      </c>
      <c r="Q94" s="96">
        <v>23</v>
      </c>
      <c r="R94" s="97">
        <f>79+U94</f>
        <v>83</v>
      </c>
      <c r="S94" s="96">
        <f>67+U94</f>
        <v>71</v>
      </c>
      <c r="T94" s="93">
        <f>IF(R94&gt;0.9,SUM(R94:S94)-U94,"")</f>
        <v>150</v>
      </c>
      <c r="U94" s="100">
        <v>4</v>
      </c>
      <c r="V94" s="101">
        <f>IF(U94&gt;0.9,(IF(R94&gt;S94,U94/S94,U94/R94)),"")</f>
        <v>5.6338028169014086E-2</v>
      </c>
      <c r="W94" s="102">
        <v>53</v>
      </c>
      <c r="X94" s="103">
        <v>54.2</v>
      </c>
      <c r="Y94" s="104">
        <f>IF(A94="x","x",IF(W94&gt;1,(IF(R94&gt;1,(IF(R94&gt;S94,(IF((R94/S94)&lt;5,AVERAGE(W94:X94),"")),IF(R94&lt;S94,(IF((S94/R94)&lt;5,AVERAGE(W94:X94),""))))),"")),""))</f>
        <v>53.6</v>
      </c>
      <c r="AC94" s="99"/>
      <c r="AD94" s="98"/>
      <c r="AE94" s="99"/>
      <c r="AO94" s="107"/>
      <c r="AP94" s="107"/>
      <c r="AQ94" s="107"/>
      <c r="AR94" s="108"/>
      <c r="AS94" s="108"/>
      <c r="AT94" s="108"/>
      <c r="AU94" s="96"/>
      <c r="AV94" s="96"/>
      <c r="AW94" s="97"/>
      <c r="AX94" s="97"/>
      <c r="AY94" s="97"/>
      <c r="AZ94" s="93"/>
      <c r="BA94" s="93"/>
      <c r="BB94" s="93"/>
      <c r="BC94" s="93"/>
      <c r="BD94" s="93"/>
      <c r="BE94" s="97"/>
      <c r="BF94" s="97"/>
      <c r="BG94" s="96"/>
      <c r="BH94" s="96"/>
      <c r="BI94" s="110"/>
      <c r="BJ94" s="110"/>
      <c r="BK94" s="108"/>
      <c r="BL94" s="108"/>
      <c r="BM94" s="107"/>
      <c r="BN94" s="107"/>
      <c r="BO94" s="111"/>
      <c r="BP94" s="111"/>
      <c r="BQ94" s="112"/>
      <c r="BR94" s="112"/>
      <c r="BS94" s="112"/>
    </row>
    <row r="95" spans="1:72" x14ac:dyDescent="0.15">
      <c r="A95" s="91"/>
      <c r="B95" s="3" t="s">
        <v>379</v>
      </c>
      <c r="C95" s="4">
        <v>60</v>
      </c>
      <c r="E95" s="118">
        <f>50*1.92</f>
        <v>96</v>
      </c>
      <c r="N95" s="6"/>
      <c r="O95" s="6"/>
      <c r="R95" s="7">
        <v>28</v>
      </c>
      <c r="S95" s="6">
        <v>84</v>
      </c>
      <c r="T95" s="93">
        <f>IF(R95&gt;0.9,SUM(R95:S95)-U95,"")</f>
        <v>110</v>
      </c>
      <c r="U95" s="8">
        <v>2</v>
      </c>
      <c r="V95" s="101">
        <f>IF(U95&gt;0.9,(IF(R95&gt;S95,U95/S95,U95/R95)),"")</f>
        <v>7.1428571428571425E-2</v>
      </c>
      <c r="W95" s="9">
        <v>31.7</v>
      </c>
      <c r="X95" s="376">
        <v>76.2</v>
      </c>
      <c r="Y95" s="104">
        <f>IF(A95="x","x",IF(W95&gt;1,(IF(R95&gt;1,(IF(R95&gt;S95,(IF((R95/S95)&lt;5,AVERAGE(W95:X95),"")),IF(R95&lt;S95,(IF((S95/R95)&lt;5,AVERAGE(W95:X95),""))))),"")),""))</f>
        <v>53.95</v>
      </c>
      <c r="AO95" s="12"/>
      <c r="AP95" s="12"/>
      <c r="AQ95" s="12"/>
      <c r="AR95" s="13"/>
      <c r="AS95" s="13"/>
      <c r="AT95" s="13"/>
      <c r="AU95" s="6"/>
      <c r="AV95" s="6"/>
      <c r="AW95" s="7"/>
      <c r="AX95" s="7"/>
      <c r="AY95" s="7"/>
      <c r="AZ95" s="4"/>
      <c r="BA95" s="4"/>
      <c r="BB95" s="4"/>
      <c r="BC95" s="4"/>
      <c r="BD95" s="4"/>
      <c r="BE95" s="14"/>
      <c r="BF95" s="14"/>
      <c r="BG95" s="15"/>
      <c r="BH95" s="15"/>
      <c r="BI95" s="16"/>
      <c r="BJ95" s="16"/>
      <c r="BK95" s="13"/>
      <c r="BL95" s="13"/>
      <c r="BM95" s="12"/>
      <c r="BN95" s="12"/>
      <c r="BO95" s="17"/>
      <c r="BP95" s="17"/>
      <c r="BQ95" s="18"/>
      <c r="BR95" s="18"/>
      <c r="BS95" s="18"/>
    </row>
    <row r="96" spans="1:72" s="106" customFormat="1" x14ac:dyDescent="0.15">
      <c r="A96" s="146"/>
      <c r="B96" s="92"/>
      <c r="C96" s="93"/>
      <c r="D96" s="94"/>
      <c r="E96" s="95"/>
      <c r="F96" s="96"/>
      <c r="G96" s="96"/>
      <c r="H96" s="97"/>
      <c r="I96" s="97"/>
      <c r="J96" s="97"/>
      <c r="K96" s="98"/>
      <c r="L96" s="98"/>
      <c r="M96" s="98"/>
      <c r="N96" s="99"/>
      <c r="O96" s="99"/>
      <c r="P96" s="99"/>
      <c r="Q96" s="97"/>
      <c r="R96" s="96"/>
      <c r="S96" s="97"/>
      <c r="T96" s="96"/>
      <c r="U96" s="93"/>
      <c r="V96" s="100"/>
      <c r="W96" s="101"/>
      <c r="X96" s="374"/>
      <c r="Y96" s="378"/>
      <c r="Z96" s="375"/>
      <c r="AD96" s="99"/>
      <c r="AE96" s="98"/>
      <c r="AF96" s="99"/>
      <c r="AP96" s="107"/>
      <c r="AQ96" s="107"/>
      <c r="AR96" s="107"/>
      <c r="AS96" s="108"/>
      <c r="AT96" s="108"/>
      <c r="AU96" s="108"/>
      <c r="AV96" s="96"/>
      <c r="AW96" s="96"/>
      <c r="AX96" s="97"/>
      <c r="AY96" s="97"/>
      <c r="AZ96" s="97"/>
      <c r="BA96" s="93"/>
      <c r="BB96" s="93"/>
      <c r="BC96" s="93"/>
      <c r="BD96" s="93"/>
      <c r="BE96" s="93"/>
      <c r="BF96" s="97"/>
      <c r="BG96" s="97"/>
      <c r="BH96" s="96"/>
      <c r="BI96" s="96"/>
      <c r="BJ96" s="110"/>
      <c r="BK96" s="110"/>
      <c r="BL96" s="108"/>
      <c r="BM96" s="108"/>
      <c r="BN96" s="107"/>
      <c r="BO96" s="107"/>
      <c r="BP96" s="111"/>
      <c r="BQ96" s="111"/>
      <c r="BR96" s="112"/>
      <c r="BS96" s="112"/>
      <c r="BT96" s="112"/>
    </row>
    <row r="97" spans="1:72" s="106" customFormat="1" x14ac:dyDescent="0.15">
      <c r="A97" s="146"/>
      <c r="B97" s="92"/>
      <c r="C97" s="4"/>
      <c r="D97" s="5"/>
      <c r="E97" s="95"/>
      <c r="F97" s="96"/>
      <c r="G97" s="96"/>
      <c r="H97" s="97"/>
      <c r="I97" s="97"/>
      <c r="J97" s="97"/>
      <c r="K97" s="98"/>
      <c r="L97" s="98"/>
      <c r="M97" s="98"/>
      <c r="N97" s="99"/>
      <c r="O97" s="99"/>
      <c r="P97" s="99"/>
      <c r="Q97" s="97"/>
      <c r="R97" s="96"/>
      <c r="S97" s="97"/>
      <c r="T97" s="96"/>
      <c r="U97" s="93"/>
      <c r="V97" s="100"/>
      <c r="W97" s="101"/>
      <c r="X97" s="102"/>
      <c r="Y97" s="377"/>
      <c r="Z97" s="104"/>
      <c r="AD97" s="99"/>
      <c r="AE97" s="98"/>
      <c r="AF97" s="99"/>
      <c r="AP97" s="107"/>
      <c r="AQ97" s="107"/>
      <c r="AR97" s="107"/>
      <c r="AS97" s="108"/>
      <c r="AT97" s="108"/>
      <c r="AU97" s="108"/>
      <c r="AV97" s="96"/>
      <c r="AW97" s="96"/>
      <c r="AX97" s="97"/>
      <c r="AY97" s="97"/>
      <c r="AZ97" s="97"/>
      <c r="BA97" s="93"/>
      <c r="BB97" s="93"/>
      <c r="BC97" s="93"/>
      <c r="BD97" s="93"/>
      <c r="BE97" s="93"/>
      <c r="BF97" s="97"/>
      <c r="BG97" s="97"/>
      <c r="BH97" s="96"/>
      <c r="BI97" s="96"/>
      <c r="BJ97" s="110"/>
      <c r="BK97" s="110"/>
      <c r="BL97" s="108"/>
      <c r="BM97" s="108"/>
      <c r="BN97" s="107"/>
      <c r="BO97" s="107"/>
      <c r="BP97" s="111"/>
      <c r="BQ97" s="111"/>
      <c r="BR97" s="112"/>
      <c r="BS97" s="112"/>
      <c r="BT97" s="112"/>
    </row>
    <row r="98" spans="1:72" s="106" customFormat="1" x14ac:dyDescent="0.15">
      <c r="A98" s="146"/>
      <c r="B98" s="92"/>
      <c r="C98" s="4"/>
      <c r="D98" s="5"/>
      <c r="E98" s="95"/>
      <c r="F98" s="96"/>
      <c r="G98" s="96"/>
      <c r="H98" s="97"/>
      <c r="I98" s="97"/>
      <c r="J98" s="97"/>
      <c r="K98" s="98"/>
      <c r="L98" s="98"/>
      <c r="M98" s="98"/>
      <c r="N98" s="99"/>
      <c r="O98" s="99"/>
      <c r="P98" s="99"/>
      <c r="Q98" s="97"/>
      <c r="R98" s="96"/>
      <c r="S98" s="97"/>
      <c r="T98" s="96"/>
      <c r="U98" s="93"/>
      <c r="V98" s="100"/>
      <c r="W98" s="101"/>
      <c r="X98" s="102"/>
      <c r="Y98" s="103"/>
      <c r="Z98" s="104"/>
      <c r="AD98" s="99"/>
      <c r="AE98" s="98"/>
      <c r="AF98" s="99"/>
      <c r="AP98" s="107"/>
      <c r="AQ98" s="107"/>
      <c r="AR98" s="107"/>
      <c r="AS98" s="108"/>
      <c r="AT98" s="108"/>
      <c r="AU98" s="108"/>
      <c r="AV98" s="96"/>
      <c r="AW98" s="96"/>
      <c r="AX98" s="97"/>
      <c r="AY98" s="97"/>
      <c r="AZ98" s="97"/>
      <c r="BA98" s="93"/>
      <c r="BB98" s="93"/>
      <c r="BC98" s="93"/>
      <c r="BD98" s="93"/>
      <c r="BE98" s="93"/>
      <c r="BF98" s="97"/>
      <c r="BG98" s="97"/>
      <c r="BH98" s="96"/>
      <c r="BI98" s="96"/>
      <c r="BJ98" s="110"/>
      <c r="BK98" s="110"/>
      <c r="BL98" s="108"/>
      <c r="BM98" s="108"/>
      <c r="BN98" s="107"/>
      <c r="BO98" s="107"/>
      <c r="BP98" s="111"/>
      <c r="BQ98" s="111"/>
      <c r="BR98" s="112"/>
      <c r="BS98" s="112"/>
      <c r="BT98" s="112"/>
    </row>
    <row r="99" spans="1:72" s="106" customFormat="1" x14ac:dyDescent="0.15">
      <c r="A99" s="146"/>
      <c r="B99" s="92"/>
      <c r="C99" s="4"/>
      <c r="D99" s="5"/>
      <c r="E99" s="95"/>
      <c r="F99" s="96"/>
      <c r="G99" s="96"/>
      <c r="H99" s="97"/>
      <c r="I99" s="97"/>
      <c r="J99" s="97"/>
      <c r="K99" s="98"/>
      <c r="L99" s="98"/>
      <c r="M99" s="98"/>
      <c r="N99" s="99"/>
      <c r="O99" s="99"/>
      <c r="P99" s="99"/>
      <c r="Q99" s="97"/>
      <c r="R99" s="96"/>
      <c r="S99" s="97"/>
      <c r="T99" s="96"/>
      <c r="U99" s="93"/>
      <c r="V99" s="100"/>
      <c r="W99" s="101"/>
      <c r="X99" s="102"/>
      <c r="Y99" s="103"/>
      <c r="Z99" s="104"/>
      <c r="AD99" s="99"/>
      <c r="AE99" s="98"/>
      <c r="AF99" s="99"/>
      <c r="AP99" s="107"/>
      <c r="AQ99" s="107"/>
      <c r="AR99" s="107"/>
      <c r="AS99" s="108"/>
      <c r="AT99" s="108"/>
      <c r="AU99" s="108"/>
      <c r="AV99" s="96"/>
      <c r="AW99" s="96"/>
      <c r="AX99" s="97"/>
      <c r="AY99" s="97"/>
      <c r="AZ99" s="97"/>
      <c r="BA99" s="93"/>
      <c r="BB99" s="93"/>
      <c r="BC99" s="93"/>
      <c r="BD99" s="93"/>
      <c r="BE99" s="93"/>
      <c r="BF99" s="97"/>
      <c r="BG99" s="97"/>
      <c r="BH99" s="96"/>
      <c r="BI99" s="96"/>
      <c r="BJ99" s="110"/>
      <c r="BK99" s="110"/>
      <c r="BL99" s="108"/>
      <c r="BM99" s="108"/>
      <c r="BN99" s="107"/>
      <c r="BO99" s="107"/>
      <c r="BP99" s="111"/>
      <c r="BQ99" s="111"/>
      <c r="BR99" s="112"/>
      <c r="BS99" s="112"/>
      <c r="BT99" s="112"/>
    </row>
    <row r="100" spans="1:72" s="106" customFormat="1" x14ac:dyDescent="0.15">
      <c r="A100" s="146"/>
      <c r="B100" s="92"/>
      <c r="C100" s="4"/>
      <c r="D100" s="5"/>
      <c r="E100" s="95"/>
      <c r="F100" s="96"/>
      <c r="G100" s="96"/>
      <c r="H100" s="97"/>
      <c r="I100" s="97"/>
      <c r="J100" s="97"/>
      <c r="K100" s="98"/>
      <c r="L100" s="98"/>
      <c r="M100" s="98"/>
      <c r="N100" s="99"/>
      <c r="O100" s="99"/>
      <c r="P100" s="99"/>
      <c r="Q100" s="97"/>
      <c r="R100" s="96"/>
      <c r="S100" s="97"/>
      <c r="T100" s="96"/>
      <c r="U100" s="93"/>
      <c r="V100" s="100"/>
      <c r="W100" s="101"/>
      <c r="X100" s="102"/>
      <c r="Y100" s="103"/>
      <c r="Z100" s="104"/>
      <c r="AD100" s="99"/>
      <c r="AE100" s="98"/>
      <c r="AF100" s="99"/>
      <c r="AP100" s="107"/>
      <c r="AQ100" s="107"/>
      <c r="AR100" s="107"/>
      <c r="AS100" s="108"/>
      <c r="AT100" s="108"/>
      <c r="AU100" s="108"/>
      <c r="AV100" s="96"/>
      <c r="AW100" s="96"/>
      <c r="AX100" s="97"/>
      <c r="AY100" s="97"/>
      <c r="AZ100" s="97"/>
      <c r="BA100" s="93"/>
      <c r="BB100" s="93"/>
      <c r="BC100" s="93"/>
      <c r="BD100" s="93"/>
      <c r="BE100" s="93"/>
      <c r="BF100" s="97"/>
      <c r="BG100" s="97"/>
      <c r="BH100" s="96"/>
      <c r="BI100" s="96"/>
      <c r="BJ100" s="110"/>
      <c r="BK100" s="110"/>
      <c r="BL100" s="108"/>
      <c r="BM100" s="108"/>
      <c r="BN100" s="107"/>
      <c r="BO100" s="107"/>
      <c r="BP100" s="111"/>
      <c r="BQ100" s="111"/>
      <c r="BR100" s="112"/>
      <c r="BS100" s="112"/>
      <c r="BT100" s="112"/>
    </row>
    <row r="101" spans="1:72" s="106" customFormat="1" x14ac:dyDescent="0.15">
      <c r="A101" s="146"/>
      <c r="B101" s="92"/>
      <c r="C101" s="4"/>
      <c r="D101" s="5"/>
      <c r="E101" s="95"/>
      <c r="F101" s="96"/>
      <c r="G101" s="96"/>
      <c r="H101" s="97"/>
      <c r="I101" s="97"/>
      <c r="J101" s="97"/>
      <c r="K101" s="98"/>
      <c r="L101" s="98"/>
      <c r="M101" s="98"/>
      <c r="N101" s="99"/>
      <c r="O101" s="99"/>
      <c r="P101" s="99"/>
      <c r="Q101" s="97"/>
      <c r="R101" s="96"/>
      <c r="S101" s="97"/>
      <c r="T101" s="96"/>
      <c r="U101" s="93"/>
      <c r="V101" s="100"/>
      <c r="W101" s="101"/>
      <c r="X101" s="102"/>
      <c r="Y101" s="103"/>
      <c r="Z101" s="104"/>
      <c r="AD101" s="99"/>
      <c r="AE101" s="98"/>
      <c r="AF101" s="99"/>
      <c r="AP101" s="107"/>
      <c r="AQ101" s="107"/>
      <c r="AR101" s="107"/>
      <c r="AS101" s="108"/>
      <c r="AT101" s="108"/>
      <c r="AU101" s="108"/>
      <c r="AV101" s="96"/>
      <c r="AW101" s="96"/>
      <c r="AX101" s="97"/>
      <c r="AY101" s="97"/>
      <c r="AZ101" s="97"/>
      <c r="BA101" s="93"/>
      <c r="BB101" s="93"/>
      <c r="BC101" s="93"/>
      <c r="BD101" s="93"/>
      <c r="BE101" s="93"/>
      <c r="BF101" s="97"/>
      <c r="BG101" s="97"/>
      <c r="BH101" s="96"/>
      <c r="BI101" s="96"/>
      <c r="BJ101" s="110"/>
      <c r="BK101" s="110"/>
      <c r="BL101" s="108"/>
      <c r="BM101" s="108"/>
      <c r="BN101" s="107"/>
      <c r="BO101" s="107"/>
      <c r="BP101" s="111"/>
      <c r="BQ101" s="111"/>
      <c r="BR101" s="112"/>
      <c r="BS101" s="112"/>
      <c r="BT101" s="112"/>
    </row>
    <row r="102" spans="1:72" s="106" customFormat="1" x14ac:dyDescent="0.15">
      <c r="A102" s="146"/>
      <c r="B102" s="92"/>
      <c r="C102" s="4"/>
      <c r="D102" s="5"/>
      <c r="E102" s="95"/>
      <c r="F102" s="96"/>
      <c r="G102" s="96"/>
      <c r="H102" s="97"/>
      <c r="I102" s="97"/>
      <c r="J102" s="97"/>
      <c r="K102" s="98"/>
      <c r="L102" s="98"/>
      <c r="M102" s="98"/>
      <c r="N102" s="99"/>
      <c r="O102" s="99"/>
      <c r="P102" s="99"/>
      <c r="Q102" s="97"/>
      <c r="R102" s="96"/>
      <c r="S102" s="97"/>
      <c r="T102" s="96"/>
      <c r="U102" s="93"/>
      <c r="V102" s="100"/>
      <c r="W102" s="101"/>
      <c r="X102" s="102"/>
      <c r="Y102" s="103"/>
      <c r="Z102" s="104"/>
      <c r="AD102" s="99"/>
      <c r="AE102" s="98"/>
      <c r="AF102" s="99"/>
      <c r="AP102" s="107"/>
      <c r="AQ102" s="107"/>
      <c r="AR102" s="107"/>
      <c r="AS102" s="108"/>
      <c r="AT102" s="108"/>
      <c r="AU102" s="108"/>
      <c r="AV102" s="96"/>
      <c r="AW102" s="96"/>
      <c r="AX102" s="97"/>
      <c r="AY102" s="97"/>
      <c r="AZ102" s="97"/>
      <c r="BA102" s="93"/>
      <c r="BB102" s="93"/>
      <c r="BC102" s="93"/>
      <c r="BD102" s="93"/>
      <c r="BE102" s="93"/>
      <c r="BF102" s="97"/>
      <c r="BG102" s="97"/>
      <c r="BH102" s="96"/>
      <c r="BI102" s="96"/>
      <c r="BJ102" s="110"/>
      <c r="BK102" s="110"/>
      <c r="BL102" s="108"/>
      <c r="BM102" s="108"/>
      <c r="BN102" s="107"/>
      <c r="BO102" s="107"/>
      <c r="BP102" s="111"/>
      <c r="BQ102" s="111"/>
      <c r="BR102" s="112"/>
      <c r="BS102" s="112"/>
      <c r="BT102" s="112"/>
    </row>
    <row r="103" spans="1:72" s="106" customFormat="1" x14ac:dyDescent="0.15">
      <c r="A103" s="146"/>
      <c r="B103" s="92"/>
      <c r="C103" s="4"/>
      <c r="D103" s="5"/>
      <c r="E103" s="95"/>
      <c r="F103" s="96"/>
      <c r="G103" s="96"/>
      <c r="H103" s="97"/>
      <c r="I103" s="97"/>
      <c r="J103" s="97"/>
      <c r="K103" s="98"/>
      <c r="L103" s="98"/>
      <c r="M103" s="98"/>
      <c r="N103" s="99"/>
      <c r="O103" s="99"/>
      <c r="P103" s="99"/>
      <c r="Q103" s="97"/>
      <c r="R103" s="96"/>
      <c r="S103" s="97"/>
      <c r="T103" s="96"/>
      <c r="U103" s="93"/>
      <c r="V103" s="100"/>
      <c r="W103" s="101"/>
      <c r="X103" s="102"/>
      <c r="Y103" s="103"/>
      <c r="Z103" s="104"/>
      <c r="AD103" s="99"/>
      <c r="AE103" s="98"/>
      <c r="AF103" s="99"/>
      <c r="AP103" s="107"/>
      <c r="AQ103" s="107"/>
      <c r="AR103" s="107"/>
      <c r="AS103" s="108"/>
      <c r="AT103" s="108"/>
      <c r="AU103" s="108"/>
      <c r="AV103" s="96"/>
      <c r="AW103" s="96"/>
      <c r="AX103" s="97"/>
      <c r="AY103" s="97"/>
      <c r="AZ103" s="97"/>
      <c r="BA103" s="93"/>
      <c r="BB103" s="93"/>
      <c r="BC103" s="93"/>
      <c r="BD103" s="93"/>
      <c r="BE103" s="93"/>
      <c r="BF103" s="97"/>
      <c r="BG103" s="97"/>
      <c r="BH103" s="96"/>
      <c r="BI103" s="96"/>
      <c r="BJ103" s="110"/>
      <c r="BK103" s="110"/>
      <c r="BL103" s="108"/>
      <c r="BM103" s="108"/>
      <c r="BN103" s="107"/>
      <c r="BO103" s="107"/>
      <c r="BP103" s="111"/>
      <c r="BQ103" s="111"/>
      <c r="BR103" s="112"/>
      <c r="BS103" s="112"/>
      <c r="BT103" s="112"/>
    </row>
    <row r="104" spans="1:72" s="106" customFormat="1" x14ac:dyDescent="0.15">
      <c r="A104" s="146"/>
      <c r="B104" s="92"/>
      <c r="C104" s="4"/>
      <c r="D104" s="5"/>
      <c r="E104" s="95"/>
      <c r="F104" s="96"/>
      <c r="G104" s="96"/>
      <c r="H104" s="97"/>
      <c r="I104" s="97"/>
      <c r="J104" s="97"/>
      <c r="K104" s="98"/>
      <c r="L104" s="98"/>
      <c r="M104" s="98"/>
      <c r="N104" s="99"/>
      <c r="O104" s="99"/>
      <c r="P104" s="99"/>
      <c r="Q104" s="97"/>
      <c r="R104" s="96"/>
      <c r="S104" s="97"/>
      <c r="T104" s="96"/>
      <c r="U104" s="93"/>
      <c r="V104" s="100"/>
      <c r="W104" s="101"/>
      <c r="X104" s="102"/>
      <c r="Y104" s="103"/>
      <c r="Z104" s="104"/>
      <c r="AD104" s="99"/>
      <c r="AE104" s="98"/>
      <c r="AF104" s="99"/>
      <c r="AP104" s="107"/>
      <c r="AQ104" s="107"/>
      <c r="AR104" s="107"/>
      <c r="AS104" s="108"/>
      <c r="AT104" s="108"/>
      <c r="AU104" s="108"/>
      <c r="AV104" s="96"/>
      <c r="AW104" s="96"/>
      <c r="AX104" s="97"/>
      <c r="AY104" s="97"/>
      <c r="AZ104" s="97"/>
      <c r="BA104" s="93"/>
      <c r="BB104" s="93"/>
      <c r="BC104" s="93"/>
      <c r="BD104" s="93"/>
      <c r="BE104" s="93"/>
      <c r="BF104" s="97"/>
      <c r="BG104" s="97"/>
      <c r="BH104" s="96"/>
      <c r="BI104" s="96"/>
      <c r="BJ104" s="110"/>
      <c r="BK104" s="110"/>
      <c r="BL104" s="108"/>
      <c r="BM104" s="108"/>
      <c r="BN104" s="107"/>
      <c r="BO104" s="107"/>
      <c r="BP104" s="111"/>
      <c r="BQ104" s="111"/>
      <c r="BR104" s="112"/>
      <c r="BS104" s="112"/>
      <c r="BT104" s="112"/>
    </row>
    <row r="106" spans="1:72" s="70" customFormat="1" x14ac:dyDescent="0.15">
      <c r="A106" s="114" t="s">
        <v>197</v>
      </c>
      <c r="B106" s="70" t="e">
        <f>STDEV(D91:D94)</f>
        <v>#DIV/0!</v>
      </c>
      <c r="D106" s="82" t="e">
        <f>AVERAGE(D91:D94)</f>
        <v>#DIV/0!</v>
      </c>
      <c r="E106" s="82">
        <f>AVERAGE(E92:E104)</f>
        <v>54.053897032964201</v>
      </c>
      <c r="F106" s="83">
        <f>STDEV(E92:E104)</f>
        <v>29.567464451086639</v>
      </c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>
        <f>AVERAGE(R91:R94)</f>
        <v>152</v>
      </c>
      <c r="S106" s="73">
        <f>AVERAGE(S91:S94)</f>
        <v>78.333333333333329</v>
      </c>
      <c r="T106" s="73">
        <f>SUM(R106:S106)</f>
        <v>230.33333333333331</v>
      </c>
      <c r="U106" s="73">
        <f>AVERAGE(U91:U94)</f>
        <v>3.3333333333333335</v>
      </c>
      <c r="V106" s="133">
        <f>U106/S106</f>
        <v>4.2553191489361708E-2</v>
      </c>
      <c r="Y106" s="82">
        <f>AVERAGE(Y91:Y104)</f>
        <v>55.533333333333339</v>
      </c>
      <c r="Z106" s="83">
        <f>STDEV(Y91:Y104)</f>
        <v>3.0505463991444737</v>
      </c>
      <c r="AF106" s="70">
        <f>(AG106/AVERAGE(AF91:AF94))*AF17</f>
        <v>1.5669987023435535E-2</v>
      </c>
      <c r="AG106" s="70">
        <f t="shared" ref="AG106:AM106" si="25">AVERAGE(AG91:AG94)</f>
        <v>0.36558079725675097</v>
      </c>
      <c r="AH106" s="215">
        <f t="shared" si="25"/>
        <v>8.5289999999999999</v>
      </c>
      <c r="AI106" s="215" t="e">
        <f t="shared" si="25"/>
        <v>#DIV/0!</v>
      </c>
      <c r="AJ106" s="215" t="e">
        <f t="shared" si="25"/>
        <v>#DIV/0!</v>
      </c>
      <c r="AK106" s="215" t="e">
        <f t="shared" si="25"/>
        <v>#DIV/0!</v>
      </c>
      <c r="AL106" s="215" t="e">
        <f t="shared" si="25"/>
        <v>#DIV/0!</v>
      </c>
      <c r="AM106" s="215" t="e">
        <f t="shared" si="25"/>
        <v>#DIV/0!</v>
      </c>
      <c r="AN106" s="73"/>
      <c r="AO106" s="73"/>
      <c r="AP106" s="73"/>
      <c r="AQ106" s="73"/>
    </row>
    <row r="109" spans="1:72" x14ac:dyDescent="0.15">
      <c r="D109" s="4">
        <v>0</v>
      </c>
      <c r="E109">
        <v>4.1750000000000002E-2</v>
      </c>
      <c r="F109" s="313">
        <v>3.7000000000000002E-3</v>
      </c>
      <c r="G109"/>
    </row>
    <row r="110" spans="1:72" x14ac:dyDescent="0.15">
      <c r="D110" s="4">
        <v>2</v>
      </c>
      <c r="E110">
        <v>4.5319999999999999E-2</v>
      </c>
      <c r="F110" s="314">
        <v>5.5420000000000001E-3</v>
      </c>
      <c r="G110"/>
    </row>
    <row r="111" spans="1:72" x14ac:dyDescent="0.15">
      <c r="D111" s="4">
        <v>4</v>
      </c>
      <c r="E111">
        <v>6.4729999999999996E-2</v>
      </c>
      <c r="F111" s="314">
        <v>6.0800000000000003E-3</v>
      </c>
      <c r="G111"/>
    </row>
    <row r="112" spans="1:72" x14ac:dyDescent="0.15">
      <c r="D112" s="4">
        <v>8</v>
      </c>
      <c r="E112">
        <v>0.18779999999999999</v>
      </c>
      <c r="F112" s="314">
        <v>1.03E-2</v>
      </c>
      <c r="G112"/>
    </row>
    <row r="113" spans="4:7" x14ac:dyDescent="0.15">
      <c r="D113" s="4">
        <v>12</v>
      </c>
      <c r="E113">
        <v>0.15490000000000001</v>
      </c>
      <c r="F113" s="314">
        <v>9.6509999999999999E-3</v>
      </c>
      <c r="G113"/>
    </row>
    <row r="114" spans="4:7" x14ac:dyDescent="0.15">
      <c r="D114" s="4">
        <v>22</v>
      </c>
      <c r="E114">
        <v>0.17510000000000001</v>
      </c>
      <c r="F114" s="315">
        <v>3.6380000000000003E-2</v>
      </c>
      <c r="G114"/>
    </row>
    <row r="125" spans="4:7" x14ac:dyDescent="0.15">
      <c r="E125" s="118">
        <f>E19-150</f>
        <v>750</v>
      </c>
    </row>
    <row r="126" spans="4:7" x14ac:dyDescent="0.15">
      <c r="E126" s="118">
        <f>E20-200</f>
        <v>600</v>
      </c>
    </row>
    <row r="127" spans="4:7" x14ac:dyDescent="0.15">
      <c r="E127" s="118">
        <f t="shared" ref="E127:E140" si="26">E21-200</f>
        <v>550</v>
      </c>
    </row>
    <row r="128" spans="4:7" x14ac:dyDescent="0.15">
      <c r="E128" s="118">
        <f t="shared" si="26"/>
        <v>400</v>
      </c>
    </row>
    <row r="129" spans="5:26" x14ac:dyDescent="0.15">
      <c r="E129" s="118">
        <f t="shared" si="26"/>
        <v>200</v>
      </c>
    </row>
    <row r="130" spans="5:26" x14ac:dyDescent="0.15">
      <c r="E130" s="118">
        <f t="shared" si="26"/>
        <v>100</v>
      </c>
    </row>
    <row r="131" spans="5:26" x14ac:dyDescent="0.15">
      <c r="E131" s="118">
        <f t="shared" si="26"/>
        <v>200</v>
      </c>
      <c r="Y131">
        <v>0.1638</v>
      </c>
      <c r="Z131" s="2">
        <v>2.1270000000000001E-2</v>
      </c>
    </row>
    <row r="132" spans="5:26" x14ac:dyDescent="0.15">
      <c r="E132" s="118">
        <f t="shared" si="26"/>
        <v>200</v>
      </c>
    </row>
    <row r="133" spans="5:26" x14ac:dyDescent="0.15">
      <c r="E133" s="118">
        <f t="shared" si="26"/>
        <v>50</v>
      </c>
    </row>
    <row r="134" spans="5:26" x14ac:dyDescent="0.15">
      <c r="E134" s="118">
        <v>50</v>
      </c>
    </row>
    <row r="135" spans="5:26" x14ac:dyDescent="0.15">
      <c r="E135" s="118">
        <f t="shared" si="26"/>
        <v>100</v>
      </c>
    </row>
    <row r="136" spans="5:26" x14ac:dyDescent="0.15">
      <c r="E136" s="118">
        <f t="shared" si="26"/>
        <v>100</v>
      </c>
    </row>
    <row r="137" spans="5:26" x14ac:dyDescent="0.15">
      <c r="E137" s="118">
        <f t="shared" si="26"/>
        <v>250</v>
      </c>
    </row>
    <row r="138" spans="5:26" x14ac:dyDescent="0.15">
      <c r="E138" s="118">
        <f t="shared" si="26"/>
        <v>300</v>
      </c>
    </row>
    <row r="139" spans="5:26" x14ac:dyDescent="0.15">
      <c r="E139" s="118">
        <f t="shared" si="26"/>
        <v>150</v>
      </c>
    </row>
    <row r="140" spans="5:26" x14ac:dyDescent="0.15">
      <c r="E140" s="118">
        <f t="shared" si="26"/>
        <v>650</v>
      </c>
    </row>
  </sheetData>
  <sheetProtection selectLockedCells="1" selectUnlockedCells="1"/>
  <mergeCells count="1">
    <mergeCell ref="W1:Y1"/>
  </mergeCells>
  <phoneticPr fontId="26" type="noConversion"/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59"/>
  <sheetViews>
    <sheetView zoomScaleNormal="100" workbookViewId="0">
      <selection activeCell="N14" sqref="N14:Q14"/>
    </sheetView>
  </sheetViews>
  <sheetFormatPr baseColWidth="10" defaultColWidth="10.6640625" defaultRowHeight="13" x14ac:dyDescent="0.15"/>
  <cols>
    <col min="1" max="2" width="10.6640625" style="240"/>
    <col min="3" max="3" width="5.5" style="241" customWidth="1"/>
    <col min="4" max="6" width="7.1640625" style="242" customWidth="1"/>
    <col min="7" max="7" width="7.5" style="241" customWidth="1"/>
    <col min="8" max="8" width="9.1640625" style="241" customWidth="1"/>
    <col min="9" max="13" width="10.6640625" style="240"/>
    <col min="14" max="14" width="15" style="240" customWidth="1"/>
    <col min="15" max="16384" width="10.6640625" style="240"/>
  </cols>
  <sheetData>
    <row r="1" spans="1:26" s="106" customFormat="1" x14ac:dyDescent="0.15">
      <c r="B1" s="137" t="s">
        <v>1</v>
      </c>
      <c r="C1" s="93"/>
      <c r="D1" s="94"/>
      <c r="E1" s="94"/>
      <c r="F1" s="94"/>
      <c r="G1" s="97"/>
      <c r="H1" s="96"/>
      <c r="I1" s="137" t="s">
        <v>4</v>
      </c>
      <c r="N1" s="137" t="s">
        <v>7</v>
      </c>
      <c r="O1" s="510" t="s">
        <v>287</v>
      </c>
      <c r="P1" s="510"/>
      <c r="Q1" s="510"/>
      <c r="R1" s="511" t="s">
        <v>288</v>
      </c>
      <c r="S1" s="511"/>
      <c r="T1" s="511"/>
      <c r="U1" s="511"/>
    </row>
    <row r="2" spans="1:26" s="244" customFormat="1" x14ac:dyDescent="0.15">
      <c r="B2" s="245" t="s">
        <v>22</v>
      </c>
      <c r="C2" s="246" t="s">
        <v>289</v>
      </c>
      <c r="D2" s="247" t="s">
        <v>24</v>
      </c>
      <c r="E2" s="247" t="s">
        <v>290</v>
      </c>
      <c r="F2" s="247" t="s">
        <v>291</v>
      </c>
      <c r="G2" s="248" t="s">
        <v>38</v>
      </c>
      <c r="H2" s="249" t="s">
        <v>39</v>
      </c>
      <c r="I2" s="245" t="s">
        <v>292</v>
      </c>
      <c r="J2" s="250" t="s">
        <v>293</v>
      </c>
      <c r="K2" s="244" t="s">
        <v>294</v>
      </c>
      <c r="L2" s="244" t="s">
        <v>295</v>
      </c>
      <c r="N2" s="245" t="s">
        <v>296</v>
      </c>
      <c r="O2" s="251" t="s">
        <v>297</v>
      </c>
      <c r="P2" s="251" t="s">
        <v>298</v>
      </c>
      <c r="Q2" s="251" t="s">
        <v>299</v>
      </c>
      <c r="R2" s="244" t="s">
        <v>300</v>
      </c>
      <c r="S2" s="244" t="s">
        <v>301</v>
      </c>
      <c r="T2" s="244" t="s">
        <v>302</v>
      </c>
      <c r="U2" s="244" t="s">
        <v>303</v>
      </c>
      <c r="V2" s="244" t="s">
        <v>12</v>
      </c>
    </row>
    <row r="3" spans="1:26" s="252" customFormat="1" x14ac:dyDescent="0.15">
      <c r="C3" s="253"/>
      <c r="D3" s="254"/>
      <c r="E3" s="254"/>
      <c r="F3" s="254"/>
      <c r="G3" s="253"/>
      <c r="H3" s="253"/>
      <c r="I3" s="255"/>
      <c r="J3" s="255"/>
      <c r="K3" s="255"/>
      <c r="L3" s="255"/>
      <c r="M3" s="255"/>
      <c r="N3" s="255"/>
      <c r="O3" s="256"/>
      <c r="P3" s="256"/>
      <c r="Q3" s="256"/>
      <c r="R3" s="255"/>
      <c r="S3" s="255"/>
      <c r="T3" s="255"/>
      <c r="U3" s="255"/>
      <c r="V3" s="255"/>
      <c r="W3" s="255"/>
      <c r="X3" s="255"/>
      <c r="Y3" s="255"/>
      <c r="Z3" s="255"/>
    </row>
    <row r="4" spans="1:26" s="99" customFormat="1" x14ac:dyDescent="0.15">
      <c r="A4" s="92" t="s">
        <v>304</v>
      </c>
      <c r="B4" s="106" t="s">
        <v>305</v>
      </c>
      <c r="C4" s="93">
        <v>0</v>
      </c>
      <c r="D4" s="94">
        <v>1.4</v>
      </c>
      <c r="E4" s="94"/>
      <c r="F4" s="94"/>
      <c r="G4" s="97"/>
      <c r="H4" s="96">
        <v>558</v>
      </c>
      <c r="I4" s="106"/>
      <c r="J4" s="106"/>
      <c r="K4" s="106"/>
      <c r="L4" s="106"/>
      <c r="M4" s="106"/>
      <c r="N4" s="106"/>
      <c r="O4" s="101"/>
      <c r="P4" s="101"/>
      <c r="Q4" s="101"/>
      <c r="R4" s="106"/>
      <c r="S4" s="106"/>
      <c r="T4" s="106"/>
      <c r="U4" s="106"/>
      <c r="V4" s="106"/>
      <c r="W4" s="106"/>
      <c r="X4" s="106"/>
      <c r="Y4" s="106"/>
      <c r="Z4" s="106"/>
    </row>
    <row r="5" spans="1:26" s="99" customFormat="1" x14ac:dyDescent="0.15">
      <c r="A5" s="243"/>
      <c r="B5" s="106" t="s">
        <v>306</v>
      </c>
      <c r="C5" s="93">
        <v>0</v>
      </c>
      <c r="D5" s="94">
        <v>1.3</v>
      </c>
      <c r="E5" s="94"/>
      <c r="F5" s="94"/>
      <c r="G5" s="97">
        <v>453</v>
      </c>
      <c r="H5" s="96"/>
      <c r="I5" s="106"/>
      <c r="J5" s="106"/>
      <c r="K5" s="106"/>
      <c r="L5" s="106"/>
      <c r="M5" s="106"/>
      <c r="N5" s="106"/>
      <c r="O5" s="101"/>
      <c r="P5" s="101"/>
      <c r="Q5" s="101"/>
      <c r="R5" s="106"/>
      <c r="S5" s="106"/>
      <c r="T5" s="106"/>
      <c r="U5" s="106"/>
      <c r="V5" s="106"/>
      <c r="W5" s="106"/>
      <c r="X5" s="106"/>
      <c r="Y5" s="106"/>
      <c r="Z5" s="106"/>
    </row>
    <row r="6" spans="1:26" s="99" customFormat="1" x14ac:dyDescent="0.15">
      <c r="A6" s="257"/>
      <c r="B6" s="106" t="s">
        <v>307</v>
      </c>
      <c r="C6" s="93">
        <v>0</v>
      </c>
      <c r="D6" s="94">
        <v>1.3</v>
      </c>
      <c r="E6" s="94"/>
      <c r="F6" s="94"/>
      <c r="G6" s="97"/>
      <c r="H6" s="96">
        <v>99</v>
      </c>
      <c r="I6" s="106"/>
      <c r="J6" s="106"/>
      <c r="K6" s="106"/>
      <c r="L6" s="106"/>
      <c r="M6" s="106"/>
      <c r="N6" s="106"/>
      <c r="O6" s="101"/>
      <c r="P6" s="101"/>
      <c r="Q6" s="101"/>
      <c r="R6" s="106"/>
      <c r="S6" s="106"/>
      <c r="T6" s="106"/>
      <c r="U6" s="106"/>
      <c r="V6" s="106"/>
      <c r="W6" s="106"/>
      <c r="X6" s="106"/>
      <c r="Y6" s="106"/>
      <c r="Z6" s="106"/>
    </row>
    <row r="7" spans="1:26" s="70" customFormat="1" x14ac:dyDescent="0.15">
      <c r="A7" s="70">
        <f>STDEV(D4:D6)</f>
        <v>5.7735026918962505E-2</v>
      </c>
      <c r="B7" s="70">
        <f>COUNT(D4:D6)</f>
        <v>3</v>
      </c>
      <c r="C7" s="73"/>
      <c r="D7" s="82">
        <f>AVERAGE(D4:D6)</f>
        <v>1.3333333333333333</v>
      </c>
      <c r="E7" s="82"/>
      <c r="F7" s="82"/>
      <c r="G7" s="73"/>
      <c r="H7" s="73"/>
      <c r="O7" s="133"/>
      <c r="P7" s="133"/>
      <c r="Q7" s="133"/>
    </row>
    <row r="8" spans="1:26" s="99" customFormat="1" x14ac:dyDescent="0.15">
      <c r="A8" s="258" t="s">
        <v>308</v>
      </c>
      <c r="B8" s="106" t="s">
        <v>309</v>
      </c>
      <c r="C8" s="93">
        <v>2</v>
      </c>
      <c r="D8" s="94">
        <v>1.85</v>
      </c>
      <c r="E8" s="94"/>
      <c r="F8" s="94"/>
      <c r="G8" s="97"/>
      <c r="H8" s="96">
        <v>191</v>
      </c>
      <c r="I8" s="106"/>
      <c r="J8" s="106"/>
      <c r="K8" s="106"/>
      <c r="L8" s="106"/>
      <c r="M8" s="259">
        <v>30.564</v>
      </c>
      <c r="N8" s="259">
        <v>11.005000000000001</v>
      </c>
      <c r="O8" s="260">
        <f>9.057/N8</f>
        <v>0.82298955020445252</v>
      </c>
      <c r="P8" s="260">
        <f>0.97/N8</f>
        <v>8.814175374829622E-2</v>
      </c>
      <c r="Q8" s="260">
        <f>0.057/M8</f>
        <v>1.8649391440910877E-3</v>
      </c>
      <c r="R8" s="106"/>
      <c r="S8" s="106"/>
      <c r="T8" s="106"/>
      <c r="U8" s="106"/>
      <c r="V8" s="106"/>
      <c r="W8" s="106"/>
      <c r="X8" s="106"/>
      <c r="Y8" s="106"/>
      <c r="Z8" s="106"/>
    </row>
    <row r="9" spans="1:26" s="99" customFormat="1" x14ac:dyDescent="0.15">
      <c r="A9" s="257"/>
      <c r="B9" s="106" t="s">
        <v>310</v>
      </c>
      <c r="C9" s="93">
        <v>2</v>
      </c>
      <c r="D9" s="94">
        <v>2</v>
      </c>
      <c r="E9" s="94"/>
      <c r="F9" s="94"/>
      <c r="G9" s="97"/>
      <c r="H9" s="96"/>
      <c r="I9" s="106"/>
      <c r="J9" s="106"/>
      <c r="K9" s="106"/>
      <c r="L9" s="106"/>
      <c r="M9" s="106"/>
      <c r="N9" s="106"/>
      <c r="O9" s="101"/>
      <c r="P9" s="101"/>
      <c r="Q9" s="101"/>
      <c r="R9" s="106"/>
      <c r="S9" s="106"/>
      <c r="T9" s="106"/>
      <c r="U9" s="106"/>
      <c r="V9" s="106"/>
      <c r="W9" s="106"/>
      <c r="X9" s="106"/>
      <c r="Y9" s="106"/>
      <c r="Z9" s="106"/>
    </row>
    <row r="10" spans="1:26" s="99" customFormat="1" x14ac:dyDescent="0.15">
      <c r="A10" s="257"/>
      <c r="B10" s="106" t="s">
        <v>311</v>
      </c>
      <c r="C10" s="93">
        <v>2</v>
      </c>
      <c r="D10" s="94">
        <v>1.4</v>
      </c>
      <c r="E10" s="94"/>
      <c r="F10" s="94"/>
      <c r="G10" s="97"/>
      <c r="H10" s="96">
        <v>284</v>
      </c>
      <c r="I10" s="106"/>
      <c r="J10" s="106"/>
      <c r="K10" s="106"/>
      <c r="L10" s="106"/>
      <c r="M10" s="106">
        <v>30.564</v>
      </c>
      <c r="N10" s="106">
        <v>9.3529999999999998</v>
      </c>
      <c r="O10" s="101">
        <f>8.05/N10</f>
        <v>0.8606864107772908</v>
      </c>
      <c r="P10" s="101">
        <f>0.451/N10</f>
        <v>4.8219822516839518E-2</v>
      </c>
      <c r="Q10" s="101">
        <f>0.14/N10</f>
        <v>1.4968459317865928E-2</v>
      </c>
      <c r="R10" s="106"/>
      <c r="S10" s="106"/>
      <c r="T10" s="106">
        <v>320</v>
      </c>
      <c r="U10" s="106">
        <v>0</v>
      </c>
      <c r="V10" s="106"/>
      <c r="W10" s="106"/>
      <c r="X10" s="106"/>
      <c r="Y10" s="106"/>
      <c r="Z10" s="106"/>
    </row>
    <row r="11" spans="1:26" s="99" customFormat="1" x14ac:dyDescent="0.15">
      <c r="A11" s="257"/>
      <c r="B11" s="106" t="s">
        <v>312</v>
      </c>
      <c r="C11" s="93">
        <v>2</v>
      </c>
      <c r="D11" s="94">
        <v>1.7000000000000002</v>
      </c>
      <c r="E11" s="94"/>
      <c r="F11" s="94"/>
      <c r="G11" s="97"/>
      <c r="H11" s="96">
        <v>267</v>
      </c>
      <c r="I11" s="106"/>
      <c r="J11" s="106"/>
      <c r="K11" s="106"/>
      <c r="L11" s="106"/>
      <c r="M11" s="106"/>
      <c r="N11" s="106"/>
      <c r="O11" s="101"/>
      <c r="P11" s="101"/>
      <c r="Q11" s="101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 s="70" customFormat="1" x14ac:dyDescent="0.15">
      <c r="A12" s="70">
        <f>STDEV(D8:D11)</f>
        <v>0.2561737691489902</v>
      </c>
      <c r="B12" s="70">
        <f>COUNT(D8:D11)</f>
        <v>4</v>
      </c>
      <c r="C12" s="73"/>
      <c r="D12" s="82">
        <f>AVERAGE(D8:D11)</f>
        <v>1.7375</v>
      </c>
      <c r="E12" s="82"/>
      <c r="F12" s="82"/>
      <c r="G12" s="73"/>
      <c r="H12" s="73"/>
      <c r="N12" s="70">
        <f>AVERAGE(N8:N11)</f>
        <v>10.179</v>
      </c>
      <c r="O12" s="133">
        <f>AVERAGE(O8:O11)</f>
        <v>0.84183798049087166</v>
      </c>
      <c r="P12" s="133">
        <f>AVERAGE(P8:P11)</f>
        <v>6.8180788132567866E-2</v>
      </c>
      <c r="Q12" s="133">
        <f>AVERAGE(Q8:Q11)</f>
        <v>8.4166992309785086E-3</v>
      </c>
    </row>
    <row r="13" spans="1:26" s="106" customFormat="1" x14ac:dyDescent="0.15">
      <c r="A13" s="261" t="s">
        <v>313</v>
      </c>
      <c r="B13" s="106" t="s">
        <v>314</v>
      </c>
      <c r="C13" s="93">
        <v>4</v>
      </c>
      <c r="D13" s="94">
        <v>1.6</v>
      </c>
      <c r="E13" s="94"/>
      <c r="F13" s="94"/>
      <c r="G13" s="97">
        <v>466</v>
      </c>
      <c r="H13" s="96"/>
      <c r="M13" s="106">
        <v>30.564</v>
      </c>
      <c r="N13" s="106">
        <v>15.393000000000001</v>
      </c>
      <c r="O13" s="101">
        <f>12.837/N13</f>
        <v>0.83395049697914636</v>
      </c>
      <c r="P13" s="101">
        <f>2.081/N13</f>
        <v>0.13519132073020204</v>
      </c>
      <c r="Q13" s="101">
        <f>0.819/N13</f>
        <v>5.3206002728512954E-2</v>
      </c>
      <c r="T13" s="106">
        <v>900</v>
      </c>
      <c r="U13" s="106">
        <v>2100</v>
      </c>
    </row>
    <row r="14" spans="1:26" s="106" customFormat="1" x14ac:dyDescent="0.15">
      <c r="A14" s="261"/>
      <c r="B14" s="106" t="s">
        <v>375</v>
      </c>
      <c r="C14" s="93"/>
      <c r="D14" s="94"/>
      <c r="E14" s="94"/>
      <c r="F14" s="94"/>
      <c r="G14" s="97"/>
      <c r="H14" s="96"/>
      <c r="N14" s="106">
        <v>12.105</v>
      </c>
      <c r="O14" s="149">
        <f>4.853/N14</f>
        <v>0.40090871540685663</v>
      </c>
      <c r="P14" s="149">
        <f>0.823/N14</f>
        <v>6.7988434531185457E-2</v>
      </c>
      <c r="Q14" s="149">
        <f>0.416/N14</f>
        <v>3.4365964477488638E-2</v>
      </c>
    </row>
    <row r="15" spans="1:26" s="70" customFormat="1" x14ac:dyDescent="0.15">
      <c r="B15" s="70">
        <f>COUNT(D13)</f>
        <v>1</v>
      </c>
      <c r="C15" s="73"/>
      <c r="D15" s="82">
        <f>AVERAGE(D13)</f>
        <v>1.6</v>
      </c>
      <c r="E15" s="82"/>
      <c r="F15" s="82"/>
      <c r="G15" s="73"/>
      <c r="H15" s="73"/>
      <c r="M15" s="70">
        <f>AVERAGE(M13)</f>
        <v>30.564</v>
      </c>
      <c r="N15" s="70">
        <f>AVERAGE(N13)</f>
        <v>15.393000000000001</v>
      </c>
      <c r="O15" s="133">
        <f>AVERAGE(O13)</f>
        <v>0.83395049697914636</v>
      </c>
      <c r="P15" s="133">
        <f>AVERAGE(P13)</f>
        <v>0.13519132073020204</v>
      </c>
      <c r="Q15" s="133">
        <f>AVERAGE(Q13)</f>
        <v>5.3206002728512954E-2</v>
      </c>
    </row>
    <row r="16" spans="1:26" s="98" customFormat="1" x14ac:dyDescent="0.15">
      <c r="A16" s="92" t="s">
        <v>315</v>
      </c>
      <c r="B16" s="106" t="s">
        <v>316</v>
      </c>
      <c r="C16" s="93">
        <v>6</v>
      </c>
      <c r="D16" s="94">
        <v>3</v>
      </c>
      <c r="E16" s="94"/>
      <c r="F16" s="94"/>
      <c r="G16" s="97">
        <v>502</v>
      </c>
      <c r="H16" s="96"/>
      <c r="I16" s="106"/>
      <c r="J16" s="106"/>
      <c r="K16" s="106"/>
      <c r="L16" s="106"/>
      <c r="M16" s="106"/>
      <c r="N16" s="106"/>
      <c r="O16" s="101"/>
      <c r="P16" s="101"/>
      <c r="Q16" s="101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64" s="98" customFormat="1" x14ac:dyDescent="0.15">
      <c r="A17" s="106"/>
      <c r="B17" s="106" t="s">
        <v>317</v>
      </c>
      <c r="C17" s="93">
        <v>6</v>
      </c>
      <c r="D17" s="94">
        <v>3.1</v>
      </c>
      <c r="E17" s="94"/>
      <c r="F17" s="94"/>
      <c r="G17" s="97"/>
      <c r="H17" s="96">
        <v>195</v>
      </c>
      <c r="I17" s="106"/>
      <c r="J17" s="106"/>
      <c r="K17" s="106"/>
      <c r="L17" s="106"/>
      <c r="M17" s="106">
        <v>30.56</v>
      </c>
      <c r="N17" s="106">
        <v>10.407999999999999</v>
      </c>
      <c r="O17" s="101">
        <f>5.243/N17</f>
        <v>0.50374711760184476</v>
      </c>
      <c r="P17" s="101">
        <f>0.321/N17</f>
        <v>3.0841660261337434E-2</v>
      </c>
      <c r="Q17" s="101">
        <f>0.093/N17</f>
        <v>8.9354342813220602E-3</v>
      </c>
      <c r="R17" s="106"/>
      <c r="S17" s="106"/>
      <c r="T17" s="106">
        <v>720</v>
      </c>
      <c r="U17" s="106">
        <v>360</v>
      </c>
      <c r="V17" s="106"/>
      <c r="W17" s="106"/>
      <c r="X17" s="106"/>
      <c r="Y17" s="106"/>
      <c r="Z17" s="106"/>
    </row>
    <row r="18" spans="1:64" s="106" customFormat="1" x14ac:dyDescent="0.15">
      <c r="A18" s="262" t="s">
        <v>93</v>
      </c>
      <c r="B18" s="106" t="s">
        <v>318</v>
      </c>
      <c r="C18" s="93">
        <v>6</v>
      </c>
      <c r="D18" s="94">
        <v>4</v>
      </c>
      <c r="E18" s="94"/>
      <c r="F18" s="94"/>
      <c r="G18" s="93">
        <v>191</v>
      </c>
      <c r="H18" s="93"/>
      <c r="I18" s="93"/>
      <c r="J18" s="93"/>
      <c r="K18" s="93"/>
      <c r="L18" s="93"/>
      <c r="M18" s="93"/>
      <c r="N18" s="93"/>
      <c r="O18" s="93"/>
      <c r="P18" s="263" t="str">
        <f>IF(N18&gt;1,SUM(N18:O18),"")</f>
        <v/>
      </c>
      <c r="Q18" s="93"/>
      <c r="R18" s="101" t="str">
        <f>IF(Q18&gt;0.9,(IF(N18&gt;O18,Q18/O18,Q18/N18)),"")</f>
        <v/>
      </c>
      <c r="S18" s="94"/>
      <c r="T18" s="94"/>
      <c r="U18" s="94" t="str">
        <f>IF(S18&gt;1,(IF(N18&gt;1,(IF(N18&gt;O18,(IF((N18/O18)&lt;7,AVERAGE(S18:T18),"")),IF(N18&lt;O18,(IF((O18/N18)&lt;7,AVERAGE(S18:T18),""))))),"")),"")</f>
        <v/>
      </c>
      <c r="AA18" s="99"/>
      <c r="AE18" s="147"/>
      <c r="AF18" s="147"/>
      <c r="AG18" s="147"/>
      <c r="AH18" s="235"/>
      <c r="AI18" s="235"/>
      <c r="AJ18" s="235"/>
      <c r="AL18" s="264"/>
      <c r="AM18" s="264"/>
      <c r="AN18" s="105"/>
      <c r="AU18" s="96"/>
      <c r="AV18" s="96"/>
      <c r="AW18" s="97"/>
      <c r="AX18" s="97"/>
      <c r="AY18" s="96"/>
      <c r="AZ18" s="96"/>
      <c r="BA18" s="97"/>
      <c r="BB18" s="97"/>
      <c r="BC18" s="96"/>
      <c r="BD18" s="96"/>
      <c r="BE18" s="97"/>
      <c r="BF18" s="97"/>
      <c r="BG18" s="97"/>
      <c r="BI18" s="106">
        <f>G18</f>
        <v>191</v>
      </c>
    </row>
    <row r="19" spans="1:64" s="70" customFormat="1" x14ac:dyDescent="0.15">
      <c r="A19" s="70">
        <f>STDEV(D16:D18)</f>
        <v>0.55075705472861136</v>
      </c>
      <c r="B19" s="70">
        <f>COUNT(D16:D18)</f>
        <v>3</v>
      </c>
      <c r="C19" s="73"/>
      <c r="D19" s="82">
        <f>AVERAGE(D16:D18)</f>
        <v>3.3666666666666667</v>
      </c>
      <c r="E19" s="82"/>
      <c r="F19" s="82"/>
      <c r="G19" s="73"/>
      <c r="H19" s="73"/>
      <c r="N19" s="70">
        <f>AVERAGE(N16:N17)</f>
        <v>10.407999999999999</v>
      </c>
      <c r="O19" s="133">
        <f>AVERAGE(O16:O17)</f>
        <v>0.50374711760184476</v>
      </c>
      <c r="P19" s="133">
        <f>AVERAGE(P16:P17)</f>
        <v>3.0841660261337434E-2</v>
      </c>
      <c r="Q19" s="133">
        <f>AVERAGE(Q16:Q17)</f>
        <v>8.9354342813220602E-3</v>
      </c>
    </row>
    <row r="20" spans="1:64" s="196" customFormat="1" x14ac:dyDescent="0.15">
      <c r="A20" s="192" t="s">
        <v>319</v>
      </c>
      <c r="B20" s="196" t="s">
        <v>320</v>
      </c>
      <c r="C20" s="175">
        <v>8</v>
      </c>
      <c r="D20" s="194"/>
      <c r="E20" s="194"/>
      <c r="F20" s="194"/>
      <c r="G20" s="177"/>
      <c r="H20" s="178">
        <v>714</v>
      </c>
      <c r="I20" s="163" t="str">
        <f>IF(G20&gt;0.9,SUM(G20:H20)-J20,"")</f>
        <v/>
      </c>
      <c r="J20" s="175"/>
      <c r="K20" s="169" t="str">
        <f>IF(J20&gt;0.9,(IF(G20&gt;H20,J20/H20,J20/G20)),"")</f>
        <v/>
      </c>
      <c r="L20" s="194"/>
      <c r="M20" s="194"/>
      <c r="N20" s="196">
        <v>16.596</v>
      </c>
      <c r="O20" s="265">
        <f>1.991/N20</f>
        <v>0.11996866714871054</v>
      </c>
      <c r="P20" s="265">
        <f>0.573/N20</f>
        <v>3.4526391901663046E-2</v>
      </c>
      <c r="Q20" s="265">
        <f>0.174/N20</f>
        <v>1.0484454085321764E-2</v>
      </c>
      <c r="Z20" s="265"/>
      <c r="AA20" s="265"/>
      <c r="AB20" s="265"/>
      <c r="AC20" s="266"/>
      <c r="AD20" s="197"/>
      <c r="AE20" s="197"/>
      <c r="AF20" s="197"/>
      <c r="AG20" s="198"/>
      <c r="AH20" s="198"/>
      <c r="AI20" s="198"/>
      <c r="AJ20" s="265"/>
      <c r="AK20" s="265"/>
      <c r="AL20" s="265"/>
      <c r="AN20" s="178"/>
      <c r="AO20" s="178"/>
      <c r="AP20" s="177"/>
      <c r="AQ20" s="177"/>
      <c r="AR20" s="188"/>
      <c r="AS20" s="188"/>
      <c r="AT20" s="27"/>
      <c r="AU20" s="27"/>
      <c r="AV20" s="188"/>
      <c r="AW20" s="188"/>
      <c r="AX20" s="27"/>
      <c r="AY20" s="27"/>
      <c r="AZ20" s="27"/>
      <c r="BA20" s="199"/>
      <c r="BB20" s="199"/>
      <c r="BC20" s="177"/>
      <c r="BD20" s="177"/>
      <c r="BE20" s="175"/>
      <c r="BF20" s="175"/>
      <c r="BG20" s="175"/>
      <c r="BH20" s="175"/>
      <c r="BI20" s="175"/>
      <c r="BJ20" s="175"/>
      <c r="BK20" s="175"/>
    </row>
    <row r="21" spans="1:64" s="259" customFormat="1" x14ac:dyDescent="0.15">
      <c r="A21" s="267"/>
      <c r="B21" s="259" t="s">
        <v>321</v>
      </c>
      <c r="C21" s="268">
        <v>8</v>
      </c>
      <c r="D21" s="269"/>
      <c r="E21" s="269"/>
      <c r="F21" s="269"/>
      <c r="G21" s="270"/>
      <c r="H21" s="271"/>
      <c r="I21" s="93"/>
      <c r="J21" s="268"/>
      <c r="K21" s="101"/>
      <c r="L21" s="269">
        <v>46</v>
      </c>
      <c r="M21" s="269"/>
      <c r="O21" s="272"/>
      <c r="P21" s="272"/>
      <c r="Q21" s="272"/>
      <c r="V21" s="259">
        <v>140</v>
      </c>
      <c r="Z21" s="272"/>
      <c r="AA21" s="272"/>
      <c r="AB21" s="272"/>
      <c r="AC21" s="273"/>
      <c r="AD21" s="274"/>
      <c r="AE21" s="274"/>
      <c r="AF21" s="274"/>
      <c r="AG21" s="275"/>
      <c r="AH21" s="275"/>
      <c r="AI21" s="275"/>
      <c r="AJ21" s="272"/>
      <c r="AK21" s="272"/>
      <c r="AL21" s="272"/>
      <c r="AN21" s="271"/>
      <c r="AO21" s="271"/>
      <c r="AP21" s="270"/>
      <c r="AQ21" s="270"/>
      <c r="AR21" s="96"/>
      <c r="AS21" s="96"/>
      <c r="AT21" s="97"/>
      <c r="AU21" s="97"/>
      <c r="AV21" s="96"/>
      <c r="AW21" s="96"/>
      <c r="AX21" s="97"/>
      <c r="AY21" s="97"/>
      <c r="AZ21" s="97"/>
      <c r="BA21" s="106"/>
      <c r="BB21" s="106"/>
      <c r="BC21" s="270"/>
      <c r="BD21" s="270"/>
      <c r="BE21" s="268"/>
      <c r="BF21" s="268"/>
      <c r="BG21" s="268"/>
      <c r="BH21" s="268"/>
      <c r="BI21" s="268"/>
      <c r="BJ21" s="268"/>
      <c r="BK21" s="268"/>
    </row>
    <row r="22" spans="1:64" s="70" customFormat="1" x14ac:dyDescent="0.15">
      <c r="B22" s="70">
        <f>COUNT(D18:D20)</f>
        <v>2</v>
      </c>
      <c r="C22" s="73"/>
      <c r="D22" s="82"/>
      <c r="E22" s="82"/>
      <c r="F22" s="82"/>
      <c r="G22" s="73"/>
      <c r="H22" s="73"/>
      <c r="N22" s="70">
        <f>AVERAGE(N20:N21)</f>
        <v>16.596</v>
      </c>
      <c r="O22" s="70">
        <f>AVERAGE(O20:O21)</f>
        <v>0.11996866714871054</v>
      </c>
      <c r="P22" s="70">
        <f>AVERAGE(P20:P21)</f>
        <v>3.4526391901663046E-2</v>
      </c>
      <c r="Q22" s="70">
        <f>AVERAGE(Q20:Q21)</f>
        <v>1.0484454085321764E-2</v>
      </c>
    </row>
    <row r="23" spans="1:64" s="98" customFormat="1" x14ac:dyDescent="0.15">
      <c r="A23" s="92" t="s">
        <v>322</v>
      </c>
      <c r="B23" s="106" t="s">
        <v>323</v>
      </c>
      <c r="C23" s="93">
        <v>12</v>
      </c>
      <c r="D23" s="94">
        <v>5.2</v>
      </c>
      <c r="E23" s="94"/>
      <c r="F23" s="94"/>
      <c r="G23" s="97">
        <v>100</v>
      </c>
      <c r="H23" s="96"/>
      <c r="I23" s="106"/>
      <c r="J23" s="106"/>
      <c r="K23" s="106"/>
      <c r="L23" s="106"/>
      <c r="M23" s="106">
        <v>30.791</v>
      </c>
      <c r="N23" s="106">
        <v>11.629</v>
      </c>
      <c r="O23" s="101">
        <f>2.706/N23</f>
        <v>0.23269412675208531</v>
      </c>
      <c r="P23" s="101">
        <f>0.331/N23</f>
        <v>2.8463324447501936E-2</v>
      </c>
      <c r="Q23" s="101">
        <f>0.115/N23</f>
        <v>9.8890704273798275E-3</v>
      </c>
      <c r="R23" s="106"/>
      <c r="S23" s="106"/>
      <c r="T23" s="106"/>
      <c r="U23" s="106"/>
      <c r="V23" s="106"/>
      <c r="W23" s="106"/>
      <c r="X23" s="106"/>
      <c r="Y23" s="106"/>
      <c r="Z23" s="106"/>
    </row>
    <row r="24" spans="1:64" s="98" customFormat="1" x14ac:dyDescent="0.15">
      <c r="A24" s="106"/>
      <c r="B24" s="106" t="s">
        <v>324</v>
      </c>
      <c r="C24" s="93">
        <v>12</v>
      </c>
      <c r="D24" s="94">
        <v>5.7</v>
      </c>
      <c r="E24" s="94"/>
      <c r="F24" s="94"/>
      <c r="G24" s="97"/>
      <c r="H24" s="96">
        <v>163</v>
      </c>
      <c r="I24" s="106"/>
      <c r="J24" s="106"/>
      <c r="K24" s="106"/>
      <c r="L24" s="106"/>
      <c r="M24" s="106">
        <v>30.791</v>
      </c>
      <c r="N24" s="106">
        <v>8.3000000000000007</v>
      </c>
      <c r="O24" s="101">
        <f>0.971/N24</f>
        <v>0.1169879518072289</v>
      </c>
      <c r="P24" s="101">
        <f>0.16/N24</f>
        <v>1.9277108433734938E-2</v>
      </c>
      <c r="Q24" s="101">
        <f>0.088/N24</f>
        <v>1.0602409638554215E-2</v>
      </c>
      <c r="R24" s="106"/>
      <c r="S24" s="106"/>
      <c r="T24" s="106"/>
      <c r="U24" s="106"/>
      <c r="V24" s="106"/>
      <c r="W24" s="106"/>
      <c r="X24" s="106"/>
      <c r="Y24" s="106"/>
      <c r="Z24" s="106"/>
    </row>
    <row r="25" spans="1:64" s="137" customFormat="1" x14ac:dyDescent="0.15">
      <c r="B25" s="137" t="s">
        <v>325</v>
      </c>
      <c r="C25" s="93">
        <v>12</v>
      </c>
      <c r="D25" s="94"/>
      <c r="E25" s="94"/>
      <c r="F25" s="94"/>
      <c r="G25" s="93"/>
      <c r="H25" s="93"/>
      <c r="L25" s="137">
        <v>47</v>
      </c>
    </row>
    <row r="26" spans="1:64" s="276" customFormat="1" x14ac:dyDescent="0.15">
      <c r="A26" s="70">
        <f>STDEV(D23:D25)</f>
        <v>0.35355339059327379</v>
      </c>
      <c r="B26" s="70">
        <f>COUNT(D23:D25)</f>
        <v>2</v>
      </c>
      <c r="C26" s="73"/>
      <c r="D26" s="82">
        <f>AVERAGE(D23:D25)</f>
        <v>5.45</v>
      </c>
      <c r="E26" s="82"/>
      <c r="F26" s="82"/>
      <c r="G26" s="73"/>
      <c r="H26" s="73"/>
      <c r="N26" s="70">
        <f>AVERAGE(N23)</f>
        <v>11.629</v>
      </c>
      <c r="O26" s="133">
        <f>AVERAGE(O23)</f>
        <v>0.23269412675208531</v>
      </c>
      <c r="P26" s="133">
        <f>AVERAGE(P23)</f>
        <v>2.8463324447501936E-2</v>
      </c>
      <c r="Q26" s="133">
        <f>AVERAGE(Q23)</f>
        <v>9.8890704273798275E-3</v>
      </c>
    </row>
    <row r="27" spans="1:64" s="278" customFormat="1" x14ac:dyDescent="0.15">
      <c r="A27" s="277" t="s">
        <v>326</v>
      </c>
      <c r="B27" s="278" t="s">
        <v>327</v>
      </c>
      <c r="C27" s="268">
        <v>16</v>
      </c>
      <c r="D27" s="279"/>
      <c r="E27" s="279"/>
      <c r="F27" s="279"/>
      <c r="G27" s="280"/>
      <c r="H27" s="263">
        <v>61</v>
      </c>
      <c r="I27" s="263"/>
      <c r="J27" s="263"/>
      <c r="K27" s="263"/>
      <c r="L27" s="263">
        <v>20</v>
      </c>
      <c r="M27" s="263"/>
      <c r="N27" s="263"/>
      <c r="O27" s="263"/>
      <c r="P27" s="263"/>
      <c r="Q27" s="263"/>
      <c r="R27" s="263"/>
      <c r="S27" s="263"/>
      <c r="T27" s="93"/>
      <c r="U27" s="263"/>
      <c r="V27" s="101"/>
      <c r="W27" s="281"/>
      <c r="X27" s="281" t="s">
        <v>157</v>
      </c>
      <c r="Y27" s="94"/>
      <c r="AC27" s="282"/>
      <c r="AD27" s="283"/>
      <c r="AE27" s="282"/>
      <c r="AG27" s="106"/>
      <c r="AH27" s="106"/>
      <c r="AI27" s="106"/>
      <c r="AJ27" s="147"/>
      <c r="AK27" s="147"/>
      <c r="AL27" s="147"/>
      <c r="AM27" s="235"/>
      <c r="AN27" s="235"/>
      <c r="AO27" s="235"/>
      <c r="AQ27" s="284"/>
      <c r="AR27" s="284"/>
      <c r="AS27" s="285"/>
      <c r="AZ27" s="286"/>
      <c r="BA27" s="286"/>
      <c r="BB27" s="287"/>
      <c r="BC27" s="287"/>
      <c r="BD27" s="286"/>
      <c r="BE27" s="286"/>
      <c r="BF27" s="287"/>
      <c r="BG27" s="287"/>
      <c r="BH27" s="286"/>
      <c r="BI27" s="286"/>
      <c r="BJ27" s="287"/>
      <c r="BK27" s="287"/>
      <c r="BL27" s="287"/>
    </row>
    <row r="28" spans="1:64" s="98" customFormat="1" x14ac:dyDescent="0.15">
      <c r="A28" s="106"/>
      <c r="B28" s="106" t="s">
        <v>328</v>
      </c>
      <c r="C28" s="93">
        <v>16</v>
      </c>
      <c r="D28" s="94"/>
      <c r="E28" s="94"/>
      <c r="F28" s="94"/>
      <c r="G28" s="97"/>
      <c r="H28" s="96"/>
      <c r="I28" s="106"/>
      <c r="J28" s="106"/>
      <c r="K28" s="106"/>
      <c r="L28" s="106">
        <v>50</v>
      </c>
      <c r="M28" s="106"/>
      <c r="N28" s="106"/>
      <c r="O28" s="101"/>
      <c r="P28" s="101"/>
      <c r="Q28" s="101"/>
      <c r="R28" s="106"/>
      <c r="S28" s="106"/>
      <c r="T28" s="106"/>
      <c r="U28" s="106"/>
      <c r="V28" s="106"/>
      <c r="W28" s="106"/>
      <c r="X28" s="106"/>
      <c r="Y28" s="106"/>
      <c r="Z28" s="106"/>
    </row>
    <row r="29" spans="1:64" s="137" customFormat="1" x14ac:dyDescent="0.15">
      <c r="B29" s="137" t="s">
        <v>329</v>
      </c>
      <c r="C29" s="93">
        <v>16</v>
      </c>
      <c r="D29" s="94"/>
      <c r="E29" s="94"/>
      <c r="F29" s="94"/>
      <c r="G29" s="93"/>
      <c r="H29" s="93"/>
      <c r="L29" s="137">
        <v>76</v>
      </c>
    </row>
    <row r="30" spans="1:64" s="276" customFormat="1" x14ac:dyDescent="0.15">
      <c r="B30" s="70">
        <f>COUNT(D27:D29)</f>
        <v>0</v>
      </c>
      <c r="C30" s="73"/>
      <c r="D30" s="82"/>
      <c r="E30" s="82"/>
      <c r="F30" s="82"/>
      <c r="G30" s="73"/>
      <c r="H30" s="73"/>
      <c r="N30" s="70" t="e">
        <f>AVERAGE(N27:N29)</f>
        <v>#DIV/0!</v>
      </c>
      <c r="O30" s="70" t="e">
        <f>AVERAGE(O27:O29)</f>
        <v>#DIV/0!</v>
      </c>
      <c r="P30" s="70" t="e">
        <f>AVERAGE(P27:P29)</f>
        <v>#DIV/0!</v>
      </c>
      <c r="Q30" s="70" t="e">
        <f>AVERAGE(Q27:Q29)</f>
        <v>#DIV/0!</v>
      </c>
    </row>
    <row r="31" spans="1:64" s="98" customFormat="1" x14ac:dyDescent="0.15">
      <c r="A31" s="92" t="s">
        <v>330</v>
      </c>
      <c r="B31" s="106" t="s">
        <v>331</v>
      </c>
      <c r="C31" s="93">
        <v>22</v>
      </c>
      <c r="D31" s="94">
        <v>7.2</v>
      </c>
      <c r="E31" s="94"/>
      <c r="F31" s="94"/>
      <c r="G31" s="97"/>
      <c r="H31" s="96">
        <v>63</v>
      </c>
      <c r="I31" s="106"/>
      <c r="J31" s="106"/>
      <c r="K31" s="106"/>
      <c r="L31" s="106"/>
      <c r="M31" s="106"/>
      <c r="N31" s="106"/>
      <c r="O31" s="101"/>
      <c r="P31" s="101"/>
      <c r="Q31" s="101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64" s="98" customFormat="1" x14ac:dyDescent="0.15">
      <c r="A32" s="106"/>
      <c r="B32" s="106" t="s">
        <v>332</v>
      </c>
      <c r="C32" s="93">
        <v>21</v>
      </c>
      <c r="D32" s="94">
        <v>8.3000000000000007</v>
      </c>
      <c r="E32" s="94"/>
      <c r="F32" s="94"/>
      <c r="G32" s="97"/>
      <c r="H32" s="97" t="s">
        <v>93</v>
      </c>
      <c r="I32" s="106"/>
      <c r="J32" s="106"/>
      <c r="K32" s="106"/>
      <c r="L32" s="106"/>
      <c r="M32" s="106"/>
      <c r="N32" s="106"/>
      <c r="O32" s="101"/>
      <c r="P32" s="101"/>
      <c r="Q32" s="101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s="98" customFormat="1" x14ac:dyDescent="0.15">
      <c r="A33" s="106"/>
      <c r="B33" s="106" t="s">
        <v>333</v>
      </c>
      <c r="C33" s="93">
        <v>21</v>
      </c>
      <c r="D33" s="94">
        <v>10.3</v>
      </c>
      <c r="E33" s="94"/>
      <c r="F33" s="94"/>
      <c r="G33" s="97"/>
      <c r="H33" s="97" t="s">
        <v>93</v>
      </c>
      <c r="I33" s="106"/>
      <c r="J33" s="106"/>
      <c r="K33" s="106"/>
      <c r="L33" s="106"/>
      <c r="M33" s="106"/>
      <c r="N33" s="106"/>
      <c r="O33" s="101"/>
      <c r="P33" s="101"/>
      <c r="Q33" s="101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s="98" customFormat="1" x14ac:dyDescent="0.15">
      <c r="A34" s="106"/>
      <c r="B34" s="106" t="s">
        <v>334</v>
      </c>
      <c r="C34" s="93">
        <v>25</v>
      </c>
      <c r="D34" s="94">
        <v>10</v>
      </c>
      <c r="E34" s="94"/>
      <c r="F34" s="94"/>
      <c r="G34" s="97"/>
      <c r="H34" s="96" t="s">
        <v>93</v>
      </c>
      <c r="I34" s="106"/>
      <c r="J34" s="106"/>
      <c r="K34" s="106"/>
      <c r="L34" s="106"/>
      <c r="M34" s="106"/>
      <c r="N34" s="106"/>
      <c r="O34" s="101"/>
      <c r="P34" s="101"/>
      <c r="Q34" s="101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s="98" customFormat="1" x14ac:dyDescent="0.15">
      <c r="A35" s="106"/>
      <c r="B35" s="106" t="s">
        <v>335</v>
      </c>
      <c r="C35" s="93">
        <v>24</v>
      </c>
      <c r="D35" s="94">
        <v>10.4</v>
      </c>
      <c r="E35" s="94"/>
      <c r="F35" s="94"/>
      <c r="G35" s="97" t="s">
        <v>93</v>
      </c>
      <c r="H35" s="96"/>
      <c r="I35" s="106"/>
      <c r="J35" s="106"/>
      <c r="K35" s="106"/>
      <c r="L35" s="106"/>
      <c r="M35" s="106"/>
      <c r="N35" s="106"/>
      <c r="O35" s="101"/>
      <c r="P35" s="101"/>
      <c r="Q35" s="101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s="98" customFormat="1" x14ac:dyDescent="0.15">
      <c r="A36" s="106"/>
      <c r="B36" s="106" t="s">
        <v>336</v>
      </c>
      <c r="C36" s="93">
        <v>24</v>
      </c>
      <c r="D36" s="94">
        <v>9.3000000000000007</v>
      </c>
      <c r="E36" s="94"/>
      <c r="F36" s="94"/>
      <c r="G36" s="97" t="s">
        <v>93</v>
      </c>
      <c r="H36" s="96"/>
      <c r="I36" s="106"/>
      <c r="J36" s="106"/>
      <c r="K36" s="106"/>
      <c r="L36" s="106"/>
      <c r="M36" s="106"/>
      <c r="N36" s="106"/>
      <c r="O36" s="101"/>
      <c r="P36" s="101"/>
      <c r="Q36" s="101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s="98" customFormat="1" x14ac:dyDescent="0.15">
      <c r="A37" s="106"/>
      <c r="B37" s="106" t="s">
        <v>337</v>
      </c>
      <c r="C37" s="93">
        <v>24</v>
      </c>
      <c r="D37" s="94">
        <v>11.4</v>
      </c>
      <c r="E37" s="94"/>
      <c r="F37" s="94"/>
      <c r="G37" s="97" t="s">
        <v>93</v>
      </c>
      <c r="H37" s="96"/>
      <c r="I37" s="106"/>
      <c r="J37" s="106"/>
      <c r="K37" s="106"/>
      <c r="L37" s="106"/>
      <c r="M37" s="106"/>
      <c r="N37" s="106"/>
      <c r="O37" s="101"/>
      <c r="P37" s="101"/>
      <c r="Q37" s="101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s="98" customFormat="1" x14ac:dyDescent="0.15">
      <c r="A38" s="106"/>
      <c r="B38" s="106" t="s">
        <v>338</v>
      </c>
      <c r="C38" s="93">
        <v>23</v>
      </c>
      <c r="D38" s="94">
        <v>7.6</v>
      </c>
      <c r="E38" s="94"/>
      <c r="F38" s="94"/>
      <c r="G38" s="97" t="s">
        <v>93</v>
      </c>
      <c r="H38" s="96"/>
      <c r="I38" s="106"/>
      <c r="J38" s="106"/>
      <c r="K38" s="106"/>
      <c r="L38" s="106"/>
      <c r="M38" s="106"/>
      <c r="N38" s="106"/>
      <c r="O38" s="101"/>
      <c r="P38" s="101"/>
      <c r="Q38" s="101"/>
      <c r="R38" s="106"/>
      <c r="S38" s="106"/>
      <c r="T38" s="106"/>
      <c r="U38" s="106"/>
      <c r="V38" s="106"/>
      <c r="W38" s="106"/>
      <c r="X38" s="106"/>
      <c r="Y38" s="106"/>
      <c r="Z38" s="106"/>
    </row>
    <row r="39" spans="1:26" s="276" customFormat="1" x14ac:dyDescent="0.15">
      <c r="A39" s="70">
        <f>STDEV(D31:D38)</f>
        <v>1.4836610124957816</v>
      </c>
      <c r="B39" s="70">
        <f>COUNT(D31:D38)</f>
        <v>8</v>
      </c>
      <c r="C39" s="73"/>
      <c r="D39" s="82">
        <f>AVERAGE(D31:D38)</f>
        <v>9.3125</v>
      </c>
      <c r="E39" s="82"/>
      <c r="F39" s="82"/>
      <c r="G39" s="73"/>
      <c r="H39" s="73"/>
      <c r="N39" s="70"/>
      <c r="O39" s="133"/>
      <c r="P39" s="133"/>
      <c r="Q39" s="133"/>
    </row>
    <row r="40" spans="1:26" s="98" customFormat="1" x14ac:dyDescent="0.15">
      <c r="A40" s="92" t="s">
        <v>339</v>
      </c>
      <c r="B40" s="106" t="s">
        <v>340</v>
      </c>
      <c r="C40" s="93">
        <v>60</v>
      </c>
      <c r="D40" s="94">
        <v>22.2</v>
      </c>
      <c r="E40" s="94">
        <v>912</v>
      </c>
      <c r="F40" s="94">
        <v>1600</v>
      </c>
      <c r="G40" s="97">
        <v>4</v>
      </c>
      <c r="H40" s="96">
        <v>57</v>
      </c>
      <c r="I40" s="106"/>
      <c r="J40" s="106"/>
      <c r="K40" s="106"/>
      <c r="L40" s="106"/>
      <c r="M40" s="106">
        <v>30.916</v>
      </c>
      <c r="N40" s="106">
        <v>10.948</v>
      </c>
      <c r="O40" s="101">
        <f>0.38/N40</f>
        <v>3.4709535988308365E-2</v>
      </c>
      <c r="P40" s="101">
        <f>0.06/N40</f>
        <v>5.4804530507855309E-3</v>
      </c>
      <c r="Q40" s="101">
        <f>0.009/N40</f>
        <v>8.2206795761782965E-4</v>
      </c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s="98" customFormat="1" x14ac:dyDescent="0.15">
      <c r="A41" s="106"/>
      <c r="B41" s="106" t="s">
        <v>341</v>
      </c>
      <c r="C41" s="93">
        <v>60</v>
      </c>
      <c r="D41" s="94">
        <v>23.8</v>
      </c>
      <c r="E41" s="94">
        <v>1138</v>
      </c>
      <c r="F41" s="94">
        <v>1355</v>
      </c>
      <c r="G41" s="97"/>
      <c r="H41" s="96">
        <v>286</v>
      </c>
      <c r="I41" s="106"/>
      <c r="J41" s="106"/>
      <c r="K41" s="106"/>
      <c r="L41" s="106"/>
      <c r="M41" s="106">
        <v>30.620999999999999</v>
      </c>
      <c r="N41" s="106">
        <v>11.318</v>
      </c>
      <c r="O41" s="101">
        <f>0.842/N41</f>
        <v>7.439476939388584E-2</v>
      </c>
      <c r="P41" s="101">
        <f>0.228/N41</f>
        <v>2.0144901926135363E-2</v>
      </c>
      <c r="Q41" s="101">
        <f>0.027/N41</f>
        <v>2.3855804912528717E-3</v>
      </c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s="98" customFormat="1" x14ac:dyDescent="0.15">
      <c r="A42" s="106"/>
      <c r="B42" s="106" t="s">
        <v>342</v>
      </c>
      <c r="C42" s="93"/>
      <c r="D42" s="94"/>
      <c r="E42" s="94"/>
      <c r="F42" s="94"/>
      <c r="G42" s="97"/>
      <c r="H42" s="96"/>
      <c r="I42" s="106"/>
      <c r="J42" s="106"/>
      <c r="K42" s="106"/>
      <c r="L42" s="106"/>
      <c r="M42" s="106"/>
      <c r="N42" s="106"/>
      <c r="O42" s="101"/>
      <c r="P42" s="101"/>
      <c r="Q42" s="101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s="98" customFormat="1" x14ac:dyDescent="0.15">
      <c r="A43" s="106"/>
      <c r="B43" s="106" t="s">
        <v>343</v>
      </c>
      <c r="C43" s="93"/>
      <c r="D43" s="94"/>
      <c r="E43" s="94"/>
      <c r="F43" s="94"/>
      <c r="G43" s="97"/>
      <c r="H43" s="96"/>
      <c r="I43" s="106"/>
      <c r="J43" s="106"/>
      <c r="K43" s="106"/>
      <c r="L43" s="106"/>
      <c r="M43" s="106"/>
      <c r="N43" s="106"/>
      <c r="O43" s="101"/>
      <c r="P43" s="101"/>
      <c r="Q43" s="101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s="98" customFormat="1" x14ac:dyDescent="0.15">
      <c r="A44" s="106"/>
      <c r="B44" s="106" t="s">
        <v>344</v>
      </c>
      <c r="C44" s="93"/>
      <c r="D44" s="94"/>
      <c r="E44" s="94"/>
      <c r="F44" s="94"/>
      <c r="G44" s="97"/>
      <c r="H44" s="96"/>
      <c r="I44" s="106"/>
      <c r="J44" s="106"/>
      <c r="K44" s="106"/>
      <c r="L44" s="106"/>
      <c r="M44" s="106"/>
      <c r="N44" s="106"/>
      <c r="O44" s="101"/>
      <c r="P44" s="101"/>
      <c r="Q44" s="101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s="98" customFormat="1" x14ac:dyDescent="0.15">
      <c r="A45" s="106"/>
      <c r="B45" s="106" t="s">
        <v>345</v>
      </c>
      <c r="C45" s="93">
        <v>60</v>
      </c>
      <c r="D45" s="94"/>
      <c r="E45" s="94"/>
      <c r="F45" s="94"/>
      <c r="G45" s="97"/>
      <c r="H45" s="96">
        <v>35</v>
      </c>
      <c r="I45" s="106"/>
      <c r="J45" s="106"/>
      <c r="K45" s="106"/>
      <c r="L45" s="106">
        <v>27</v>
      </c>
      <c r="M45" s="106"/>
      <c r="N45" s="106"/>
      <c r="O45" s="101"/>
      <c r="P45" s="101"/>
      <c r="Q45" s="101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s="98" customFormat="1" x14ac:dyDescent="0.15">
      <c r="A46" s="106"/>
      <c r="B46" s="106" t="s">
        <v>380</v>
      </c>
      <c r="C46" s="93"/>
      <c r="D46" s="94"/>
      <c r="E46" s="94"/>
      <c r="F46" s="94"/>
      <c r="G46" s="97"/>
      <c r="H46" s="96"/>
      <c r="I46" s="106"/>
      <c r="J46" s="106"/>
      <c r="K46" s="106"/>
      <c r="L46" s="106"/>
      <c r="M46" s="106"/>
      <c r="N46" s="106"/>
      <c r="O46" s="101"/>
      <c r="P46" s="101"/>
      <c r="Q46" s="101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s="276" customFormat="1" x14ac:dyDescent="0.15">
      <c r="A47" s="70">
        <f>STDEV(D40:D45)</f>
        <v>1.1313708498984771</v>
      </c>
      <c r="B47" s="70">
        <f>COUNT(D40:D45)</f>
        <v>2</v>
      </c>
      <c r="C47" s="73"/>
      <c r="D47" s="82">
        <f>AVERAGE(D40:D45)</f>
        <v>23</v>
      </c>
      <c r="E47" s="82"/>
      <c r="F47" s="82"/>
      <c r="G47" s="73"/>
      <c r="H47" s="73"/>
      <c r="N47" s="70">
        <f>AVERAGE(N40)</f>
        <v>10.948</v>
      </c>
      <c r="O47" s="133">
        <f>AVERAGE(O40)</f>
        <v>3.4709535988308365E-2</v>
      </c>
      <c r="P47" s="133">
        <f>AVERAGE(P40)</f>
        <v>5.4804530507855309E-3</v>
      </c>
      <c r="Q47" s="133">
        <f>AVERAGE(Q40)</f>
        <v>8.2206795761782965E-4</v>
      </c>
    </row>
    <row r="48" spans="1:26" s="98" customFormat="1" x14ac:dyDescent="0.15">
      <c r="A48" s="92" t="s">
        <v>346</v>
      </c>
      <c r="B48" s="106" t="s">
        <v>347</v>
      </c>
      <c r="C48" s="93">
        <v>60</v>
      </c>
      <c r="D48" s="94"/>
      <c r="E48" s="94"/>
      <c r="F48" s="94"/>
      <c r="G48" s="97"/>
      <c r="H48" s="96">
        <v>137</v>
      </c>
      <c r="I48" s="106"/>
      <c r="J48" s="106"/>
      <c r="K48" s="106"/>
      <c r="L48" s="106"/>
      <c r="M48" s="106"/>
      <c r="N48" s="106"/>
      <c r="O48" s="101"/>
      <c r="P48" s="101"/>
      <c r="Q48" s="101"/>
      <c r="R48" s="106"/>
      <c r="S48" s="106"/>
      <c r="T48" s="106"/>
      <c r="U48" s="106"/>
      <c r="V48" s="106"/>
      <c r="W48" s="106"/>
      <c r="X48" s="106"/>
      <c r="Y48" s="106"/>
      <c r="Z48" s="106"/>
    </row>
    <row r="49" spans="2:17" s="276" customFormat="1" x14ac:dyDescent="0.15">
      <c r="B49" s="70">
        <f>COUNT(D45:D48)</f>
        <v>1</v>
      </c>
      <c r="C49" s="73"/>
      <c r="D49" s="82"/>
      <c r="E49" s="82"/>
      <c r="F49" s="82"/>
      <c r="G49" s="73"/>
      <c r="H49" s="73"/>
      <c r="N49" s="70" t="e">
        <f>AVERAGE(N48)</f>
        <v>#DIV/0!</v>
      </c>
      <c r="O49" s="133" t="e">
        <f>AVERAGE(O48)</f>
        <v>#DIV/0!</v>
      </c>
      <c r="P49" s="133" t="e">
        <f>AVERAGE(P48)</f>
        <v>#DIV/0!</v>
      </c>
      <c r="Q49" s="133" t="e">
        <f>AVERAGE(Q48)</f>
        <v>#DIV/0!</v>
      </c>
    </row>
    <row r="53" spans="2:17" x14ac:dyDescent="0.15">
      <c r="E53" s="310">
        <v>-9.6550000000000004E-3</v>
      </c>
      <c r="F53" s="310">
        <v>8.7150000000000005E-3</v>
      </c>
      <c r="J53" s="240" t="s">
        <v>348</v>
      </c>
    </row>
    <row r="54" spans="2:17" x14ac:dyDescent="0.15">
      <c r="E54" s="310">
        <v>-6.2519999999999997E-3</v>
      </c>
      <c r="F54" s="310">
        <v>5.6950000000000004E-3</v>
      </c>
    </row>
    <row r="55" spans="2:17" x14ac:dyDescent="0.15">
      <c r="E55" s="310">
        <v>-1.413E-3</v>
      </c>
      <c r="F55" s="310">
        <v>4.2880000000000001E-3</v>
      </c>
    </row>
    <row r="56" spans="2:17" x14ac:dyDescent="0.15">
      <c r="E56" s="310">
        <v>2.513E-2</v>
      </c>
      <c r="F56" s="310">
        <v>5.4549999999999998E-3</v>
      </c>
    </row>
    <row r="57" spans="2:17" x14ac:dyDescent="0.15">
      <c r="E57" s="310">
        <v>7.6300000000000007E-2</v>
      </c>
      <c r="F57" s="310">
        <v>1.583E-2</v>
      </c>
    </row>
    <row r="58" spans="2:17" x14ac:dyDescent="0.15">
      <c r="E58" s="310">
        <v>1.712E-2</v>
      </c>
      <c r="F58" s="310">
        <v>2.9100000000000001E-2</v>
      </c>
    </row>
    <row r="59" spans="2:17" x14ac:dyDescent="0.15">
      <c r="E59" s="310">
        <v>5.364E-2</v>
      </c>
      <c r="F59" s="310">
        <v>2.188E-2</v>
      </c>
    </row>
  </sheetData>
  <sheetProtection selectLockedCells="1" selectUnlockedCells="1"/>
  <mergeCells count="2">
    <mergeCell ref="O1:Q1"/>
    <mergeCell ref="R1:U1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27"/>
  <sheetViews>
    <sheetView zoomScaleNormal="100" workbookViewId="0">
      <selection activeCell="A4" sqref="A4:IV4"/>
    </sheetView>
  </sheetViews>
  <sheetFormatPr baseColWidth="10" defaultColWidth="12" defaultRowHeight="13" x14ac:dyDescent="0.15"/>
  <cols>
    <col min="1" max="16384" width="12" style="1"/>
  </cols>
  <sheetData>
    <row r="1" spans="1:73" s="2" customFormat="1" x14ac:dyDescent="0.15">
      <c r="A1" s="19" t="s">
        <v>0</v>
      </c>
      <c r="B1" s="3" t="s">
        <v>1</v>
      </c>
      <c r="C1" s="4"/>
      <c r="D1" s="5"/>
      <c r="E1" s="20" t="s">
        <v>2</v>
      </c>
      <c r="F1" s="21" t="s">
        <v>3</v>
      </c>
      <c r="G1" s="21"/>
      <c r="H1" s="22"/>
      <c r="I1" s="22"/>
      <c r="J1" s="23" t="s">
        <v>4</v>
      </c>
      <c r="K1" s="23"/>
      <c r="L1" s="23"/>
      <c r="M1" s="24"/>
      <c r="N1" s="24"/>
      <c r="O1" s="24"/>
      <c r="P1" s="25" t="s">
        <v>5</v>
      </c>
      <c r="Q1" s="26"/>
      <c r="R1" s="27"/>
      <c r="S1" s="28"/>
      <c r="T1" s="29"/>
      <c r="U1" s="30"/>
      <c r="V1" s="31"/>
      <c r="W1" s="509" t="s">
        <v>6</v>
      </c>
      <c r="X1" s="509"/>
      <c r="Y1" s="509"/>
      <c r="Z1" s="33"/>
      <c r="AA1" s="33"/>
      <c r="AB1" s="33"/>
      <c r="AC1" s="34"/>
      <c r="AD1" s="34"/>
      <c r="AE1" s="34"/>
      <c r="AF1" s="35" t="s">
        <v>7</v>
      </c>
      <c r="AG1" s="35"/>
      <c r="AH1" s="35"/>
      <c r="AI1" s="36" t="s">
        <v>8</v>
      </c>
      <c r="AJ1" s="36"/>
      <c r="AK1" s="36"/>
      <c r="AL1" s="37"/>
      <c r="AM1" s="37"/>
      <c r="AN1" s="37"/>
      <c r="AO1" s="38" t="s">
        <v>9</v>
      </c>
      <c r="AP1" s="38"/>
      <c r="AQ1" s="39"/>
      <c r="AR1" s="39"/>
      <c r="AS1" s="40" t="s">
        <v>10</v>
      </c>
      <c r="AT1" s="40"/>
      <c r="AU1" s="40"/>
      <c r="AV1" s="40"/>
      <c r="AW1" s="22" t="s">
        <v>11</v>
      </c>
      <c r="AX1" s="22"/>
      <c r="AY1" s="21"/>
      <c r="AZ1" s="21"/>
      <c r="BA1" s="41"/>
      <c r="BB1" s="41"/>
      <c r="BC1" s="42"/>
      <c r="BD1" s="42"/>
      <c r="BE1" s="43"/>
      <c r="BF1" s="43"/>
      <c r="BG1" s="44"/>
      <c r="BH1" s="44"/>
      <c r="BI1" s="45"/>
      <c r="BJ1" s="45"/>
      <c r="BK1" s="45"/>
      <c r="BL1" s="46" t="s">
        <v>12</v>
      </c>
      <c r="BM1" s="46" t="s">
        <v>13</v>
      </c>
      <c r="BN1" s="46" t="s">
        <v>14</v>
      </c>
      <c r="BO1" s="46" t="s">
        <v>15</v>
      </c>
      <c r="BP1" s="46" t="s">
        <v>16</v>
      </c>
      <c r="BQ1" s="46" t="s">
        <v>17</v>
      </c>
      <c r="BR1" s="46" t="s">
        <v>18</v>
      </c>
      <c r="BS1" s="46" t="s">
        <v>19</v>
      </c>
      <c r="BT1" s="46" t="s">
        <v>20</v>
      </c>
      <c r="BU1" s="46" t="s">
        <v>21</v>
      </c>
    </row>
    <row r="2" spans="1:73" s="2" customFormat="1" x14ac:dyDescent="0.15">
      <c r="A2" s="19"/>
      <c r="B2" s="3" t="s">
        <v>22</v>
      </c>
      <c r="C2" s="4" t="s">
        <v>23</v>
      </c>
      <c r="D2" s="5" t="s">
        <v>24</v>
      </c>
      <c r="E2" s="20" t="s">
        <v>25</v>
      </c>
      <c r="F2" s="21" t="s">
        <v>26</v>
      </c>
      <c r="G2" s="21" t="s">
        <v>232</v>
      </c>
      <c r="H2" s="22" t="s">
        <v>28</v>
      </c>
      <c r="I2" s="22" t="s">
        <v>233</v>
      </c>
      <c r="J2" s="23" t="s">
        <v>30</v>
      </c>
      <c r="K2" s="23" t="s">
        <v>31</v>
      </c>
      <c r="L2" s="23" t="s">
        <v>32</v>
      </c>
      <c r="M2" s="47" t="s">
        <v>33</v>
      </c>
      <c r="N2" s="47" t="s">
        <v>34</v>
      </c>
      <c r="O2" s="24" t="s">
        <v>35</v>
      </c>
      <c r="P2" s="48" t="s">
        <v>36</v>
      </c>
      <c r="Q2" s="49" t="s">
        <v>37</v>
      </c>
      <c r="R2" s="50" t="s">
        <v>38</v>
      </c>
      <c r="S2" s="51" t="s">
        <v>39</v>
      </c>
      <c r="T2" s="52" t="s">
        <v>40</v>
      </c>
      <c r="U2" s="53" t="s">
        <v>41</v>
      </c>
      <c r="V2" s="54" t="s">
        <v>42</v>
      </c>
      <c r="W2" s="55" t="s">
        <v>43</v>
      </c>
      <c r="X2" s="32" t="s">
        <v>44</v>
      </c>
      <c r="Y2" s="56" t="s">
        <v>45</v>
      </c>
      <c r="Z2" s="33"/>
      <c r="AA2" s="33"/>
      <c r="AB2" s="33"/>
      <c r="AC2" s="57"/>
      <c r="AD2" s="58"/>
      <c r="AE2" s="59"/>
      <c r="AF2" s="35" t="s">
        <v>46</v>
      </c>
      <c r="AG2" s="35"/>
      <c r="AH2" s="35" t="s">
        <v>47</v>
      </c>
      <c r="AI2" s="36" t="s">
        <v>48</v>
      </c>
      <c r="AJ2" s="36" t="s">
        <v>49</v>
      </c>
      <c r="AK2" s="36" t="s">
        <v>50</v>
      </c>
      <c r="AL2" s="37" t="s">
        <v>51</v>
      </c>
      <c r="AM2" s="37" t="s">
        <v>52</v>
      </c>
      <c r="AN2" s="37" t="s">
        <v>53</v>
      </c>
      <c r="AO2" s="60" t="s">
        <v>54</v>
      </c>
      <c r="AP2" s="60" t="s">
        <v>55</v>
      </c>
      <c r="AQ2" s="61" t="s">
        <v>56</v>
      </c>
      <c r="AR2" s="61" t="s">
        <v>57</v>
      </c>
      <c r="AS2" s="20" t="s">
        <v>12</v>
      </c>
      <c r="AT2" s="20" t="s">
        <v>13</v>
      </c>
      <c r="AU2" s="20" t="s">
        <v>14</v>
      </c>
      <c r="AV2" s="20" t="s">
        <v>15</v>
      </c>
      <c r="AW2" s="22" t="s">
        <v>17</v>
      </c>
      <c r="AX2" s="22" t="s">
        <v>16</v>
      </c>
      <c r="AY2" s="21" t="s">
        <v>19</v>
      </c>
      <c r="AZ2" s="21" t="s">
        <v>18</v>
      </c>
      <c r="BA2" s="62" t="s">
        <v>21</v>
      </c>
      <c r="BB2" s="62" t="s">
        <v>20</v>
      </c>
      <c r="BC2" s="63" t="s">
        <v>58</v>
      </c>
      <c r="BD2" s="63" t="s">
        <v>59</v>
      </c>
      <c r="BE2" s="64" t="s">
        <v>60</v>
      </c>
      <c r="BF2" s="64" t="s">
        <v>61</v>
      </c>
      <c r="BG2" s="65" t="s">
        <v>62</v>
      </c>
      <c r="BH2" s="65" t="s">
        <v>63</v>
      </c>
      <c r="BI2" s="63" t="s">
        <v>58</v>
      </c>
      <c r="BJ2" s="64" t="s">
        <v>60</v>
      </c>
      <c r="BK2" s="65" t="s">
        <v>62</v>
      </c>
      <c r="BL2" s="67" t="e">
        <f>AVERAGE(BC:BC)</f>
        <v>#DIV/0!</v>
      </c>
      <c r="BM2" s="67" t="e">
        <f>SMALL(BA:BA,1)</f>
        <v>#NUM!</v>
      </c>
      <c r="BN2" s="67" t="e">
        <f>LARGE(BA:BA,1)</f>
        <v>#NUM!</v>
      </c>
      <c r="BO2" s="68" t="e">
        <f>IF(BM2&lt;0,(BM2+BN2)/2,(BN2-BM2)/2)</f>
        <v>#NUM!</v>
      </c>
      <c r="BP2" s="69">
        <f>SUM(BG4:BG948)</f>
        <v>0</v>
      </c>
      <c r="BQ2" s="67">
        <f>SUM(BG948:BG4984)</f>
        <v>0</v>
      </c>
      <c r="BR2" s="69">
        <f>SUM(BH4:BH948)</f>
        <v>0</v>
      </c>
      <c r="BS2" s="67">
        <f>SUM(BH948:BH4984)</f>
        <v>0</v>
      </c>
      <c r="BT2" s="69">
        <f>SUM(BI4:BI948)</f>
        <v>0</v>
      </c>
      <c r="BU2" s="67">
        <f>SUM(BI948:BI4984)</f>
        <v>0</v>
      </c>
    </row>
    <row r="3" spans="1:73" s="83" customFormat="1" x14ac:dyDescent="0.15">
      <c r="A3" s="70"/>
      <c r="B3" s="70"/>
      <c r="C3" s="71"/>
      <c r="D3" s="72"/>
      <c r="E3" s="73"/>
      <c r="F3" s="74"/>
      <c r="G3" s="74"/>
      <c r="H3" s="75"/>
      <c r="I3" s="75"/>
      <c r="J3" s="76"/>
      <c r="K3" s="76"/>
      <c r="L3" s="76"/>
      <c r="M3" s="77"/>
      <c r="N3" s="77"/>
      <c r="O3" s="77"/>
      <c r="P3" s="75"/>
      <c r="Q3" s="74"/>
      <c r="R3" s="75"/>
      <c r="S3" s="74"/>
      <c r="T3" s="71"/>
      <c r="U3" s="78"/>
      <c r="V3" s="79"/>
      <c r="W3" s="80"/>
      <c r="X3" s="81"/>
      <c r="Y3" s="82"/>
      <c r="AF3" s="84"/>
      <c r="AG3" s="84"/>
      <c r="AH3" s="84"/>
      <c r="AI3" s="85"/>
      <c r="AJ3" s="85"/>
      <c r="AK3" s="85"/>
      <c r="AL3" s="86"/>
      <c r="AM3" s="86"/>
      <c r="AN3" s="86"/>
      <c r="AO3" s="77"/>
      <c r="AP3" s="77"/>
      <c r="AQ3" s="76"/>
      <c r="AR3" s="76"/>
      <c r="AS3" s="87"/>
      <c r="AT3" s="87"/>
      <c r="AU3" s="87"/>
      <c r="AV3" s="87"/>
      <c r="AW3" s="75"/>
      <c r="AX3" s="75"/>
      <c r="AY3" s="74"/>
      <c r="AZ3" s="74"/>
      <c r="BA3" s="88"/>
      <c r="BB3" s="88"/>
      <c r="BC3" s="86"/>
      <c r="BD3" s="86"/>
      <c r="BE3" s="85"/>
      <c r="BF3" s="85"/>
      <c r="BG3" s="89"/>
      <c r="BH3" s="89"/>
      <c r="BI3" s="90"/>
      <c r="BJ3" s="90"/>
      <c r="BK3" s="90"/>
    </row>
    <row r="4" spans="1:73" s="83" customFormat="1" x14ac:dyDescent="0.15">
      <c r="A4" s="114" t="s">
        <v>349</v>
      </c>
      <c r="B4" s="82" t="e">
        <f>STDEV(#REF!)</f>
        <v>#REF!</v>
      </c>
      <c r="D4" s="115" t="e">
        <f>AVERAGE(#REF!)</f>
        <v>#REF!</v>
      </c>
      <c r="E4" s="73" t="e">
        <f>MEDIAN(#REF!)</f>
        <v>#REF!</v>
      </c>
      <c r="F4" s="73" t="e">
        <f>STDEV(#REF!)</f>
        <v>#REF!</v>
      </c>
      <c r="G4" s="73"/>
      <c r="H4" s="73"/>
      <c r="I4" s="73"/>
      <c r="P4" s="73"/>
      <c r="Q4" s="73"/>
      <c r="R4" s="73" t="e">
        <f>AVERAGE(#REF!)</f>
        <v>#REF!</v>
      </c>
      <c r="S4" s="73" t="e">
        <f>AVERAGE(#REF!)</f>
        <v>#REF!</v>
      </c>
      <c r="T4" s="73" t="e">
        <f>SUM(R4:S4)</f>
        <v>#REF!</v>
      </c>
      <c r="U4" s="116"/>
      <c r="V4" s="73"/>
      <c r="W4" s="82"/>
      <c r="X4" s="82"/>
      <c r="Y4" s="82" t="e">
        <f>MEDIAN(#REF!)</f>
        <v>#REF!</v>
      </c>
      <c r="Z4" s="83" t="e">
        <f>STDEV(#REF!)</f>
        <v>#REF!</v>
      </c>
      <c r="AF4" s="84"/>
      <c r="AG4" s="84" t="e">
        <f>AVERAGE(#REF!)</f>
        <v>#REF!</v>
      </c>
      <c r="AH4" s="84" t="e">
        <f>AVERAGE(#REF!)</f>
        <v>#REF!</v>
      </c>
      <c r="AI4" s="79" t="e">
        <f>AVERAGE(#REF!)</f>
        <v>#REF!</v>
      </c>
      <c r="AJ4" s="79" t="e">
        <f>AVERAGE(#REF!)</f>
        <v>#REF!</v>
      </c>
      <c r="AK4" s="79" t="e">
        <f>AVERAGE(#REF!)</f>
        <v>#REF!</v>
      </c>
      <c r="AL4" s="79" t="e">
        <f>AVERAGE(#REF!)</f>
        <v>#REF!</v>
      </c>
      <c r="AM4" s="79" t="e">
        <f>AVERAGE(#REF!)</f>
        <v>#REF!</v>
      </c>
      <c r="AN4" s="79" t="e">
        <f>AVERAGE(#REF!)</f>
        <v>#REF!</v>
      </c>
      <c r="AS4" s="87"/>
      <c r="AT4" s="87"/>
      <c r="AU4" s="87"/>
      <c r="AV4" s="87"/>
      <c r="AW4" s="75"/>
      <c r="AX4" s="75"/>
      <c r="AY4" s="74"/>
      <c r="AZ4" s="74"/>
      <c r="BA4" s="88"/>
      <c r="BB4" s="88"/>
      <c r="BC4" s="86"/>
      <c r="BD4" s="86"/>
      <c r="BE4" s="85"/>
      <c r="BF4" s="85"/>
      <c r="BG4" s="89"/>
      <c r="BH4" s="89"/>
      <c r="BI4" s="90"/>
      <c r="BJ4" s="90"/>
      <c r="BK4" s="90"/>
    </row>
    <row r="5" spans="1:73" s="105" customFormat="1" x14ac:dyDescent="0.15">
      <c r="A5" s="91" t="s">
        <v>350</v>
      </c>
      <c r="B5" s="92" t="s">
        <v>351</v>
      </c>
      <c r="C5" s="93">
        <v>4</v>
      </c>
      <c r="D5" s="94">
        <v>3.5</v>
      </c>
      <c r="E5" s="95">
        <f>300*1.92</f>
        <v>576</v>
      </c>
      <c r="F5" s="96"/>
      <c r="G5" s="96"/>
      <c r="H5" s="97"/>
      <c r="I5" s="97"/>
      <c r="J5" s="98"/>
      <c r="K5" s="98"/>
      <c r="L5" s="98"/>
      <c r="M5" s="99"/>
      <c r="N5" s="99"/>
      <c r="O5" s="99"/>
      <c r="P5" s="97">
        <v>40</v>
      </c>
      <c r="Q5" s="96"/>
      <c r="R5" s="97">
        <v>947</v>
      </c>
      <c r="S5" s="96"/>
      <c r="T5" s="93">
        <f>IF(R5&gt;0.9,SUM(R5:S5)-U5,"")</f>
        <v>947</v>
      </c>
      <c r="U5" s="100"/>
      <c r="V5" s="101" t="str">
        <f t="shared" ref="V5:V13" si="0">IF(U5&gt;0.9,(IF(R5&gt;S5,U5/S5,U5/R5)),"")</f>
        <v/>
      </c>
      <c r="W5" s="102"/>
      <c r="X5" s="103"/>
      <c r="Y5" s="104" t="str">
        <f>IF(A5="x","x",IF(W5&gt;1,(IF(R5&gt;1,(IF(R5&gt;S5,(IF((R5/S5)&lt;5,AVERAGE(W5:X5),"")),IF(R5&lt;S5,(IF((S5/R5)&lt;5,AVERAGE(W5:X5),""))))),"")),""))</f>
        <v/>
      </c>
      <c r="AC5" s="99"/>
      <c r="AD5" s="98"/>
      <c r="AE5" s="99"/>
      <c r="AF5" s="106"/>
      <c r="AG5" s="106" t="e">
        <f>AH5/AF5</f>
        <v>#DIV/0!</v>
      </c>
      <c r="AH5" s="106"/>
      <c r="AI5" s="107"/>
      <c r="AJ5" s="107"/>
      <c r="AK5" s="107"/>
      <c r="AL5" s="108"/>
      <c r="AM5" s="108"/>
      <c r="AN5" s="108"/>
      <c r="AO5" s="96"/>
      <c r="AP5" s="96"/>
      <c r="AQ5" s="97"/>
      <c r="AR5" s="97"/>
      <c r="AS5" s="93"/>
      <c r="AT5" s="93"/>
      <c r="AU5" s="93"/>
      <c r="AV5" s="109"/>
      <c r="AW5" s="97"/>
      <c r="AX5" s="97"/>
      <c r="AY5" s="96"/>
      <c r="AZ5" s="96"/>
      <c r="BA5" s="110"/>
      <c r="BB5" s="110"/>
      <c r="BC5" s="108"/>
      <c r="BD5" s="108"/>
      <c r="BE5" s="107"/>
      <c r="BF5" s="107"/>
      <c r="BG5" s="111"/>
      <c r="BH5" s="111"/>
      <c r="BI5" s="112"/>
      <c r="BJ5" s="112"/>
      <c r="BK5" s="112"/>
    </row>
    <row r="6" spans="1:73" s="106" customFormat="1" x14ac:dyDescent="0.15">
      <c r="A6" s="91"/>
      <c r="B6" s="92" t="s">
        <v>352</v>
      </c>
      <c r="C6" s="93">
        <v>4</v>
      </c>
      <c r="D6" s="94">
        <v>3.1</v>
      </c>
      <c r="E6" s="95">
        <v>173</v>
      </c>
      <c r="F6" s="99"/>
      <c r="G6" s="99"/>
      <c r="H6" s="98"/>
      <c r="I6" s="98"/>
      <c r="J6" s="98"/>
      <c r="K6" s="98"/>
      <c r="L6" s="98"/>
      <c r="M6" s="99"/>
      <c r="N6" s="99"/>
      <c r="O6" s="99"/>
      <c r="P6" s="97">
        <v>34</v>
      </c>
      <c r="Q6" s="96"/>
      <c r="R6" s="97">
        <v>760</v>
      </c>
      <c r="S6" s="96"/>
      <c r="T6" s="93">
        <f t="shared" ref="T6:T17" si="1">IF(R6&gt;0.9,SUM(R6:S6)-U6,"")</f>
        <v>760</v>
      </c>
      <c r="U6" s="100"/>
      <c r="V6" s="101" t="str">
        <f t="shared" si="0"/>
        <v/>
      </c>
      <c r="W6" s="102"/>
      <c r="X6" s="103"/>
      <c r="Y6" s="104" t="str">
        <f t="shared" ref="Y6:Y17" si="2">IF(A6="x","x",IF(W6&gt;1,(IF(R6&gt;1,(IF(R6&gt;S6,(IF((R6/S6)&lt;5,AVERAGE(W6:X6),"")),IF(R6&lt;S6,(IF((S6/R6)&lt;5,AVERAGE(W6:X6),""))))),"")),""))</f>
        <v/>
      </c>
      <c r="AG6" s="106" t="e">
        <f>AH6/AF6</f>
        <v>#DIV/0!</v>
      </c>
      <c r="AI6" s="107"/>
      <c r="AJ6" s="107"/>
      <c r="AK6" s="107"/>
      <c r="AL6" s="108"/>
      <c r="AM6" s="108"/>
      <c r="AN6" s="108"/>
      <c r="AO6" s="96"/>
      <c r="AP6" s="96"/>
      <c r="AQ6" s="97"/>
      <c r="AR6" s="97"/>
      <c r="AS6" s="93"/>
      <c r="AT6" s="93"/>
      <c r="AU6" s="93"/>
      <c r="AV6" s="93"/>
      <c r="AW6" s="97"/>
      <c r="AX6" s="97"/>
      <c r="AY6" s="96"/>
      <c r="AZ6" s="96"/>
      <c r="BA6" s="110"/>
      <c r="BB6" s="110"/>
      <c r="BC6" s="108"/>
      <c r="BD6" s="108"/>
      <c r="BE6" s="107"/>
      <c r="BF6" s="107"/>
      <c r="BG6" s="111"/>
      <c r="BH6" s="111"/>
      <c r="BI6" s="112"/>
      <c r="BJ6" s="112"/>
      <c r="BK6" s="112"/>
    </row>
    <row r="7" spans="1:73" s="106" customFormat="1" x14ac:dyDescent="0.15">
      <c r="A7" s="91"/>
      <c r="B7" s="92" t="s">
        <v>353</v>
      </c>
      <c r="C7" s="93">
        <v>4</v>
      </c>
      <c r="D7" s="94">
        <v>3.2</v>
      </c>
      <c r="E7" s="95">
        <v>96</v>
      </c>
      <c r="F7" s="96"/>
      <c r="G7" s="96"/>
      <c r="H7" s="97"/>
      <c r="I7" s="97"/>
      <c r="J7" s="98"/>
      <c r="K7" s="98"/>
      <c r="L7" s="98"/>
      <c r="M7" s="99"/>
      <c r="N7" s="99"/>
      <c r="O7" s="99"/>
      <c r="P7" s="97">
        <v>38</v>
      </c>
      <c r="Q7" s="96"/>
      <c r="R7" s="97">
        <v>2077</v>
      </c>
      <c r="S7" s="96"/>
      <c r="T7" s="93">
        <f t="shared" si="1"/>
        <v>2077</v>
      </c>
      <c r="U7" s="100"/>
      <c r="V7" s="101" t="str">
        <f t="shared" si="0"/>
        <v/>
      </c>
      <c r="W7" s="102"/>
      <c r="X7" s="103"/>
      <c r="Y7" s="104" t="str">
        <f t="shared" si="2"/>
        <v/>
      </c>
      <c r="AG7" s="106" t="e">
        <f>AH7/AF7</f>
        <v>#DIV/0!</v>
      </c>
      <c r="AI7" s="107"/>
      <c r="AJ7" s="107"/>
      <c r="AK7" s="107"/>
      <c r="AL7" s="108"/>
      <c r="AM7" s="108"/>
      <c r="AN7" s="108"/>
      <c r="AO7" s="96"/>
      <c r="AP7" s="96"/>
      <c r="AQ7" s="97"/>
      <c r="AR7" s="97"/>
      <c r="AS7" s="93"/>
      <c r="AT7" s="93"/>
      <c r="AU7" s="93"/>
      <c r="AV7" s="93"/>
      <c r="AW7" s="97"/>
      <c r="AX7" s="97"/>
      <c r="AY7" s="96"/>
      <c r="AZ7" s="96"/>
      <c r="BA7" s="110"/>
      <c r="BB7" s="110"/>
      <c r="BC7" s="108"/>
      <c r="BD7" s="108"/>
      <c r="BE7" s="107"/>
      <c r="BF7" s="107"/>
      <c r="BG7" s="111"/>
      <c r="BH7" s="111"/>
      <c r="BI7" s="112"/>
      <c r="BJ7" s="112"/>
      <c r="BK7" s="112"/>
    </row>
    <row r="8" spans="1:73" s="106" customFormat="1" x14ac:dyDescent="0.15">
      <c r="A8" s="91"/>
      <c r="B8" s="92"/>
      <c r="C8" s="93"/>
      <c r="D8" s="94"/>
      <c r="E8" s="95"/>
      <c r="F8" s="96"/>
      <c r="G8" s="96"/>
      <c r="H8" s="97"/>
      <c r="I8" s="97"/>
      <c r="J8" s="98"/>
      <c r="K8" s="98"/>
      <c r="L8" s="98"/>
      <c r="M8" s="99"/>
      <c r="N8" s="99"/>
      <c r="O8" s="99"/>
      <c r="P8" s="97"/>
      <c r="Q8" s="96"/>
      <c r="R8" s="97"/>
      <c r="S8" s="96"/>
      <c r="T8" s="93" t="str">
        <f t="shared" si="1"/>
        <v/>
      </c>
      <c r="U8" s="100"/>
      <c r="V8" s="101" t="str">
        <f t="shared" si="0"/>
        <v/>
      </c>
      <c r="W8" s="102"/>
      <c r="X8" s="103"/>
      <c r="Y8" s="104" t="str">
        <f t="shared" si="2"/>
        <v/>
      </c>
      <c r="AG8" s="106" t="e">
        <f>AH8/AF8</f>
        <v>#DIV/0!</v>
      </c>
      <c r="AI8" s="107"/>
      <c r="AJ8" s="107"/>
      <c r="AK8" s="107"/>
      <c r="AL8" s="108"/>
      <c r="AM8" s="108"/>
      <c r="AN8" s="108"/>
      <c r="AO8" s="96"/>
      <c r="AP8" s="96"/>
      <c r="AQ8" s="97"/>
      <c r="AR8" s="97"/>
      <c r="AS8" s="93"/>
      <c r="AT8" s="93"/>
      <c r="AU8" s="93"/>
      <c r="AV8" s="93"/>
      <c r="AW8" s="97"/>
      <c r="AX8" s="97"/>
      <c r="AY8" s="96"/>
      <c r="AZ8" s="96"/>
      <c r="BA8" s="110"/>
      <c r="BB8" s="110"/>
      <c r="BC8" s="108"/>
      <c r="BD8" s="108"/>
      <c r="BE8" s="107"/>
      <c r="BF8" s="107"/>
      <c r="BG8" s="111"/>
      <c r="BH8" s="111"/>
      <c r="BI8" s="112"/>
      <c r="BJ8" s="112"/>
      <c r="BK8" s="112"/>
    </row>
    <row r="9" spans="1:73" s="106" customFormat="1" x14ac:dyDescent="0.15">
      <c r="A9" s="91"/>
      <c r="B9" s="92"/>
      <c r="C9" s="93"/>
      <c r="D9" s="94"/>
      <c r="E9" s="95"/>
      <c r="F9" s="96"/>
      <c r="G9" s="96"/>
      <c r="H9" s="97"/>
      <c r="I9" s="97"/>
      <c r="J9" s="98"/>
      <c r="K9" s="98"/>
      <c r="L9" s="98"/>
      <c r="M9" s="99"/>
      <c r="N9" s="99"/>
      <c r="O9" s="99"/>
      <c r="P9" s="97"/>
      <c r="Q9" s="96"/>
      <c r="R9" s="97"/>
      <c r="S9" s="96"/>
      <c r="T9" s="93" t="str">
        <f t="shared" si="1"/>
        <v/>
      </c>
      <c r="U9" s="100"/>
      <c r="V9" s="101" t="str">
        <f t="shared" si="0"/>
        <v/>
      </c>
      <c r="W9" s="102"/>
      <c r="X9" s="103"/>
      <c r="Y9" s="104" t="str">
        <f t="shared" si="2"/>
        <v/>
      </c>
      <c r="AI9" s="107"/>
      <c r="AJ9" s="107"/>
      <c r="AK9" s="107"/>
      <c r="AL9" s="108"/>
      <c r="AM9" s="108"/>
      <c r="AN9" s="108"/>
      <c r="AO9" s="96"/>
      <c r="AP9" s="96"/>
      <c r="AQ9" s="97"/>
      <c r="AR9" s="97"/>
      <c r="AS9" s="93"/>
      <c r="AT9" s="93"/>
      <c r="AU9" s="93"/>
      <c r="AV9" s="93"/>
      <c r="AW9" s="97"/>
      <c r="AX9" s="97"/>
      <c r="AY9" s="96"/>
      <c r="AZ9" s="96"/>
      <c r="BA9" s="110"/>
      <c r="BB9" s="110"/>
      <c r="BC9" s="108"/>
      <c r="BD9" s="108"/>
      <c r="BE9" s="107"/>
      <c r="BF9" s="107"/>
      <c r="BG9" s="111"/>
      <c r="BH9" s="111"/>
      <c r="BI9" s="112"/>
      <c r="BJ9" s="112"/>
      <c r="BK9" s="112"/>
    </row>
    <row r="10" spans="1:73" s="106" customFormat="1" x14ac:dyDescent="0.15">
      <c r="A10" s="91"/>
      <c r="B10" s="92"/>
      <c r="C10" s="93"/>
      <c r="D10" s="94"/>
      <c r="E10" s="95"/>
      <c r="F10" s="96"/>
      <c r="G10" s="96"/>
      <c r="H10" s="97"/>
      <c r="I10" s="97"/>
      <c r="J10" s="98"/>
      <c r="K10" s="98"/>
      <c r="L10" s="98"/>
      <c r="M10" s="99"/>
      <c r="N10" s="99"/>
      <c r="O10" s="99"/>
      <c r="P10" s="97"/>
      <c r="Q10" s="96"/>
      <c r="R10" s="97"/>
      <c r="S10" s="96"/>
      <c r="T10" s="93" t="str">
        <f t="shared" si="1"/>
        <v/>
      </c>
      <c r="U10" s="100"/>
      <c r="V10" s="101" t="str">
        <f t="shared" si="0"/>
        <v/>
      </c>
      <c r="W10" s="102"/>
      <c r="X10" s="103"/>
      <c r="Y10" s="104" t="str">
        <f t="shared" si="2"/>
        <v/>
      </c>
      <c r="AI10" s="107"/>
      <c r="AJ10" s="107"/>
      <c r="AK10" s="107"/>
      <c r="AL10" s="108"/>
      <c r="AM10" s="108"/>
      <c r="AN10" s="108"/>
      <c r="AO10" s="96"/>
      <c r="AP10" s="96"/>
      <c r="AQ10" s="97"/>
      <c r="AR10" s="97"/>
      <c r="AS10" s="93"/>
      <c r="AT10" s="93"/>
      <c r="AU10" s="93"/>
      <c r="AV10" s="93"/>
      <c r="AW10" s="97"/>
      <c r="AX10" s="97"/>
      <c r="AY10" s="96"/>
      <c r="AZ10" s="96"/>
      <c r="BA10" s="110"/>
      <c r="BB10" s="110"/>
      <c r="BC10" s="108"/>
      <c r="BD10" s="108"/>
      <c r="BE10" s="107"/>
      <c r="BF10" s="107"/>
      <c r="BG10" s="111"/>
      <c r="BH10" s="111"/>
      <c r="BI10" s="112"/>
      <c r="BJ10" s="112"/>
      <c r="BK10" s="112"/>
    </row>
    <row r="11" spans="1:73" s="106" customFormat="1" x14ac:dyDescent="0.15">
      <c r="A11" s="91"/>
      <c r="B11" s="92"/>
      <c r="C11" s="93"/>
      <c r="D11" s="94"/>
      <c r="E11" s="95"/>
      <c r="F11" s="96"/>
      <c r="G11" s="96"/>
      <c r="H11" s="97"/>
      <c r="I11" s="97"/>
      <c r="J11" s="98"/>
      <c r="K11" s="98"/>
      <c r="L11" s="98"/>
      <c r="M11" s="99"/>
      <c r="N11" s="99"/>
      <c r="O11" s="99"/>
      <c r="P11" s="97"/>
      <c r="Q11" s="96"/>
      <c r="R11" s="97"/>
      <c r="S11" s="96"/>
      <c r="T11" s="93" t="str">
        <f t="shared" si="1"/>
        <v/>
      </c>
      <c r="U11" s="100"/>
      <c r="V11" s="101" t="str">
        <f t="shared" si="0"/>
        <v/>
      </c>
      <c r="W11" s="102"/>
      <c r="X11" s="103"/>
      <c r="Y11" s="104" t="str">
        <f t="shared" si="2"/>
        <v/>
      </c>
      <c r="AI11" s="107"/>
      <c r="AJ11" s="107"/>
      <c r="AK11" s="107"/>
      <c r="AL11" s="108"/>
      <c r="AM11" s="108"/>
      <c r="AN11" s="108"/>
      <c r="AO11" s="96"/>
      <c r="AP11" s="96"/>
      <c r="AQ11" s="97"/>
      <c r="AR11" s="97"/>
      <c r="AS11" s="93"/>
      <c r="AT11" s="93"/>
      <c r="AU11" s="93"/>
      <c r="AV11" s="93"/>
      <c r="AW11" s="97"/>
      <c r="AX11" s="97"/>
      <c r="AY11" s="96"/>
      <c r="AZ11" s="96"/>
      <c r="BA11" s="110"/>
      <c r="BB11" s="110"/>
      <c r="BC11" s="108"/>
      <c r="BD11" s="108"/>
      <c r="BE11" s="107"/>
      <c r="BF11" s="107"/>
      <c r="BG11" s="111"/>
      <c r="BH11" s="111"/>
      <c r="BI11" s="112"/>
      <c r="BJ11" s="112"/>
      <c r="BK11" s="112"/>
    </row>
    <row r="12" spans="1:73" s="106" customFormat="1" x14ac:dyDescent="0.15">
      <c r="A12" s="91"/>
      <c r="B12" s="92"/>
      <c r="C12" s="93"/>
      <c r="D12" s="94"/>
      <c r="E12" s="95"/>
      <c r="F12" s="96"/>
      <c r="G12" s="96"/>
      <c r="H12" s="97"/>
      <c r="I12" s="97"/>
      <c r="J12" s="98"/>
      <c r="K12" s="98"/>
      <c r="L12" s="98"/>
      <c r="M12" s="99"/>
      <c r="N12" s="99"/>
      <c r="O12" s="99"/>
      <c r="P12" s="97"/>
      <c r="Q12" s="96"/>
      <c r="R12" s="97"/>
      <c r="S12" s="96"/>
      <c r="T12" s="93" t="str">
        <f t="shared" si="1"/>
        <v/>
      </c>
      <c r="U12" s="100"/>
      <c r="V12" s="101" t="str">
        <f t="shared" si="0"/>
        <v/>
      </c>
      <c r="W12" s="102"/>
      <c r="X12" s="103"/>
      <c r="Y12" s="104" t="str">
        <f t="shared" si="2"/>
        <v/>
      </c>
      <c r="AI12" s="107"/>
      <c r="AJ12" s="107"/>
      <c r="AK12" s="107"/>
      <c r="AL12" s="108"/>
      <c r="AM12" s="108"/>
      <c r="AN12" s="108"/>
      <c r="AO12" s="96"/>
      <c r="AP12" s="96"/>
      <c r="AQ12" s="97"/>
      <c r="AR12" s="97"/>
      <c r="AS12" s="93"/>
      <c r="AT12" s="93"/>
      <c r="AU12" s="93"/>
      <c r="AV12" s="93"/>
      <c r="AW12" s="97"/>
      <c r="AX12" s="97"/>
      <c r="AY12" s="96"/>
      <c r="AZ12" s="96"/>
      <c r="BA12" s="110"/>
      <c r="BB12" s="110"/>
      <c r="BC12" s="108"/>
      <c r="BD12" s="108"/>
      <c r="BE12" s="107"/>
      <c r="BF12" s="107"/>
      <c r="BG12" s="111"/>
      <c r="BH12" s="111"/>
      <c r="BI12" s="112"/>
      <c r="BJ12" s="112"/>
      <c r="BK12" s="112"/>
    </row>
    <row r="13" spans="1:73" s="106" customFormat="1" x14ac:dyDescent="0.15">
      <c r="A13" s="91"/>
      <c r="B13" s="92"/>
      <c r="C13" s="93"/>
      <c r="D13" s="94"/>
      <c r="E13" s="95"/>
      <c r="F13" s="96"/>
      <c r="G13" s="96"/>
      <c r="H13" s="97"/>
      <c r="I13" s="97"/>
      <c r="J13" s="98"/>
      <c r="K13" s="98"/>
      <c r="L13" s="98"/>
      <c r="M13" s="99"/>
      <c r="N13" s="99"/>
      <c r="O13" s="99"/>
      <c r="P13" s="97"/>
      <c r="Q13" s="96"/>
      <c r="R13" s="97"/>
      <c r="S13" s="96"/>
      <c r="T13" s="93" t="str">
        <f t="shared" si="1"/>
        <v/>
      </c>
      <c r="U13" s="100"/>
      <c r="V13" s="101" t="str">
        <f t="shared" si="0"/>
        <v/>
      </c>
      <c r="W13" s="102"/>
      <c r="X13" s="103"/>
      <c r="Y13" s="104" t="str">
        <f t="shared" si="2"/>
        <v/>
      </c>
      <c r="AI13" s="107"/>
      <c r="AJ13" s="107"/>
      <c r="AK13" s="107"/>
      <c r="AL13" s="108"/>
      <c r="AM13" s="108"/>
      <c r="AN13" s="108"/>
      <c r="AO13" s="96"/>
      <c r="AP13" s="96"/>
      <c r="AQ13" s="97"/>
      <c r="AR13" s="97"/>
      <c r="AS13" s="93"/>
      <c r="AT13" s="93"/>
      <c r="AU13" s="93"/>
      <c r="AV13" s="93"/>
      <c r="AW13" s="97"/>
      <c r="AX13" s="97"/>
      <c r="AY13" s="96"/>
      <c r="AZ13" s="96"/>
      <c r="BA13" s="110"/>
      <c r="BB13" s="110"/>
      <c r="BC13" s="108"/>
      <c r="BD13" s="108"/>
      <c r="BE13" s="107"/>
      <c r="BF13" s="107"/>
      <c r="BG13" s="111"/>
      <c r="BH13" s="111"/>
      <c r="BI13" s="112"/>
      <c r="BJ13" s="112"/>
      <c r="BK13" s="112"/>
    </row>
    <row r="14" spans="1:73" s="106" customFormat="1" x14ac:dyDescent="0.15">
      <c r="A14" s="91"/>
      <c r="B14" s="92"/>
      <c r="C14" s="93"/>
      <c r="D14" s="94"/>
      <c r="E14" s="95"/>
      <c r="F14" s="96"/>
      <c r="G14" s="96"/>
      <c r="H14" s="97"/>
      <c r="I14" s="97"/>
      <c r="J14" s="98"/>
      <c r="K14" s="98"/>
      <c r="L14" s="98"/>
      <c r="M14" s="99"/>
      <c r="N14" s="99"/>
      <c r="O14" s="99"/>
      <c r="P14" s="97"/>
      <c r="Q14" s="96"/>
      <c r="R14" s="97"/>
      <c r="S14" s="96"/>
      <c r="T14" s="93" t="str">
        <f t="shared" si="1"/>
        <v/>
      </c>
      <c r="U14" s="100"/>
      <c r="V14" s="101" t="str">
        <f>IF(U14&gt;0.9,(IF(R14&gt;S14,U14/S14,U14/R14)),"")</f>
        <v/>
      </c>
      <c r="W14" s="102"/>
      <c r="X14" s="103"/>
      <c r="Y14" s="104" t="str">
        <f t="shared" si="2"/>
        <v/>
      </c>
      <c r="AG14" s="106" t="e">
        <f>AH14/AF14</f>
        <v>#DIV/0!</v>
      </c>
      <c r="AI14" s="107"/>
      <c r="AJ14" s="107"/>
      <c r="AK14" s="107"/>
      <c r="AL14" s="108"/>
      <c r="AM14" s="108"/>
      <c r="AN14" s="108"/>
      <c r="AO14" s="96"/>
      <c r="AP14" s="96"/>
      <c r="AQ14" s="97"/>
      <c r="AR14" s="97"/>
      <c r="AS14" s="93"/>
      <c r="AT14" s="93"/>
      <c r="AU14" s="93"/>
      <c r="AV14" s="109"/>
      <c r="AW14" s="14"/>
      <c r="AX14" s="14"/>
      <c r="AY14" s="15"/>
      <c r="AZ14" s="15"/>
      <c r="BA14" s="16"/>
      <c r="BB14" s="16"/>
      <c r="BC14" s="108"/>
      <c r="BD14" s="108"/>
      <c r="BE14" s="107"/>
      <c r="BF14" s="107"/>
      <c r="BG14" s="111"/>
      <c r="BH14" s="111"/>
      <c r="BI14" s="112"/>
      <c r="BJ14" s="112"/>
      <c r="BK14" s="112"/>
    </row>
    <row r="15" spans="1:73" s="106" customFormat="1" x14ac:dyDescent="0.15">
      <c r="A15" s="91"/>
      <c r="B15" s="92"/>
      <c r="C15" s="93"/>
      <c r="D15" s="94"/>
      <c r="E15" s="113"/>
      <c r="F15" s="96"/>
      <c r="G15" s="96"/>
      <c r="H15" s="97"/>
      <c r="I15" s="97"/>
      <c r="J15" s="98"/>
      <c r="K15" s="98"/>
      <c r="L15" s="98"/>
      <c r="M15" s="99"/>
      <c r="N15" s="99"/>
      <c r="O15" s="99"/>
      <c r="P15" s="97"/>
      <c r="Q15" s="96"/>
      <c r="R15" s="97"/>
      <c r="S15" s="96"/>
      <c r="T15" s="93" t="str">
        <f t="shared" si="1"/>
        <v/>
      </c>
      <c r="U15" s="100"/>
      <c r="V15" s="101" t="str">
        <f>IF(U15&gt;0.9,(IF(R15&gt;S15,U15/S15,U15/R15)),"")</f>
        <v/>
      </c>
      <c r="W15" s="102"/>
      <c r="X15" s="103"/>
      <c r="Y15" s="104" t="str">
        <f t="shared" si="2"/>
        <v/>
      </c>
      <c r="AI15" s="107"/>
      <c r="AJ15" s="107"/>
      <c r="AK15" s="107"/>
      <c r="AL15" s="108"/>
      <c r="AM15" s="108"/>
      <c r="AN15" s="108"/>
      <c r="AO15" s="96"/>
      <c r="AP15" s="96"/>
      <c r="AQ15" s="97"/>
      <c r="AR15" s="97"/>
      <c r="AS15" s="93"/>
      <c r="AT15" s="93"/>
      <c r="AU15" s="93"/>
      <c r="AV15" s="93"/>
      <c r="AW15" s="97"/>
      <c r="AX15" s="97"/>
      <c r="AY15" s="96"/>
      <c r="AZ15" s="96"/>
      <c r="BA15" s="110"/>
      <c r="BB15" s="110"/>
      <c r="BC15" s="108"/>
      <c r="BD15" s="108"/>
      <c r="BE15" s="107"/>
      <c r="BF15" s="107"/>
      <c r="BG15" s="111"/>
      <c r="BH15" s="111"/>
      <c r="BI15" s="112"/>
      <c r="BJ15" s="112"/>
      <c r="BK15" s="112"/>
    </row>
    <row r="16" spans="1:73" s="106" customFormat="1" x14ac:dyDescent="0.15">
      <c r="A16" s="91"/>
      <c r="B16" s="92"/>
      <c r="C16" s="93"/>
      <c r="D16" s="94"/>
      <c r="E16" s="95"/>
      <c r="F16" s="96"/>
      <c r="G16" s="96"/>
      <c r="H16" s="97"/>
      <c r="I16" s="97"/>
      <c r="J16" s="98"/>
      <c r="K16" s="98"/>
      <c r="L16" s="98"/>
      <c r="M16" s="99"/>
      <c r="N16" s="99"/>
      <c r="O16" s="99"/>
      <c r="P16" s="97"/>
      <c r="Q16" s="96"/>
      <c r="R16" s="97"/>
      <c r="S16" s="96"/>
      <c r="T16" s="93" t="str">
        <f t="shared" si="1"/>
        <v/>
      </c>
      <c r="U16" s="100"/>
      <c r="V16" s="101" t="str">
        <f>IF(U16&gt;0.9,(IF(R16&gt;S16,U16/S16,U16/R16)),"")</f>
        <v/>
      </c>
      <c r="W16" s="102"/>
      <c r="X16" s="103"/>
      <c r="Y16" s="104" t="str">
        <f t="shared" si="2"/>
        <v/>
      </c>
      <c r="AI16" s="107"/>
      <c r="AJ16" s="107"/>
      <c r="AK16" s="107"/>
      <c r="AL16" s="108"/>
      <c r="AM16" s="108"/>
      <c r="AN16" s="108"/>
      <c r="AO16" s="96"/>
      <c r="AP16" s="96"/>
      <c r="AQ16" s="97"/>
      <c r="AR16" s="97"/>
      <c r="AS16" s="93"/>
      <c r="AT16" s="93"/>
      <c r="AU16" s="93"/>
      <c r="AV16" s="93"/>
      <c r="AW16" s="97"/>
      <c r="AX16" s="97"/>
      <c r="AY16" s="96"/>
      <c r="AZ16" s="96"/>
      <c r="BA16" s="110"/>
      <c r="BB16" s="110"/>
      <c r="BC16" s="108"/>
      <c r="BD16" s="108"/>
      <c r="BE16" s="107"/>
      <c r="BF16" s="107"/>
      <c r="BG16" s="111"/>
      <c r="BH16" s="111"/>
      <c r="BI16" s="112"/>
      <c r="BJ16" s="112"/>
      <c r="BK16" s="112"/>
    </row>
    <row r="17" spans="1:63" s="106" customFormat="1" x14ac:dyDescent="0.15">
      <c r="A17" s="91">
        <f>COUNT(D5:D17)</f>
        <v>3</v>
      </c>
      <c r="B17" s="92"/>
      <c r="C17" s="93"/>
      <c r="D17" s="94"/>
      <c r="E17" s="95"/>
      <c r="F17" s="96"/>
      <c r="G17" s="96"/>
      <c r="H17" s="97"/>
      <c r="I17" s="97"/>
      <c r="J17" s="98"/>
      <c r="K17" s="98"/>
      <c r="L17" s="98"/>
      <c r="M17" s="99"/>
      <c r="N17" s="99"/>
      <c r="O17" s="99"/>
      <c r="P17" s="97"/>
      <c r="Q17" s="96"/>
      <c r="R17" s="97"/>
      <c r="S17" s="96"/>
      <c r="T17" s="93" t="str">
        <f t="shared" si="1"/>
        <v/>
      </c>
      <c r="U17" s="100"/>
      <c r="V17" s="101" t="str">
        <f>IF(U17&gt;0.9,(IF(R17&gt;S17,U17/S17,U17/R17)),"")</f>
        <v/>
      </c>
      <c r="W17" s="102"/>
      <c r="X17" s="103"/>
      <c r="Y17" s="104" t="str">
        <f t="shared" si="2"/>
        <v/>
      </c>
      <c r="AI17" s="107"/>
      <c r="AJ17" s="107"/>
      <c r="AK17" s="107"/>
      <c r="AL17" s="108"/>
      <c r="AM17" s="108"/>
      <c r="AN17" s="108"/>
      <c r="AO17" s="96"/>
      <c r="AP17" s="96"/>
      <c r="AQ17" s="97"/>
      <c r="AR17" s="97"/>
      <c r="AS17" s="93"/>
      <c r="AT17" s="93"/>
      <c r="AU17" s="93"/>
      <c r="AV17" s="93"/>
      <c r="AW17" s="97"/>
      <c r="AX17" s="97"/>
      <c r="AY17" s="96"/>
      <c r="AZ17" s="96"/>
      <c r="BA17" s="110"/>
      <c r="BB17" s="110"/>
      <c r="BC17" s="108"/>
      <c r="BD17" s="108"/>
      <c r="BE17" s="107"/>
      <c r="BF17" s="107"/>
      <c r="BG17" s="111"/>
      <c r="BH17" s="111"/>
      <c r="BI17" s="112"/>
      <c r="BJ17" s="112"/>
      <c r="BK17" s="112"/>
    </row>
    <row r="18" spans="1:63" s="83" customFormat="1" x14ac:dyDescent="0.15">
      <c r="A18" s="114" t="s">
        <v>349</v>
      </c>
      <c r="B18" s="82">
        <f>STDEV(D5:D17)</f>
        <v>0.20816659994661321</v>
      </c>
      <c r="D18" s="115">
        <f>AVERAGE(D5:D17)</f>
        <v>3.2666666666666671</v>
      </c>
      <c r="E18" s="73">
        <f>MEDIAN(E5:E17)</f>
        <v>173</v>
      </c>
      <c r="F18" s="73">
        <f>STDEV(E5:E17)</f>
        <v>257.79125922601281</v>
      </c>
      <c r="G18" s="73"/>
      <c r="H18" s="73"/>
      <c r="I18" s="73"/>
      <c r="P18" s="73"/>
      <c r="Q18" s="73"/>
      <c r="R18" s="73">
        <f>AVERAGE(R5:R17)</f>
        <v>1261.3333333333333</v>
      </c>
      <c r="S18" s="73" t="e">
        <f>AVERAGE(S5:S17)</f>
        <v>#DIV/0!</v>
      </c>
      <c r="T18" s="73" t="e">
        <f>SUM(R18:S18)</f>
        <v>#DIV/0!</v>
      </c>
      <c r="U18" s="116"/>
      <c r="V18" s="73"/>
      <c r="W18" s="82"/>
      <c r="X18" s="82"/>
      <c r="Y18" s="82" t="e">
        <f>MEDIAN(Y5:Y17)</f>
        <v>#NUM!</v>
      </c>
      <c r="Z18" s="83" t="e">
        <f>STDEV(Y5:Y17)</f>
        <v>#DIV/0!</v>
      </c>
      <c r="AF18" s="84"/>
      <c r="AG18" s="84" t="e">
        <f>AVERAGE(AG5:AG8)</f>
        <v>#DIV/0!</v>
      </c>
      <c r="AH18" s="84" t="e">
        <f>AVERAGE(AH5:AH17)</f>
        <v>#DIV/0!</v>
      </c>
      <c r="AI18" s="79" t="e">
        <f t="shared" ref="AI18:AN18" si="3">AVERAGE(AI5:AI17)</f>
        <v>#DIV/0!</v>
      </c>
      <c r="AJ18" s="79" t="e">
        <f t="shared" si="3"/>
        <v>#DIV/0!</v>
      </c>
      <c r="AK18" s="79" t="e">
        <f t="shared" si="3"/>
        <v>#DIV/0!</v>
      </c>
      <c r="AL18" s="79" t="e">
        <f t="shared" si="3"/>
        <v>#DIV/0!</v>
      </c>
      <c r="AM18" s="79" t="e">
        <f t="shared" si="3"/>
        <v>#DIV/0!</v>
      </c>
      <c r="AN18" s="79" t="e">
        <f t="shared" si="3"/>
        <v>#DIV/0!</v>
      </c>
      <c r="AS18" s="87"/>
      <c r="AT18" s="87"/>
      <c r="AU18" s="87"/>
      <c r="AV18" s="87"/>
      <c r="AW18" s="75"/>
      <c r="AX18" s="75"/>
      <c r="AY18" s="74"/>
      <c r="AZ18" s="74"/>
      <c r="BA18" s="88"/>
      <c r="BB18" s="88"/>
      <c r="BC18" s="86"/>
      <c r="BD18" s="86"/>
      <c r="BE18" s="85"/>
      <c r="BF18" s="85"/>
      <c r="BG18" s="89"/>
      <c r="BH18" s="89"/>
      <c r="BI18" s="90"/>
      <c r="BJ18" s="90"/>
      <c r="BK18" s="90"/>
    </row>
    <row r="24" spans="1:63" x14ac:dyDescent="0.15">
      <c r="B24" s="288" t="s">
        <v>289</v>
      </c>
      <c r="C24" s="289" t="s">
        <v>297</v>
      </c>
      <c r="D24" s="289" t="s">
        <v>354</v>
      </c>
      <c r="E24" s="290" t="s">
        <v>355</v>
      </c>
      <c r="F24" s="291" t="s">
        <v>298</v>
      </c>
      <c r="G24" s="291" t="s">
        <v>356</v>
      </c>
      <c r="H24" s="292" t="s">
        <v>357</v>
      </c>
      <c r="I24" s="289" t="s">
        <v>299</v>
      </c>
      <c r="J24" s="293" t="s">
        <v>358</v>
      </c>
      <c r="K24" s="292" t="s">
        <v>359</v>
      </c>
    </row>
    <row r="25" spans="1:63" x14ac:dyDescent="0.15">
      <c r="B25" s="294" t="s">
        <v>360</v>
      </c>
      <c r="C25" s="295">
        <v>0.7914949662241848</v>
      </c>
      <c r="D25" s="295">
        <v>2.510764055018571E-2</v>
      </c>
      <c r="E25" s="290">
        <v>20</v>
      </c>
      <c r="F25" s="295">
        <v>0.20342018328720449</v>
      </c>
      <c r="G25" s="295">
        <v>2.8994670785748435E-2</v>
      </c>
      <c r="H25" s="290">
        <v>20</v>
      </c>
      <c r="I25" s="295">
        <v>3.3979312558391685E-2</v>
      </c>
      <c r="J25" s="295">
        <v>5.1100278425045631E-3</v>
      </c>
      <c r="K25" s="290">
        <v>20</v>
      </c>
    </row>
    <row r="26" spans="1:63" x14ac:dyDescent="0.15">
      <c r="B26" s="294" t="s">
        <v>361</v>
      </c>
      <c r="C26" s="295">
        <v>0.10078879623185799</v>
      </c>
      <c r="D26" s="295">
        <v>2.617016980680811E-2</v>
      </c>
      <c r="E26" s="290">
        <v>41</v>
      </c>
      <c r="F26" s="295">
        <v>1.8689229173474386E-2</v>
      </c>
      <c r="G26" s="295">
        <v>2.0518412825939747E-3</v>
      </c>
      <c r="H26" s="290">
        <v>41</v>
      </c>
      <c r="I26" s="295">
        <v>7.1808438137300513E-3</v>
      </c>
      <c r="J26" s="295">
        <v>7.6943624766481246E-4</v>
      </c>
      <c r="K26" s="290">
        <v>40</v>
      </c>
    </row>
    <row r="27" spans="1:63" x14ac:dyDescent="0.15">
      <c r="B27" s="296" t="s">
        <v>362</v>
      </c>
      <c r="C27" s="297">
        <v>0.75</v>
      </c>
      <c r="D27" s="297">
        <v>0.04</v>
      </c>
      <c r="E27" s="298">
        <v>6</v>
      </c>
      <c r="F27" s="297">
        <v>0.18</v>
      </c>
      <c r="G27" s="297">
        <v>0.04</v>
      </c>
      <c r="H27" s="298">
        <v>6</v>
      </c>
      <c r="I27" s="297">
        <v>0.06</v>
      </c>
      <c r="J27" s="297">
        <v>0.01</v>
      </c>
      <c r="K27" s="298">
        <v>6</v>
      </c>
    </row>
  </sheetData>
  <sheetProtection selectLockedCells="1" selectUnlockedCells="1"/>
  <mergeCells count="1">
    <mergeCell ref="W1:Y1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zoomScale="75" zoomScaleNormal="75" workbookViewId="0">
      <selection activeCell="D6" sqref="D6"/>
    </sheetView>
  </sheetViews>
  <sheetFormatPr baseColWidth="10" defaultColWidth="11.33203125" defaultRowHeight="13" x14ac:dyDescent="0.15"/>
  <cols>
    <col min="1" max="9" width="11.33203125" style="299"/>
    <col min="10" max="10" width="10.33203125" style="299" customWidth="1"/>
    <col min="11" max="13" width="11.33203125" style="299"/>
    <col min="14" max="14" width="12" style="299" customWidth="1"/>
    <col min="15" max="16384" width="11.33203125" style="299"/>
  </cols>
  <sheetData>
    <row r="1" spans="1:15" x14ac:dyDescent="0.15">
      <c r="A1" s="300"/>
      <c r="B1" s="301" t="s">
        <v>363</v>
      </c>
      <c r="C1" s="302"/>
      <c r="D1" s="302"/>
      <c r="E1" s="303"/>
      <c r="F1" s="303"/>
      <c r="G1" s="303"/>
      <c r="H1" s="302"/>
      <c r="J1" s="302"/>
      <c r="K1" s="304"/>
      <c r="L1" s="299" t="s">
        <v>364</v>
      </c>
    </row>
    <row r="2" spans="1:15" x14ac:dyDescent="0.15">
      <c r="A2" s="288" t="s">
        <v>289</v>
      </c>
      <c r="B2" s="289" t="s">
        <v>297</v>
      </c>
      <c r="C2" s="289" t="s">
        <v>354</v>
      </c>
      <c r="D2" s="290" t="s">
        <v>355</v>
      </c>
      <c r="E2" s="291" t="s">
        <v>298</v>
      </c>
      <c r="F2" s="291" t="s">
        <v>356</v>
      </c>
      <c r="G2" s="292" t="s">
        <v>357</v>
      </c>
      <c r="H2" s="289" t="s">
        <v>299</v>
      </c>
      <c r="I2" s="293" t="s">
        <v>358</v>
      </c>
      <c r="J2" s="292" t="s">
        <v>359</v>
      </c>
      <c r="K2" s="304"/>
      <c r="L2" s="304">
        <v>0</v>
      </c>
      <c r="M2" s="305">
        <f>'double AP'!AI17</f>
        <v>10.969380000000001</v>
      </c>
    </row>
    <row r="3" spans="1:15" x14ac:dyDescent="0.15">
      <c r="A3" s="294" t="s">
        <v>365</v>
      </c>
      <c r="B3" s="295">
        <f>AVERAGE('double AP'!AP17,'double AP'!AS17,single!O7)</f>
        <v>0.89392287896068978</v>
      </c>
      <c r="C3" s="295">
        <f>STDEV('double AP'!AP4:AP16,'double AP'!AS4:AS16)/SQRT(COUNT('double AP'!AP4:AP16,'double AP'!AS4:AS16))</f>
        <v>2.7652824992685409E-2</v>
      </c>
      <c r="D3" s="290">
        <f>COUNT('double AP'!AP4:AP16,'double AP'!AS4:AS16)</f>
        <v>8</v>
      </c>
      <c r="E3" s="295">
        <f>AVERAGE('double AP'!AQ17,'double AP'!AT17,single!R7)</f>
        <v>0.6014310676399699</v>
      </c>
      <c r="F3" s="295">
        <f>STDEV('double AP'!AQ4:AQ16,'double AP'!AT4:AT16)/SQRT(COUNT('double AP'!AQ4:AQ16,'double AP'!AT4:AT16))</f>
        <v>4.6723297674590679E-2</v>
      </c>
      <c r="G3" s="290">
        <f>COUNT('double AP'!AQ4:AQ16,'double AP'!AT4:AT16)</f>
        <v>8</v>
      </c>
      <c r="H3" s="295">
        <f>AVERAGE('double AP'!AR17,'double AP'!AU17,single!Q7)</f>
        <v>0.29046588932269946</v>
      </c>
      <c r="I3" s="295">
        <f>STDEV('double AP'!AR4:AR16,'double AP'!AU4:AU16)/SQRT(COUNT('double AP'!AR4:AR16,'double AP'!AU4:AU16))</f>
        <v>3.7186611328524549E-2</v>
      </c>
      <c r="J3" s="290">
        <f>COUNT('double AP'!AR4:AR16,'double AP'!AU4:AU16)</f>
        <v>6</v>
      </c>
      <c r="K3" s="304"/>
      <c r="L3" s="304">
        <v>2</v>
      </c>
      <c r="M3" s="305" t="str">
        <f>'double AP'!AG36</f>
        <v>#REF!/AVERAGE(AF18:AF30))*AF3</v>
      </c>
      <c r="N3" s="306"/>
      <c r="O3" s="306"/>
    </row>
    <row r="4" spans="1:15" x14ac:dyDescent="0.15">
      <c r="A4" s="294" t="s">
        <v>366</v>
      </c>
      <c r="B4" s="295">
        <f>AVERAGE('double AP'!AP36,'double AP'!AS36,single!O12)</f>
        <v>0.85770503434161005</v>
      </c>
      <c r="C4" s="295">
        <f>STDEV('double AP'!AP18:AP33,'double AP'!AS18:AS33)/SQRT(COUNT('double AP'!AP18:AP33,'double AP'!AS18:AS33))</f>
        <v>2.8213923440066863E-2</v>
      </c>
      <c r="D4" s="290">
        <f>COUNT('double AP'!AP18:AP33,'double AP'!AS18:AS33)</f>
        <v>24</v>
      </c>
      <c r="E4" s="295">
        <f>AVERAGE('double AP'!AQ36,'double AP'!AT36,single!P12)</f>
        <v>0.33889074576539047</v>
      </c>
      <c r="F4" s="295">
        <f>STDEV('double AP'!AQ18:AQ33,'double AP'!AT18:AT33)/SQRT(COUNT('double AP'!AQ18:AQ33,'double AP'!AT18:AT33))</f>
        <v>5.4287442629281334E-2</v>
      </c>
      <c r="G4" s="290">
        <f>COUNT('double AP'!AQ18:AQ33,'double AP'!AT18:AT33)</f>
        <v>24</v>
      </c>
      <c r="H4" s="295">
        <f>AVERAGE('double AP'!AR36,'double AP'!AU36,single!Q12)</f>
        <v>2.5652184566129929E-2</v>
      </c>
      <c r="I4" s="295">
        <f>STDEV('double AP'!AR18:AR33,'double AP'!AU18:AU33)/SQRT(COUNT('double AP'!AR18:AR33,'double AP'!AU18:AU33))</f>
        <v>6.6477916871846869E-3</v>
      </c>
      <c r="J4" s="290">
        <f>COUNT('double AP'!AR18:AR33,'double AP'!AU18:AU33)</f>
        <v>24</v>
      </c>
      <c r="K4" s="304"/>
      <c r="L4" s="304">
        <v>4</v>
      </c>
      <c r="M4" s="305" t="str">
        <f>'double AP'!AG51</f>
        <v>#REF!/AVERAGE(AF36:AF47))*AF3</v>
      </c>
    </row>
    <row r="5" spans="1:15" x14ac:dyDescent="0.15">
      <c r="A5" s="294" t="s">
        <v>360</v>
      </c>
      <c r="B5" s="295">
        <f>AVERAGE('double AP'!AP51,'double AP'!AS51,single!O15)</f>
        <v>0.7914949662241848</v>
      </c>
      <c r="C5" s="295">
        <f>STDEV('double AP'!AP37:AP50,'double AP'!AS37:AS50)/SQRT(COUNT('double AP'!AP37:AP50,'double AP'!AS37:AS50))</f>
        <v>2.5107640550185713E-2</v>
      </c>
      <c r="D5" s="290">
        <f>COUNT('double AP'!AP37:AP50,'double AP'!AS37:AS50)</f>
        <v>20</v>
      </c>
      <c r="E5" s="295">
        <f>AVERAGE('double AP'!AQ51,'double AP'!AT51,single!P15)</f>
        <v>0.20342018328720446</v>
      </c>
      <c r="F5" s="295">
        <f>STDEV('double AP'!AQ37:AQ50,'double AP'!AT37:AT50)/SQRT(COUNT('double AP'!AQ37:AQ50,'double AP'!AT37:AT50))</f>
        <v>2.8994670785748435E-2</v>
      </c>
      <c r="G5" s="290">
        <f>COUNT('double AP'!AQ37:AQ50,'double AP'!AT37:AT50)</f>
        <v>20</v>
      </c>
      <c r="H5" s="295">
        <f>AVERAGE('double AP'!AR51,'double AP'!AU51,single!Q15)</f>
        <v>3.3979312558391685E-2</v>
      </c>
      <c r="I5" s="295">
        <f>STDEV('double AP'!AR37:AR50,'double AP'!AU37:AU50)/SQRT(COUNT('double AP'!AR37:AR50,'double AP'!AU37:AU50))</f>
        <v>5.1100278425045623E-3</v>
      </c>
      <c r="J5" s="290">
        <f>COUNT('double AP'!AR37:AR50,'double AP'!AU37:AU50)</f>
        <v>20</v>
      </c>
      <c r="K5" s="304"/>
      <c r="L5" s="304">
        <v>6</v>
      </c>
      <c r="M5" s="305">
        <f>'double AP'!AG72</f>
        <v>0</v>
      </c>
      <c r="N5" s="306"/>
    </row>
    <row r="6" spans="1:15" x14ac:dyDescent="0.15">
      <c r="A6" s="294" t="s">
        <v>367</v>
      </c>
      <c r="B6" s="295">
        <f>AVERAGE('double AP'!AP72,'double AP'!AS72,single!O19)</f>
        <v>0.37425597290266316</v>
      </c>
      <c r="C6" s="295">
        <f>STDEV('double AP'!AP52:AP67,'double AP'!AS52:AS67)/SQRT(COUNT('double AP'!AP52:AP67,'double AP'!AS52:AS67))</f>
        <v>5.2022909812300344E-2</v>
      </c>
      <c r="D6" s="290">
        <f>COUNT('double AP'!AP52:AP67,'double AP'!AS52:AS67)</f>
        <v>13</v>
      </c>
      <c r="E6" s="295">
        <f>AVERAGE('double AP'!AQ72,'double AP'!AT72,single!P19)</f>
        <v>4.4916253663057147E-2</v>
      </c>
      <c r="F6" s="295">
        <f>STDEV('double AP'!AQ52:AQ67,'double AP'!AT52:AT67)/SQRT(COUNT('double AP'!AQ52:AQ67,'double AP'!AT52:AT67))</f>
        <v>1.3112342959516153E-2</v>
      </c>
      <c r="G6" s="290">
        <f>COUNT('double AP'!AQ52:AQ67,'double AP'!AT52:AT67)</f>
        <v>16</v>
      </c>
      <c r="H6" s="295">
        <f>AVERAGE('double AP'!AR72,'double AP'!AU72,single!Q19)</f>
        <v>1.3737199230463923E-2</v>
      </c>
      <c r="I6" s="295">
        <f>STDEV('double AP'!AR52:AR67,'double AP'!AU52:AU67)/SQRT(COUNT('double AP'!AR52:AR67,'double AP'!AU52:AU67))</f>
        <v>3.3752136869217935E-3</v>
      </c>
      <c r="J6" s="290">
        <f>COUNT('double AP'!AR52:AR67,'double AP'!AU52:AU67)</f>
        <v>16</v>
      </c>
      <c r="K6" s="304"/>
      <c r="L6" s="304">
        <v>8</v>
      </c>
      <c r="M6" s="305" t="e">
        <f>#N/A</f>
        <v>#N/A</v>
      </c>
    </row>
    <row r="7" spans="1:15" x14ac:dyDescent="0.15">
      <c r="A7" s="294" t="s">
        <v>368</v>
      </c>
      <c r="B7" s="295">
        <f>AVERAGE('double AP'!AP73:AP85,'double AP'!AS73:AS85)</f>
        <v>0.20615697643887795</v>
      </c>
      <c r="C7" s="295">
        <f>STDEV('double AP'!AP73:AP85,'double AP'!AS73:AS85)/SQRT(D7)</f>
        <v>2.9350885047810974E-2</v>
      </c>
      <c r="D7" s="290">
        <f>COUNT('double AP'!AP73:AP85,'double AP'!AS73:AS85)</f>
        <v>17</v>
      </c>
      <c r="E7" s="295">
        <f>AVERAGE('double AP'!AQ73:AQ85,'double AP'!AT73:AT85)</f>
        <v>2.6336124474933102E-2</v>
      </c>
      <c r="F7" s="295">
        <f>STDEV('double AP'!AQ73:AQ85,'double AP'!AS73:AS85)/SQRT(G7)</f>
        <v>3.5108160227228104E-2</v>
      </c>
      <c r="G7" s="290">
        <f>COUNT('double AP'!AQ73:AQ85,'double AP'!AT73:AT85)</f>
        <v>17</v>
      </c>
      <c r="H7" s="295">
        <f>AVERAGE('double AP'!AR73:AR85,'double AP'!AU73:AU85)</f>
        <v>8.8745585967349976E-3</v>
      </c>
      <c r="I7" s="295">
        <f>STDEV('double AP'!AR73:AR85,'double AP'!AU73:AU85)/SQRT(J7)</f>
        <v>1.4175628647495474E-3</v>
      </c>
      <c r="J7" s="290">
        <f>COUNT('double AP'!AR73:AR85,'double AP'!AU73:AU85)</f>
        <v>17</v>
      </c>
      <c r="K7" s="304"/>
      <c r="L7" s="304">
        <v>12</v>
      </c>
      <c r="M7" s="305">
        <f>'double AP'!AG118</f>
        <v>0</v>
      </c>
    </row>
    <row r="8" spans="1:15" x14ac:dyDescent="0.15">
      <c r="A8" s="294" t="s">
        <v>361</v>
      </c>
      <c r="B8" s="295">
        <f>AVERAGE('double AP'!AP118,'double AP'!AS118,single!O26)</f>
        <v>0.10078879623185798</v>
      </c>
      <c r="C8" s="295">
        <f>STDEV('double AP'!AP100:AP116,'double AP'!AS100:AS116)/SQRT(COUNT('double AP'!AP100:AP116,'double AP'!AS100:AS116))</f>
        <v>6.909548270011957E-3</v>
      </c>
      <c r="D8" s="290">
        <f>COUNT('double AP'!AP100:AP116,'double AP'!AS100:AS116)</f>
        <v>12</v>
      </c>
      <c r="E8" s="295">
        <f>AVERAGE('double AP'!AQ118,'double AP'!AT118,single!P26)</f>
        <v>1.8689229173474386E-2</v>
      </c>
      <c r="F8" s="295">
        <f>STDEV('double AP'!AQ78:AQ109,'double AP'!AT78:AT109)/SQRT(COUNT('double AP'!AQ78:AQ109,'double AP'!AT78:AT109))</f>
        <v>2.1496356425124369E-3</v>
      </c>
      <c r="G8" s="290">
        <f>COUNT('double AP'!AQ78:AQ109,'double AP'!AT78:AT109)</f>
        <v>39</v>
      </c>
      <c r="H8" s="295">
        <f>AVERAGE('double AP'!AR118,'double AP'!AU118,single!Q26)</f>
        <v>7.1808438137300505E-3</v>
      </c>
      <c r="I8" s="295">
        <f>STDEV('double AP'!AR78:AR109,'double AP'!AU78:AU109)/SQRT(COUNT('double AP'!AR78:AR109,'double AP'!AU78:AU109))</f>
        <v>7.9735332308256059E-4</v>
      </c>
      <c r="J8" s="290">
        <f>COUNT('double AP'!AR78:AR109,'double AP'!AU78:AU109)</f>
        <v>38</v>
      </c>
      <c r="K8" s="304"/>
      <c r="L8" s="304">
        <v>16</v>
      </c>
      <c r="M8" s="305">
        <f>'double AP'!AG132</f>
        <v>0</v>
      </c>
    </row>
    <row r="9" spans="1:15" x14ac:dyDescent="0.15">
      <c r="A9" s="294" t="s">
        <v>369</v>
      </c>
      <c r="B9" s="295">
        <f>AVERAGE('double AP'!AP132,'double AP'!AS132)</f>
        <v>3.3468044142414818E-2</v>
      </c>
      <c r="C9" s="295">
        <f>STDEV('double AP'!AP119:AP120,'double AP'!AS119:AS120)/SQRT(COUNT('double AP'!AP119:AP120,'double AP'!AS119:AS120))</f>
        <v>1.3082600843158883E-2</v>
      </c>
      <c r="D9" s="290">
        <f>COUNT('double AP'!AP119:AP120,'double AP'!AS119:AS120)</f>
        <v>3</v>
      </c>
      <c r="E9" s="295">
        <f>AVERAGE('double AP'!AQ132,'double AP'!AT132)</f>
        <v>1.7417724895038907E-2</v>
      </c>
      <c r="F9" s="295">
        <f>STDEV('double AP'!AQ119:AQ120,'double AP'!AT119:AT120)/SQRT(COUNT('double AP'!AQ119:AQ120,'double AP'!AT119:AT120))</f>
        <v>6.8598605577639051E-3</v>
      </c>
      <c r="G9" s="290">
        <f>COUNT('double AP'!AQ119:AQ120,'double AP'!AT119:AT120)</f>
        <v>3</v>
      </c>
      <c r="H9" s="295">
        <f>AVERAGE('double AP'!AR132,'double AP'!AU132)</f>
        <v>3.7592537409231325E-3</v>
      </c>
      <c r="I9" s="295">
        <f>STDEV('double AP'!AR119:AR120,'double AP'!AU119:AU120)/SQRT(COUNT('double AP'!AR119:AR120,'double AP'!AU119:AU120))</f>
        <v>3.4064966005274938E-4</v>
      </c>
      <c r="J9" s="290">
        <f>COUNT('double AP'!AR119:AR120,'double AP'!AU119:AU120)</f>
        <v>3</v>
      </c>
      <c r="K9" s="304"/>
      <c r="L9" s="304">
        <v>22</v>
      </c>
      <c r="M9" s="305">
        <f>'double AP'!AG147</f>
        <v>0</v>
      </c>
      <c r="N9" s="306"/>
    </row>
    <row r="10" spans="1:15" x14ac:dyDescent="0.15">
      <c r="A10" s="307" t="s">
        <v>370</v>
      </c>
      <c r="B10" s="295">
        <f>AVERAGE('double AP'!AP147,'double AP'!AS147,single!O39)</f>
        <v>3.4546263501738853E-2</v>
      </c>
      <c r="C10" s="295">
        <f>STDEV('double AP'!AP133:AP137,'double AP'!AS133:AS137)/SQRT(COUNT('double AP'!AP133:AP137,'double AP'!AS133:AS137))</f>
        <v>5.8239447660274604E-3</v>
      </c>
      <c r="D10" s="290">
        <f>COUNT('double AP'!AP133:AP137,'double AP'!AS133:AS137)</f>
        <v>9</v>
      </c>
      <c r="E10" s="295">
        <f>AVERAGE('double AP'!AQ147,'double AP'!AT147,single!P39)</f>
        <v>1.4155424027233411E-2</v>
      </c>
      <c r="F10" s="295">
        <f>STDEV('double AP'!AQ133:AQ137,'double AP'!AT133:AT137)/SQRT(COUNT('double AP'!AQ133:AQ137,'double AP'!AT133:AT137))</f>
        <v>1.2645230991623331E-3</v>
      </c>
      <c r="G10" s="290">
        <f>COUNT('double AP'!AQ133:AQ137,'double AP'!AT133:AT137)</f>
        <v>9</v>
      </c>
      <c r="H10" s="295">
        <f>AVERAGE('double AP'!AR147,'double AP'!AU147,single!Q39)</f>
        <v>8.5974697028109986E-3</v>
      </c>
      <c r="I10" s="295">
        <f>STDEV('double AP'!AR133:AR137,'double AP'!AU133:AU137)/SQRT(COUNT('double AP'!AR133:AR137,'double AP'!AU133:AU137))</f>
        <v>3.909433282152543E-3</v>
      </c>
      <c r="J10" s="290">
        <f>COUNT('double AP'!AR133:AR137,'double AP'!AU133:AU137)</f>
        <v>9</v>
      </c>
      <c r="K10" s="304"/>
      <c r="L10" s="304">
        <v>50</v>
      </c>
      <c r="M10" s="305">
        <f>'double AP'!AG170</f>
        <v>0</v>
      </c>
    </row>
    <row r="11" spans="1:15" x14ac:dyDescent="0.15">
      <c r="A11" s="307" t="s">
        <v>339</v>
      </c>
      <c r="B11" s="295">
        <f>AVERAGE('double AP'!AP170,'double AP'!AS170,single!O47)</f>
        <v>3.2664180107733344E-2</v>
      </c>
      <c r="C11" s="295">
        <f>STDEV('double AP'!AP148:AP158,'double AP'!AS148:AS158)/SQRT(COUNT('double AP'!AP148:AP158,'double AP'!AS148:AS158))</f>
        <v>5.3651215533483138E-3</v>
      </c>
      <c r="D11" s="290">
        <f>COUNT('double AP'!AP148:AP158,'double AP'!AS148:AS158)</f>
        <v>11</v>
      </c>
      <c r="E11" s="295">
        <f>AVERAGE('double AP'!AQ170,'double AP'!AT170,single!P47)</f>
        <v>8.6466242175527296E-3</v>
      </c>
      <c r="F11" s="295">
        <f>STDEV('double AP'!AQ148:AQ158,'double AP'!AT148:AT158)/SQRT(COUNT('double AP'!AQ148:AQ158,'double AP'!AT148:AT158))</f>
        <v>1.8571650505734875E-3</v>
      </c>
      <c r="G11" s="290">
        <f>COUNT('double AP'!AQ148:AQ158,'double AP'!AT148:AT158)</f>
        <v>10</v>
      </c>
      <c r="H11" s="295">
        <f>AVERAGE('double AP'!AR170,'double AP'!AU170,single!Q47)</f>
        <v>2.2400885941013262E-3</v>
      </c>
      <c r="I11" s="295">
        <f>STDEV('double AP'!AR148:AR158,'double AP'!AU148:AU158)/SQRT(COUNT('double AP'!AR148:AR158,'double AP'!AU148:AU158))</f>
        <v>6.0465199206498528E-4</v>
      </c>
      <c r="J11" s="290">
        <f>COUNT('double AP'!AR148:AR158,'double AP'!AU148:AU158)</f>
        <v>11</v>
      </c>
      <c r="K11" s="304"/>
      <c r="N11" s="306"/>
    </row>
    <row r="12" spans="1:15" x14ac:dyDescent="0.15">
      <c r="A12" s="307" t="s">
        <v>339</v>
      </c>
      <c r="B12" s="295" t="e">
        <f>AVERAGE('double AP'!AP171,'double AP'!AS171,single!O48)</f>
        <v>#DIV/0!</v>
      </c>
      <c r="C12" s="295">
        <f>STDEV('double AP'!AP149:AP159,'double AP'!AS149:AS159)/SQRT(COUNT('double AP'!AP149:AP159,'double AP'!AS149:AS159))</f>
        <v>5.3651215533483138E-3</v>
      </c>
      <c r="D12" s="290">
        <f>COUNT('double AP'!AP149:AP159,'double AP'!AS149:AS159)</f>
        <v>11</v>
      </c>
      <c r="E12" s="295" t="e">
        <f>AVERAGE('double AP'!AQ171,'double AP'!AT171,single!P48)</f>
        <v>#DIV/0!</v>
      </c>
      <c r="F12" s="295">
        <f>STDEV('double AP'!AQ149:AQ159,'double AP'!AT149:AT159)/SQRT(COUNT('double AP'!AQ149:AQ159,'double AP'!AT149:AT159))</f>
        <v>1.8571650505734875E-3</v>
      </c>
      <c r="G12" s="290">
        <f>COUNT('double AP'!AQ149:AQ159,'double AP'!AT149:AT159)</f>
        <v>10</v>
      </c>
      <c r="H12" s="295" t="e">
        <f>AVERAGE('double AP'!AR171,'double AP'!AU171,single!Q48)</f>
        <v>#DIV/0!</v>
      </c>
      <c r="I12" s="295">
        <f>STDEV('double AP'!AR149:AR159,'double AP'!AU149:AU159)/SQRT(COUNT('double AP'!AR149:AR159,'double AP'!AU149:AU159))</f>
        <v>6.0465199206498528E-4</v>
      </c>
      <c r="J12" s="290">
        <f>COUNT('double AP'!AR149:AR159,'double AP'!AU149:AU159)</f>
        <v>11</v>
      </c>
    </row>
    <row r="18" spans="12:15" x14ac:dyDescent="0.15">
      <c r="L18" s="308" t="s">
        <v>371</v>
      </c>
      <c r="M18" s="308" t="s">
        <v>226</v>
      </c>
      <c r="N18" s="308" t="s">
        <v>372</v>
      </c>
      <c r="O18" s="308" t="s">
        <v>203</v>
      </c>
    </row>
    <row r="19" spans="12:15" x14ac:dyDescent="0.15">
      <c r="L19" s="308"/>
      <c r="M19" s="308"/>
      <c r="N19" s="308"/>
      <c r="O19" s="308"/>
    </row>
    <row r="20" spans="12:15" x14ac:dyDescent="0.15">
      <c r="L20" s="308" t="s">
        <v>215</v>
      </c>
      <c r="M20" s="308">
        <v>134</v>
      </c>
      <c r="N20" s="308">
        <v>1682</v>
      </c>
      <c r="O20" s="308">
        <v>1750</v>
      </c>
    </row>
    <row r="21" spans="12:15" x14ac:dyDescent="0.15">
      <c r="L21" s="308"/>
      <c r="M21" s="308"/>
      <c r="N21" s="308"/>
      <c r="O21" s="308"/>
    </row>
    <row r="22" spans="12:15" x14ac:dyDescent="0.15">
      <c r="L22" s="308" t="s">
        <v>216</v>
      </c>
      <c r="M22" s="308">
        <v>105</v>
      </c>
      <c r="N22" s="308">
        <v>2130</v>
      </c>
      <c r="O22" s="308">
        <v>1925</v>
      </c>
    </row>
    <row r="23" spans="12:15" x14ac:dyDescent="0.15">
      <c r="L23" s="308"/>
      <c r="M23" s="308"/>
      <c r="N23" s="308"/>
      <c r="O23" s="308"/>
    </row>
    <row r="24" spans="12:15" x14ac:dyDescent="0.15">
      <c r="L24" s="308" t="s">
        <v>217</v>
      </c>
      <c r="M24" s="308">
        <v>135</v>
      </c>
      <c r="N24" s="308">
        <v>1640</v>
      </c>
      <c r="O24" s="308">
        <v>1900</v>
      </c>
    </row>
    <row r="25" spans="12:15" x14ac:dyDescent="0.15">
      <c r="L25" s="308"/>
      <c r="M25" s="308"/>
      <c r="N25" s="308"/>
      <c r="O25" s="308"/>
    </row>
    <row r="26" spans="12:15" x14ac:dyDescent="0.15">
      <c r="L26" s="308" t="s">
        <v>373</v>
      </c>
      <c r="M26" s="308">
        <v>-100</v>
      </c>
      <c r="N26" s="308">
        <v>1771</v>
      </c>
      <c r="O26" s="308">
        <v>1600</v>
      </c>
    </row>
    <row r="27" spans="12:15" x14ac:dyDescent="0.15">
      <c r="L27" s="308"/>
      <c r="M27" s="308"/>
      <c r="N27" s="308"/>
      <c r="O27" s="308"/>
    </row>
    <row r="28" spans="12:15" x14ac:dyDescent="0.15">
      <c r="L28" s="308" t="s">
        <v>207</v>
      </c>
      <c r="M28" s="308">
        <v>345</v>
      </c>
      <c r="N28" s="308">
        <v>1930</v>
      </c>
      <c r="O28" s="308">
        <v>1720</v>
      </c>
    </row>
    <row r="29" spans="12:15" x14ac:dyDescent="0.15">
      <c r="L29" s="308"/>
      <c r="M29" s="308"/>
      <c r="N29" s="308"/>
      <c r="O29" s="308"/>
    </row>
    <row r="30" spans="12:15" x14ac:dyDescent="0.15">
      <c r="L30" s="308" t="s">
        <v>199</v>
      </c>
      <c r="M30" s="308">
        <v>140</v>
      </c>
      <c r="N30" s="308">
        <v>1930</v>
      </c>
      <c r="O30" s="308">
        <v>1720</v>
      </c>
    </row>
    <row r="31" spans="12:15" x14ac:dyDescent="0.15">
      <c r="L31" s="308"/>
      <c r="M31" s="308"/>
      <c r="N31" s="308"/>
      <c r="O31" s="308"/>
    </row>
    <row r="32" spans="12:15" x14ac:dyDescent="0.15">
      <c r="L32" s="308" t="s">
        <v>374</v>
      </c>
      <c r="M32" s="308">
        <v>-190</v>
      </c>
      <c r="N32" s="308">
        <v>2400</v>
      </c>
      <c r="O32" s="308">
        <v>2040</v>
      </c>
    </row>
    <row r="34" spans="13:15" x14ac:dyDescent="0.15">
      <c r="M34" s="308"/>
      <c r="N34" s="308"/>
      <c r="O34" s="308"/>
    </row>
    <row r="35" spans="13:15" x14ac:dyDescent="0.15">
      <c r="M35" s="308"/>
      <c r="N35" s="308">
        <f>AVERAGE(N20:N32)</f>
        <v>1926.1428571428571</v>
      </c>
      <c r="O35" s="308">
        <f>AVERAGE(O20:O32)</f>
        <v>1807.8571428571429</v>
      </c>
    </row>
    <row r="36" spans="13:15" x14ac:dyDescent="0.15">
      <c r="M36" s="308"/>
      <c r="N36" s="308"/>
      <c r="O36" s="308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56" zoomScaleNormal="56" workbookViewId="0">
      <selection activeCell="AK29" sqref="AK29"/>
    </sheetView>
  </sheetViews>
  <sheetFormatPr baseColWidth="10" defaultColWidth="12.33203125" defaultRowHeight="13" x14ac:dyDescent="0.15"/>
  <cols>
    <col min="1" max="16384" width="12.33203125" style="309"/>
  </cols>
  <sheetData/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double AP</vt:lpstr>
      <vt:lpstr>double ML</vt:lpstr>
      <vt:lpstr>single</vt:lpstr>
      <vt:lpstr>cell death</vt:lpstr>
      <vt:lpstr>contour</vt:lpstr>
      <vt:lpstr>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Lyngholm</cp:lastModifiedBy>
  <cp:lastPrinted>2011-01-04T15:49:55Z</cp:lastPrinted>
  <dcterms:created xsi:type="dcterms:W3CDTF">2018-11-01T14:34:09Z</dcterms:created>
  <dcterms:modified xsi:type="dcterms:W3CDTF">2018-11-05T18:41:17Z</dcterms:modified>
</cp:coreProperties>
</file>