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uart.follett\OneDrive - United States Marine Corps\Desktop\Financial Modeling\"/>
    </mc:Choice>
  </mc:AlternateContent>
  <bookViews>
    <workbookView xWindow="-110" yWindow="1290" windowWidth="23260" windowHeight="12580"/>
  </bookViews>
  <sheets>
    <sheet name="Memo" sheetId="39" r:id="rId1"/>
    <sheet name="Inputs" sheetId="16" r:id="rId2"/>
    <sheet name="Annual Summaries" sheetId="38" r:id="rId3"/>
    <sheet name="CompanyP&amp;L" sheetId="33" r:id="rId4"/>
    <sheet name="BalanceSheet" sheetId="36" r:id="rId5"/>
    <sheet name="CashFlowStatement" sheetId="37" r:id="rId6"/>
    <sheet name="ControlSheet" sheetId="8" r:id="rId7"/>
    <sheet name="CapEx" sheetId="34" r:id="rId8"/>
    <sheet name="Interest Expense" sheetId="35" r:id="rId9"/>
    <sheet name="G&amp;A" sheetId="32" r:id="rId10"/>
    <sheet name="AllStores---&gt;" sheetId="31" r:id="rId11"/>
    <sheet name="Existing Stores---&gt;" sheetId="20" r:id="rId12"/>
    <sheet name="In" sheetId="21" r:id="rId13"/>
    <sheet name="IS_Store 1" sheetId="25" r:id="rId14"/>
    <sheet name="IS_Store 2" sheetId="26" r:id="rId15"/>
    <sheet name="IS_Store 3" sheetId="27" r:id="rId16"/>
    <sheet name="IS_Store 4" sheetId="28" r:id="rId17"/>
    <sheet name="IS_Store 5" sheetId="29" r:id="rId18"/>
    <sheet name="Out" sheetId="22" r:id="rId19"/>
    <sheet name="IS_Existing" sheetId="24" r:id="rId20"/>
    <sheet name="Inc_Stm_New_Stores---&gt;" sheetId="17" r:id="rId21"/>
    <sheet name="IS_NewStore_Trend" sheetId="19" r:id="rId22"/>
    <sheet name="IS_NewStore" sheetId="18" r:id="rId23"/>
  </sheets>
  <definedNames>
    <definedName name="BegStockholderEquity">'Annual Summaries'!$C$54</definedName>
    <definedName name="ExistingStoreColumn">IS_Existing!$B$9:$I$9</definedName>
    <definedName name="ExistingStoreRow">IS_Existing!$B$9:$B$51</definedName>
    <definedName name="ExistingStoreTable">IS_Existing!$B$9:$H$51</definedName>
    <definedName name="ExitMultiple">Memo!$C$39</definedName>
    <definedName name="NSO1Column">Inputs!$B$26:$E$26</definedName>
    <definedName name="NSO1Row">Inputs!$B$26:$B$29</definedName>
    <definedName name="NSO1Table">Inputs!$B$26:$E$29</definedName>
    <definedName name="NSO2Column">Inputs!$B$32:$E$32</definedName>
    <definedName name="NSO2Row">Inputs!$B$32:$B$35</definedName>
    <definedName name="NSO2Table">Inputs!$B$32:$E$35</definedName>
    <definedName name="_xlnm.Print_Area" localSheetId="0">Memo!$A$1:$J$115</definedName>
    <definedName name="ScheduleColumn">Inputs!$B$17:$G$17</definedName>
    <definedName name="ScheduleRow">Inputs!$B$17:$B$21</definedName>
    <definedName name="ScheduleTable">Inputs!$B$17:$G$21</definedName>
    <definedName name="StoreExpenseColumn">Inputs!$B$38:$E$38</definedName>
    <definedName name="StoreExpenseRow">Inputs!$B$38:$B$58</definedName>
    <definedName name="StoreExpenseTable">Inputs!$B$38:$E$58</definedName>
    <definedName name="StoreList">ControlSheet!$B$1:$B$5</definedName>
    <definedName name="Year1Margin">'Annual Summaries'!$C$32</definedName>
    <definedName name="Year2Margin">'Annual Summaries'!$D$32</definedName>
    <definedName name="Year3Margin">'Annual Summaries'!$E$32</definedName>
    <definedName name="Year4Margin">'Annual Summaries'!$F$32</definedName>
    <definedName name="Year5Assets">'Annual Summaries'!$G$44</definedName>
    <definedName name="Year5Cash">'Annual Summaries'!$G$37</definedName>
    <definedName name="Year5Debt">'Annual Summaries'!$G$51</definedName>
    <definedName name="Year5Margin">'Annual Summaries'!$G$32</definedName>
    <definedName name="Year5NetIncome">'Annual Summaries'!$G$31</definedName>
    <definedName name="Year5Revenue">'Annual Summaries'!$G$9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16" l="1"/>
  <c r="C98" i="39"/>
  <c r="C34" i="39"/>
  <c r="C39" i="39"/>
  <c r="C45" i="39"/>
  <c r="G40" i="32"/>
  <c r="C2" i="38"/>
  <c r="F29" i="38" l="1"/>
  <c r="C43" i="38" l="1"/>
  <c r="E79" i="38"/>
  <c r="G83" i="38"/>
  <c r="C87" i="38"/>
  <c r="C51" i="38"/>
  <c r="E51" i="38"/>
  <c r="E64" i="38"/>
  <c r="D79" i="38"/>
  <c r="F83" i="38"/>
  <c r="G64" i="38"/>
  <c r="F51" i="38"/>
  <c r="D51" i="38"/>
  <c r="E83" i="38"/>
  <c r="G43" i="38"/>
  <c r="F78" i="38"/>
  <c r="F54" i="38"/>
  <c r="F43" i="38"/>
  <c r="C78" i="38"/>
  <c r="E78" i="38"/>
  <c r="G82" i="38"/>
  <c r="G51" i="38"/>
  <c r="F79" i="38"/>
  <c r="C54" i="38"/>
  <c r="D57" i="39" s="1"/>
  <c r="G78" i="38"/>
  <c r="C64" i="38"/>
  <c r="E54" i="38"/>
  <c r="E43" i="38"/>
  <c r="C79" i="38"/>
  <c r="D78" i="38"/>
  <c r="F82" i="38"/>
  <c r="C83" i="38"/>
  <c r="F64" i="38"/>
  <c r="D64" i="38"/>
  <c r="G54" i="38"/>
  <c r="D83" i="38"/>
  <c r="D54" i="38"/>
  <c r="D43" i="38"/>
  <c r="G79" i="38"/>
  <c r="C82" i="38"/>
  <c r="E82" i="38"/>
  <c r="D82" i="38"/>
  <c r="D21" i="38"/>
  <c r="E29" i="38"/>
  <c r="D29" i="38"/>
  <c r="E21" i="38"/>
  <c r="G25" i="38"/>
  <c r="C21" i="38"/>
  <c r="F25" i="38"/>
  <c r="E25" i="38"/>
  <c r="C25" i="38"/>
  <c r="C29" i="38"/>
  <c r="D25" i="38"/>
  <c r="G21" i="38"/>
  <c r="G29" i="38"/>
  <c r="F21" i="38"/>
  <c r="C52" i="39"/>
  <c r="D61" i="39" s="1"/>
  <c r="E61" i="39" s="1"/>
  <c r="F61" i="39" s="1"/>
  <c r="G61" i="39" s="1"/>
  <c r="H61" i="39" s="1"/>
  <c r="I61" i="39" s="1"/>
  <c r="G20" i="36" l="1"/>
  <c r="H20" i="36"/>
  <c r="I20" i="36"/>
  <c r="K20" i="36"/>
  <c r="M20" i="36"/>
  <c r="O20" i="36"/>
  <c r="F20" i="36"/>
  <c r="F6" i="35"/>
  <c r="G6" i="35"/>
  <c r="H6" i="35"/>
  <c r="I6" i="35"/>
  <c r="J20" i="36" s="1"/>
  <c r="J6" i="35"/>
  <c r="K6" i="35"/>
  <c r="L20" i="36" s="1"/>
  <c r="L6" i="35"/>
  <c r="M6" i="35"/>
  <c r="N20" i="36" s="1"/>
  <c r="N6" i="35"/>
  <c r="O6" i="35"/>
  <c r="P20" i="36" s="1"/>
  <c r="P6" i="35"/>
  <c r="Q20" i="36" s="1"/>
  <c r="AD20" i="36" s="1"/>
  <c r="Q6" i="35"/>
  <c r="R20" i="36" s="1"/>
  <c r="R6" i="35"/>
  <c r="S20" i="36" s="1"/>
  <c r="S6" i="35"/>
  <c r="T20" i="36" s="1"/>
  <c r="T6" i="35"/>
  <c r="U20" i="36" s="1"/>
  <c r="AE20" i="36" s="1"/>
  <c r="U6" i="35"/>
  <c r="V20" i="36" s="1"/>
  <c r="V6" i="35"/>
  <c r="W20" i="36" s="1"/>
  <c r="W6" i="35"/>
  <c r="X20" i="36" s="1"/>
  <c r="X6" i="35"/>
  <c r="Y20" i="36" s="1"/>
  <c r="AF20" i="36" s="1"/>
  <c r="E6" i="35"/>
  <c r="C7" i="38"/>
  <c r="C8" i="38"/>
  <c r="D8" i="38"/>
  <c r="E8" i="38"/>
  <c r="F8" i="38"/>
  <c r="G8" i="38"/>
  <c r="B9" i="38"/>
  <c r="B10" i="38"/>
  <c r="B11" i="38"/>
  <c r="B12" i="38"/>
  <c r="B13" i="38"/>
  <c r="B14" i="38"/>
  <c r="B15" i="38"/>
  <c r="B16" i="38"/>
  <c r="B17" i="38"/>
  <c r="B18" i="38"/>
  <c r="B19" i="38"/>
  <c r="B20" i="38"/>
  <c r="B21" i="38"/>
  <c r="B22" i="38"/>
  <c r="B23" i="38"/>
  <c r="B24" i="38"/>
  <c r="B25" i="38"/>
  <c r="B26" i="38"/>
  <c r="B27" i="38"/>
  <c r="B28" i="38"/>
  <c r="B29" i="38"/>
  <c r="B30" i="38"/>
  <c r="B31" i="38"/>
  <c r="B32" i="38"/>
  <c r="Y28" i="33"/>
  <c r="Y26" i="33"/>
  <c r="Y24" i="33"/>
  <c r="Y22" i="33"/>
  <c r="Y20" i="33"/>
  <c r="Y18" i="33"/>
  <c r="Y16" i="33"/>
  <c r="Y14" i="33"/>
  <c r="Y12" i="33"/>
  <c r="Y10" i="33"/>
  <c r="Y8" i="33"/>
  <c r="Y6" i="33"/>
  <c r="C61" i="38"/>
  <c r="B62" i="38"/>
  <c r="C62" i="38"/>
  <c r="D62" i="38"/>
  <c r="E62" i="38"/>
  <c r="F62" i="38"/>
  <c r="G62" i="38"/>
  <c r="B63" i="38"/>
  <c r="B64" i="38"/>
  <c r="B66" i="38"/>
  <c r="B67" i="38"/>
  <c r="B68" i="38"/>
  <c r="B69" i="38"/>
  <c r="B71" i="38"/>
  <c r="B72" i="38"/>
  <c r="B73" i="38"/>
  <c r="B74" i="38"/>
  <c r="B75" i="38"/>
  <c r="B77" i="38"/>
  <c r="B78" i="38"/>
  <c r="B79" i="38"/>
  <c r="B81" i="38"/>
  <c r="B82" i="38"/>
  <c r="B83" i="38"/>
  <c r="B85" i="38"/>
  <c r="B87" i="38"/>
  <c r="B88" i="38"/>
  <c r="C35" i="38"/>
  <c r="C36" i="38"/>
  <c r="D36" i="38"/>
  <c r="E36" i="38"/>
  <c r="F36" i="38"/>
  <c r="G36" i="38"/>
  <c r="B37" i="38"/>
  <c r="B38" i="38"/>
  <c r="B39" i="38"/>
  <c r="B40" i="38"/>
  <c r="B41" i="38"/>
  <c r="B43" i="38"/>
  <c r="B44" i="38"/>
  <c r="B46" i="38"/>
  <c r="B47" i="38"/>
  <c r="B48" i="38"/>
  <c r="B49" i="38"/>
  <c r="B51" i="38"/>
  <c r="B52" i="38"/>
  <c r="B54" i="38"/>
  <c r="B55" i="38"/>
  <c r="B56" i="38"/>
  <c r="B58" i="38"/>
  <c r="Z30" i="37"/>
  <c r="Z7" i="37"/>
  <c r="AA7" i="37"/>
  <c r="AB7" i="37"/>
  <c r="AC7" i="37"/>
  <c r="AD7" i="37"/>
  <c r="Z21" i="37"/>
  <c r="AA21" i="37"/>
  <c r="AB21" i="37"/>
  <c r="AC21" i="37"/>
  <c r="AD21" i="37"/>
  <c r="Z22" i="37"/>
  <c r="AA22" i="37"/>
  <c r="AB22" i="37"/>
  <c r="AC22" i="37"/>
  <c r="AD22" i="37"/>
  <c r="AB12" i="36"/>
  <c r="AC12" i="36"/>
  <c r="AD12" i="36"/>
  <c r="AE12" i="36"/>
  <c r="AF12" i="36"/>
  <c r="AB20" i="36"/>
  <c r="AC20" i="36"/>
  <c r="AB23" i="36"/>
  <c r="AC23" i="36"/>
  <c r="AD23" i="36"/>
  <c r="AE23" i="36"/>
  <c r="AF23" i="36"/>
  <c r="N25" i="37" l="1"/>
  <c r="I7" i="35"/>
  <c r="D30" i="37"/>
  <c r="F25" i="37"/>
  <c r="F26" i="37" s="1"/>
  <c r="G25" i="37"/>
  <c r="G26" i="37" s="1"/>
  <c r="H25" i="37"/>
  <c r="I25" i="37"/>
  <c r="I26" i="37" s="1"/>
  <c r="J25" i="37"/>
  <c r="J26" i="37" s="1"/>
  <c r="K25" i="37"/>
  <c r="K26" i="37" s="1"/>
  <c r="L25" i="37"/>
  <c r="M25" i="37"/>
  <c r="N26" i="37"/>
  <c r="O25" i="37"/>
  <c r="P25" i="37"/>
  <c r="Q25" i="37"/>
  <c r="Q26" i="37" s="1"/>
  <c r="R25" i="37"/>
  <c r="R26" i="37" s="1"/>
  <c r="S25" i="37"/>
  <c r="S26" i="37" s="1"/>
  <c r="T25" i="37"/>
  <c r="U25" i="37"/>
  <c r="V25" i="37"/>
  <c r="V26" i="37" s="1"/>
  <c r="W25" i="37"/>
  <c r="W26" i="37" s="1"/>
  <c r="E25" i="37"/>
  <c r="E26" i="37" s="1"/>
  <c r="D25" i="37"/>
  <c r="E21" i="37"/>
  <c r="E22" i="37" s="1"/>
  <c r="F21" i="37"/>
  <c r="F22" i="37" s="1"/>
  <c r="G21" i="37"/>
  <c r="H21" i="37"/>
  <c r="H22" i="37" s="1"/>
  <c r="I21" i="37"/>
  <c r="J21" i="37"/>
  <c r="K21" i="37"/>
  <c r="K22" i="37" s="1"/>
  <c r="L21" i="37"/>
  <c r="M21" i="37"/>
  <c r="N21" i="37"/>
  <c r="N22" i="37" s="1"/>
  <c r="O21" i="37"/>
  <c r="P21" i="37"/>
  <c r="Q21" i="37"/>
  <c r="R21" i="37"/>
  <c r="R22" i="37" s="1"/>
  <c r="S21" i="37"/>
  <c r="T21" i="37"/>
  <c r="U21" i="37"/>
  <c r="V21" i="37"/>
  <c r="V22" i="37" s="1"/>
  <c r="W21" i="37"/>
  <c r="D21" i="37"/>
  <c r="D22" i="37" s="1"/>
  <c r="I22" i="37"/>
  <c r="L22" i="37"/>
  <c r="Q22" i="37"/>
  <c r="S22" i="37"/>
  <c r="T22" i="37"/>
  <c r="G22" i="37"/>
  <c r="J22" i="37"/>
  <c r="M22" i="37"/>
  <c r="O22" i="37"/>
  <c r="P22" i="37"/>
  <c r="U22" i="37"/>
  <c r="W22" i="37"/>
  <c r="E7" i="37"/>
  <c r="F7" i="37"/>
  <c r="G7" i="37"/>
  <c r="H7" i="37"/>
  <c r="I7" i="37"/>
  <c r="J7" i="37"/>
  <c r="K7" i="37"/>
  <c r="L7" i="37"/>
  <c r="M7" i="37"/>
  <c r="N7" i="37"/>
  <c r="O7" i="37"/>
  <c r="P7" i="37"/>
  <c r="Q7" i="37"/>
  <c r="R7" i="37"/>
  <c r="S7" i="37"/>
  <c r="T7" i="37"/>
  <c r="U7" i="37"/>
  <c r="V7" i="37"/>
  <c r="W7" i="37"/>
  <c r="D7" i="37"/>
  <c r="M26" i="37"/>
  <c r="O26" i="37"/>
  <c r="U26" i="37"/>
  <c r="D29" i="36"/>
  <c r="C4" i="35"/>
  <c r="G7" i="35" s="1"/>
  <c r="F25" i="33" s="1"/>
  <c r="G23" i="36"/>
  <c r="H23" i="36"/>
  <c r="I23" i="36"/>
  <c r="J23" i="36"/>
  <c r="K23" i="36"/>
  <c r="L23" i="36"/>
  <c r="M23" i="36"/>
  <c r="N23" i="36"/>
  <c r="O23" i="36"/>
  <c r="P23" i="36"/>
  <c r="Q23" i="36"/>
  <c r="R23" i="36"/>
  <c r="S23" i="36"/>
  <c r="T23" i="36"/>
  <c r="U23" i="36"/>
  <c r="V23" i="36"/>
  <c r="W23" i="36"/>
  <c r="X23" i="36"/>
  <c r="Y23" i="36"/>
  <c r="F23" i="36"/>
  <c r="G12" i="36"/>
  <c r="H12" i="36"/>
  <c r="I12" i="36"/>
  <c r="J12" i="36"/>
  <c r="K12" i="36"/>
  <c r="L12" i="36"/>
  <c r="M12" i="36"/>
  <c r="N12" i="36"/>
  <c r="O12" i="36"/>
  <c r="P12" i="36"/>
  <c r="Q12" i="36"/>
  <c r="R12" i="36"/>
  <c r="S12" i="36"/>
  <c r="T12" i="36"/>
  <c r="U12" i="36"/>
  <c r="V12" i="36"/>
  <c r="W12" i="36"/>
  <c r="X12" i="36"/>
  <c r="Y12" i="36"/>
  <c r="F12" i="36"/>
  <c r="D24" i="36"/>
  <c r="C20" i="36"/>
  <c r="C16" i="36"/>
  <c r="C17" i="36"/>
  <c r="C15" i="36"/>
  <c r="C8" i="36"/>
  <c r="C9" i="36"/>
  <c r="C7" i="36"/>
  <c r="D7" i="36"/>
  <c r="D8" i="36"/>
  <c r="D9" i="36"/>
  <c r="D10" i="36"/>
  <c r="D12" i="36"/>
  <c r="D13" i="36"/>
  <c r="D15" i="36"/>
  <c r="D16" i="36"/>
  <c r="D17" i="36"/>
  <c r="D18" i="36"/>
  <c r="D20" i="36"/>
  <c r="D21" i="36"/>
  <c r="D23" i="36"/>
  <c r="D25" i="36"/>
  <c r="D27" i="36"/>
  <c r="D6" i="36"/>
  <c r="E21" i="33"/>
  <c r="F21" i="33"/>
  <c r="G21" i="33"/>
  <c r="H21" i="33"/>
  <c r="AA21" i="33" s="1"/>
  <c r="I21" i="33"/>
  <c r="J21" i="33"/>
  <c r="K21" i="33"/>
  <c r="L21" i="33"/>
  <c r="M21" i="33"/>
  <c r="N21" i="33"/>
  <c r="O21" i="33"/>
  <c r="P21" i="33"/>
  <c r="AC21" i="33" s="1"/>
  <c r="Q21" i="33"/>
  <c r="R21" i="33"/>
  <c r="S21" i="33"/>
  <c r="T21" i="33"/>
  <c r="U21" i="33"/>
  <c r="V21" i="33"/>
  <c r="W21" i="33"/>
  <c r="D21" i="33"/>
  <c r="E15" i="34"/>
  <c r="F15" i="34"/>
  <c r="E13" i="34"/>
  <c r="E12" i="34"/>
  <c r="F9" i="34"/>
  <c r="G9" i="34"/>
  <c r="G10" i="34" s="1"/>
  <c r="G14" i="34" s="1"/>
  <c r="H9" i="34"/>
  <c r="H10" i="34" s="1"/>
  <c r="H14" i="34" s="1"/>
  <c r="I9" i="34"/>
  <c r="I10" i="34" s="1"/>
  <c r="I14" i="34" s="1"/>
  <c r="J9" i="34"/>
  <c r="J10" i="34" s="1"/>
  <c r="J14" i="34" s="1"/>
  <c r="K9" i="34"/>
  <c r="K10" i="34" s="1"/>
  <c r="K14" i="34" s="1"/>
  <c r="L9" i="34"/>
  <c r="M9" i="34"/>
  <c r="N9" i="34"/>
  <c r="O9" i="34"/>
  <c r="O10" i="34" s="1"/>
  <c r="O14" i="34" s="1"/>
  <c r="P9" i="34"/>
  <c r="P10" i="34" s="1"/>
  <c r="P14" i="34" s="1"/>
  <c r="Q9" i="34"/>
  <c r="Q10" i="34" s="1"/>
  <c r="Q14" i="34" s="1"/>
  <c r="R9" i="34"/>
  <c r="R10" i="34" s="1"/>
  <c r="R14" i="34" s="1"/>
  <c r="S9" i="34"/>
  <c r="S10" i="34" s="1"/>
  <c r="S14" i="34" s="1"/>
  <c r="T9" i="34"/>
  <c r="U9" i="34"/>
  <c r="V9" i="34"/>
  <c r="W9" i="34"/>
  <c r="W10" i="34" s="1"/>
  <c r="W14" i="34" s="1"/>
  <c r="X9" i="34"/>
  <c r="X10" i="34" s="1"/>
  <c r="X14" i="34" s="1"/>
  <c r="E9" i="34"/>
  <c r="E10" i="34" s="1"/>
  <c r="E14" i="34" s="1"/>
  <c r="B2" i="34"/>
  <c r="C2" i="34"/>
  <c r="M10" i="34" s="1"/>
  <c r="M14" i="34" s="1"/>
  <c r="C3" i="34"/>
  <c r="B3" i="34"/>
  <c r="H26" i="37" l="1"/>
  <c r="AA26" i="37" s="1"/>
  <c r="AA25" i="37"/>
  <c r="L26" i="37"/>
  <c r="AB26" i="37" s="1"/>
  <c r="AB25" i="37"/>
  <c r="P26" i="37"/>
  <c r="AC26" i="37" s="1"/>
  <c r="AC25" i="37"/>
  <c r="T26" i="37"/>
  <c r="AD26" i="37" s="1"/>
  <c r="AD25" i="37"/>
  <c r="D26" i="37"/>
  <c r="Z26" i="37" s="1"/>
  <c r="Z25" i="37"/>
  <c r="T7" i="35"/>
  <c r="S25" i="33" s="1"/>
  <c r="L7" i="35"/>
  <c r="K25" i="33" s="1"/>
  <c r="K7" i="35"/>
  <c r="J25" i="33" s="1"/>
  <c r="M7" i="35"/>
  <c r="L25" i="33" s="1"/>
  <c r="R7" i="35"/>
  <c r="Q25" i="33" s="1"/>
  <c r="J7" i="35"/>
  <c r="I25" i="33" s="1"/>
  <c r="F7" i="35"/>
  <c r="E25" i="33" s="1"/>
  <c r="S7" i="35"/>
  <c r="R25" i="33" s="1"/>
  <c r="E7" i="35"/>
  <c r="D25" i="33" s="1"/>
  <c r="Q7" i="35"/>
  <c r="P25" i="33" s="1"/>
  <c r="H25" i="33"/>
  <c r="V7" i="35"/>
  <c r="U25" i="33" s="1"/>
  <c r="U7" i="35"/>
  <c r="T25" i="33" s="1"/>
  <c r="X7" i="35"/>
  <c r="W25" i="33" s="1"/>
  <c r="P7" i="35"/>
  <c r="O25" i="33" s="1"/>
  <c r="H7" i="35"/>
  <c r="G25" i="33" s="1"/>
  <c r="N7" i="35"/>
  <c r="M25" i="33" s="1"/>
  <c r="W7" i="35"/>
  <c r="V25" i="33" s="1"/>
  <c r="O7" i="35"/>
  <c r="N25" i="33" s="1"/>
  <c r="AB25" i="33"/>
  <c r="AB21" i="33"/>
  <c r="AD21" i="33"/>
  <c r="Z21" i="33"/>
  <c r="V10" i="34"/>
  <c r="V14" i="34" s="1"/>
  <c r="N10" i="34"/>
  <c r="N14" i="34" s="1"/>
  <c r="F10" i="34"/>
  <c r="F14" i="34" s="1"/>
  <c r="U10" i="34"/>
  <c r="U14" i="34" s="1"/>
  <c r="T10" i="34"/>
  <c r="T14" i="34" s="1"/>
  <c r="L10" i="34"/>
  <c r="L14" i="34" s="1"/>
  <c r="F12" i="34"/>
  <c r="F13" i="34" s="1"/>
  <c r="B6" i="33"/>
  <c r="B28" i="33"/>
  <c r="B26" i="33"/>
  <c r="B24" i="33"/>
  <c r="B22" i="33"/>
  <c r="B20" i="33"/>
  <c r="B18" i="33"/>
  <c r="B16" i="33"/>
  <c r="B14" i="33"/>
  <c r="B12" i="33"/>
  <c r="B10" i="33"/>
  <c r="B8" i="33"/>
  <c r="H48" i="32"/>
  <c r="I48" i="32"/>
  <c r="M48" i="32"/>
  <c r="P48" i="32"/>
  <c r="Q48" i="32"/>
  <c r="U48" i="32"/>
  <c r="X48" i="32"/>
  <c r="Y48" i="32"/>
  <c r="M46" i="32"/>
  <c r="U46" i="32"/>
  <c r="J47" i="32"/>
  <c r="K47" i="32"/>
  <c r="O47" i="32"/>
  <c r="R47" i="32"/>
  <c r="S47" i="32"/>
  <c r="W47" i="32"/>
  <c r="Z47" i="32"/>
  <c r="H45" i="32"/>
  <c r="L45" i="32"/>
  <c r="O45" i="32"/>
  <c r="P45" i="32"/>
  <c r="T45" i="32"/>
  <c r="W45" i="32"/>
  <c r="X45" i="32"/>
  <c r="H44" i="32"/>
  <c r="K44" i="32"/>
  <c r="L44" i="32"/>
  <c r="P44" i="32"/>
  <c r="S44" i="32"/>
  <c r="T44" i="32"/>
  <c r="X44" i="32"/>
  <c r="G44" i="32"/>
  <c r="B49" i="32"/>
  <c r="B44" i="32"/>
  <c r="B41" i="32"/>
  <c r="B40" i="32"/>
  <c r="E62" i="32"/>
  <c r="E63" i="32"/>
  <c r="E64" i="32"/>
  <c r="E65" i="32"/>
  <c r="N41" i="32" s="1"/>
  <c r="N42" i="32" s="1"/>
  <c r="E66" i="32"/>
  <c r="E67" i="32"/>
  <c r="E68" i="32"/>
  <c r="E69" i="32"/>
  <c r="I45" i="32" s="1"/>
  <c r="E70" i="32"/>
  <c r="N46" i="32" s="1"/>
  <c r="E71" i="32"/>
  <c r="L47" i="32" s="1"/>
  <c r="E72" i="32"/>
  <c r="J48" i="32" s="1"/>
  <c r="E73" i="32"/>
  <c r="H49" i="32" s="1"/>
  <c r="E74" i="32"/>
  <c r="E75" i="32"/>
  <c r="E76" i="32"/>
  <c r="E77" i="32"/>
  <c r="E78" i="32"/>
  <c r="E79" i="32"/>
  <c r="M44" i="32" s="1"/>
  <c r="E61" i="32"/>
  <c r="B8" i="32"/>
  <c r="C35" i="32"/>
  <c r="E15" i="32"/>
  <c r="E16" i="32"/>
  <c r="E17" i="32"/>
  <c r="E19" i="32"/>
  <c r="E20" i="32"/>
  <c r="E21" i="32"/>
  <c r="E22" i="32"/>
  <c r="E23" i="32"/>
  <c r="E24" i="32"/>
  <c r="E25" i="32"/>
  <c r="E27" i="32"/>
  <c r="E28" i="32"/>
  <c r="E30" i="32"/>
  <c r="E31" i="32"/>
  <c r="E33" i="32"/>
  <c r="E34" i="32"/>
  <c r="D15" i="32"/>
  <c r="D16" i="32"/>
  <c r="D17" i="32"/>
  <c r="D19" i="32"/>
  <c r="D20" i="32"/>
  <c r="D21" i="32"/>
  <c r="D22" i="32"/>
  <c r="D23" i="32"/>
  <c r="D24" i="32"/>
  <c r="D25" i="32"/>
  <c r="D27" i="32"/>
  <c r="D28" i="32"/>
  <c r="D30" i="32"/>
  <c r="D31" i="32"/>
  <c r="D33" i="32"/>
  <c r="D34" i="32"/>
  <c r="D11" i="32"/>
  <c r="E11" i="32"/>
  <c r="D12" i="32"/>
  <c r="E12" i="32"/>
  <c r="D13" i="32"/>
  <c r="E13" i="32"/>
  <c r="E10" i="32"/>
  <c r="D10" i="32"/>
  <c r="AC25" i="33" l="1"/>
  <c r="AA25" i="33"/>
  <c r="AD25" i="33"/>
  <c r="Z25" i="33"/>
  <c r="G12" i="34"/>
  <c r="U41" i="32"/>
  <c r="U42" i="32" s="1"/>
  <c r="T41" i="32"/>
  <c r="L41" i="32"/>
  <c r="L43" i="32" s="1"/>
  <c r="Q43" i="32"/>
  <c r="I43" i="32"/>
  <c r="T42" i="32"/>
  <c r="L42" i="32"/>
  <c r="Z44" i="32"/>
  <c r="R44" i="32"/>
  <c r="J44" i="32"/>
  <c r="V45" i="32"/>
  <c r="N45" i="32"/>
  <c r="Y47" i="32"/>
  <c r="Q47" i="32"/>
  <c r="I47" i="32"/>
  <c r="T46" i="32"/>
  <c r="L46" i="32"/>
  <c r="W48" i="32"/>
  <c r="O48" i="32"/>
  <c r="G48" i="32"/>
  <c r="V49" i="32"/>
  <c r="N49" i="32"/>
  <c r="O49" i="32"/>
  <c r="J41" i="32"/>
  <c r="S41" i="32"/>
  <c r="S43" i="32" s="1"/>
  <c r="K41" i="32"/>
  <c r="K43" i="32" s="1"/>
  <c r="S42" i="32"/>
  <c r="K42" i="32"/>
  <c r="Y44" i="32"/>
  <c r="Q44" i="32"/>
  <c r="I44" i="32"/>
  <c r="U45" i="32"/>
  <c r="M45" i="32"/>
  <c r="X47" i="32"/>
  <c r="P47" i="32"/>
  <c r="H47" i="32"/>
  <c r="S46" i="32"/>
  <c r="K46" i="32"/>
  <c r="V48" i="32"/>
  <c r="N48" i="32"/>
  <c r="G47" i="32"/>
  <c r="U49" i="32"/>
  <c r="M49" i="32"/>
  <c r="I41" i="32"/>
  <c r="Z46" i="32"/>
  <c r="R46" i="32"/>
  <c r="J46" i="32"/>
  <c r="G46" i="32"/>
  <c r="T49" i="32"/>
  <c r="L49" i="32"/>
  <c r="Z41" i="32"/>
  <c r="Y41" i="32"/>
  <c r="Q41" i="32"/>
  <c r="Q42" i="32" s="1"/>
  <c r="H41" i="32"/>
  <c r="H42" i="32" s="1"/>
  <c r="N43" i="32"/>
  <c r="I42" i="32"/>
  <c r="W44" i="32"/>
  <c r="O44" i="32"/>
  <c r="G45" i="32"/>
  <c r="S45" i="32"/>
  <c r="K45" i="32"/>
  <c r="V47" i="32"/>
  <c r="N47" i="32"/>
  <c r="Y46" i="32"/>
  <c r="Q46" i="32"/>
  <c r="I46" i="32"/>
  <c r="T48" i="32"/>
  <c r="L48" i="32"/>
  <c r="G49" i="32"/>
  <c r="S49" i="32"/>
  <c r="K49" i="32"/>
  <c r="M41" i="32"/>
  <c r="W49" i="32"/>
  <c r="X41" i="32"/>
  <c r="X43" i="32" s="1"/>
  <c r="P41" i="32"/>
  <c r="P42" i="32" s="1"/>
  <c r="G41" i="32"/>
  <c r="G43" i="32" s="1"/>
  <c r="U43" i="32"/>
  <c r="X42" i="32"/>
  <c r="V44" i="32"/>
  <c r="N44" i="32"/>
  <c r="Z45" i="32"/>
  <c r="R45" i="32"/>
  <c r="J45" i="32"/>
  <c r="U47" i="32"/>
  <c r="M47" i="32"/>
  <c r="X46" i="32"/>
  <c r="P46" i="32"/>
  <c r="H46" i="32"/>
  <c r="S48" i="32"/>
  <c r="K48" i="32"/>
  <c r="Z49" i="32"/>
  <c r="R49" i="32"/>
  <c r="J49" i="32"/>
  <c r="R41" i="32"/>
  <c r="W41" i="32"/>
  <c r="W43" i="32" s="1"/>
  <c r="O41" i="32"/>
  <c r="O43" i="32" s="1"/>
  <c r="G42" i="32"/>
  <c r="T43" i="32"/>
  <c r="W42" i="32"/>
  <c r="U44" i="32"/>
  <c r="Y45" i="32"/>
  <c r="Q45" i="32"/>
  <c r="T47" i="32"/>
  <c r="W46" i="32"/>
  <c r="O46" i="32"/>
  <c r="Z48" i="32"/>
  <c r="R48" i="32"/>
  <c r="Y49" i="32"/>
  <c r="Q49" i="32"/>
  <c r="I49" i="32"/>
  <c r="V41" i="32"/>
  <c r="V46" i="32"/>
  <c r="X49" i="32"/>
  <c r="P49" i="32"/>
  <c r="E37" i="29"/>
  <c r="E36" i="29"/>
  <c r="E33" i="29"/>
  <c r="E32" i="29"/>
  <c r="E31" i="29"/>
  <c r="E30" i="29"/>
  <c r="E29" i="29"/>
  <c r="E26" i="29"/>
  <c r="E25" i="29"/>
  <c r="E21" i="29"/>
  <c r="E20" i="29"/>
  <c r="E19" i="29"/>
  <c r="E18" i="29"/>
  <c r="E17" i="29"/>
  <c r="E16" i="29"/>
  <c r="E13" i="29"/>
  <c r="E12" i="29"/>
  <c r="C7" i="29"/>
  <c r="C6" i="29"/>
  <c r="E37" i="28"/>
  <c r="E36" i="28"/>
  <c r="E33" i="28"/>
  <c r="E32" i="28"/>
  <c r="E31" i="28"/>
  <c r="E30" i="28"/>
  <c r="E29" i="28"/>
  <c r="E26" i="28"/>
  <c r="E25" i="28"/>
  <c r="E21" i="28"/>
  <c r="E20" i="28"/>
  <c r="E19" i="28"/>
  <c r="E18" i="28"/>
  <c r="E17" i="28"/>
  <c r="E16" i="28"/>
  <c r="E13" i="28"/>
  <c r="E12" i="28"/>
  <c r="C7" i="28"/>
  <c r="C6" i="28"/>
  <c r="E37" i="27"/>
  <c r="E36" i="27"/>
  <c r="E33" i="27"/>
  <c r="E32" i="27"/>
  <c r="E31" i="27"/>
  <c r="E30" i="27"/>
  <c r="E29" i="27"/>
  <c r="E26" i="27"/>
  <c r="E25" i="27"/>
  <c r="E21" i="27"/>
  <c r="E20" i="27"/>
  <c r="E19" i="27"/>
  <c r="E18" i="27"/>
  <c r="E17" i="27"/>
  <c r="E16" i="27"/>
  <c r="E13" i="27"/>
  <c r="E12" i="27"/>
  <c r="C7" i="27"/>
  <c r="C6" i="27"/>
  <c r="E37" i="26"/>
  <c r="E36" i="26"/>
  <c r="E33" i="26"/>
  <c r="E32" i="26"/>
  <c r="E31" i="26"/>
  <c r="E30" i="26"/>
  <c r="E29" i="26"/>
  <c r="E26" i="26"/>
  <c r="E25" i="26"/>
  <c r="E21" i="26"/>
  <c r="E20" i="26"/>
  <c r="E19" i="26"/>
  <c r="E18" i="26"/>
  <c r="E17" i="26"/>
  <c r="E16" i="26"/>
  <c r="E13" i="26"/>
  <c r="E12" i="26"/>
  <c r="C7" i="26"/>
  <c r="C6" i="26"/>
  <c r="C7" i="25"/>
  <c r="C6" i="25"/>
  <c r="E37" i="25"/>
  <c r="E36" i="25"/>
  <c r="E33" i="25"/>
  <c r="E32" i="25"/>
  <c r="E31" i="25"/>
  <c r="E30" i="25"/>
  <c r="E29" i="25"/>
  <c r="E26" i="25"/>
  <c r="E25" i="25"/>
  <c r="E21" i="25"/>
  <c r="E20" i="25"/>
  <c r="E19" i="25"/>
  <c r="E18" i="25"/>
  <c r="E17" i="25"/>
  <c r="E16" i="25"/>
  <c r="E13" i="25"/>
  <c r="E12" i="25"/>
  <c r="D10" i="24"/>
  <c r="D11" i="24" s="1"/>
  <c r="H9" i="24"/>
  <c r="H10" i="24" s="1"/>
  <c r="H11" i="24" s="1"/>
  <c r="G9" i="24"/>
  <c r="G10" i="24" s="1"/>
  <c r="G11" i="24" s="1"/>
  <c r="F9" i="24"/>
  <c r="F10" i="24" s="1"/>
  <c r="F11" i="24" s="1"/>
  <c r="E9" i="24"/>
  <c r="E10" i="24" s="1"/>
  <c r="E11" i="24" s="1"/>
  <c r="D9" i="24"/>
  <c r="B48" i="24"/>
  <c r="B47" i="24"/>
  <c r="B44" i="24"/>
  <c r="B43" i="24"/>
  <c r="B42" i="24"/>
  <c r="B41" i="24"/>
  <c r="B40" i="24"/>
  <c r="B37" i="24"/>
  <c r="B36" i="24"/>
  <c r="B31" i="24"/>
  <c r="B30" i="24"/>
  <c r="B29" i="24"/>
  <c r="B28" i="24"/>
  <c r="B27" i="24"/>
  <c r="B26" i="24"/>
  <c r="B20" i="24"/>
  <c r="B17" i="24"/>
  <c r="B15" i="24"/>
  <c r="B14" i="24"/>
  <c r="B13" i="24"/>
  <c r="B11" i="24"/>
  <c r="C10" i="25" s="1"/>
  <c r="B10" i="24"/>
  <c r="C10" i="29" s="1"/>
  <c r="G10" i="29" s="1"/>
  <c r="C4" i="24"/>
  <c r="H15" i="17"/>
  <c r="I16" i="17" s="1"/>
  <c r="J17" i="17" s="1"/>
  <c r="K18" i="17" s="1"/>
  <c r="L19" i="17" s="1"/>
  <c r="M20" i="17" s="1"/>
  <c r="N21" i="17" s="1"/>
  <c r="O22" i="17" s="1"/>
  <c r="P23" i="17" s="1"/>
  <c r="Q24" i="17" s="1"/>
  <c r="R25" i="17" s="1"/>
  <c r="S26" i="17" s="1"/>
  <c r="T27" i="17" s="1"/>
  <c r="U28" i="17" s="1"/>
  <c r="V29" i="17" s="1"/>
  <c r="W30" i="17" s="1"/>
  <c r="X31" i="17" s="1"/>
  <c r="Y32" i="17" s="1"/>
  <c r="H16" i="17"/>
  <c r="I17" i="17" s="1"/>
  <c r="J18" i="17" s="1"/>
  <c r="K19" i="17" s="1"/>
  <c r="L20" i="17" s="1"/>
  <c r="M21" i="17" s="1"/>
  <c r="N22" i="17" s="1"/>
  <c r="O23" i="17" s="1"/>
  <c r="P24" i="17" s="1"/>
  <c r="Q25" i="17" s="1"/>
  <c r="R26" i="17" s="1"/>
  <c r="S27" i="17" s="1"/>
  <c r="T28" i="17" s="1"/>
  <c r="U29" i="17" s="1"/>
  <c r="V30" i="17" s="1"/>
  <c r="W31" i="17" s="1"/>
  <c r="X32" i="17" s="1"/>
  <c r="H17" i="17"/>
  <c r="I18" i="17" s="1"/>
  <c r="J19" i="17" s="1"/>
  <c r="K20" i="17" s="1"/>
  <c r="L21" i="17" s="1"/>
  <c r="M22" i="17" s="1"/>
  <c r="N23" i="17" s="1"/>
  <c r="O24" i="17" s="1"/>
  <c r="P25" i="17" s="1"/>
  <c r="Q26" i="17" s="1"/>
  <c r="R27" i="17" s="1"/>
  <c r="S28" i="17" s="1"/>
  <c r="T29" i="17" s="1"/>
  <c r="U30" i="17" s="1"/>
  <c r="V31" i="17" s="1"/>
  <c r="W32" i="17" s="1"/>
  <c r="H18" i="17"/>
  <c r="I19" i="17" s="1"/>
  <c r="J20" i="17" s="1"/>
  <c r="K21" i="17" s="1"/>
  <c r="L22" i="17" s="1"/>
  <c r="M23" i="17" s="1"/>
  <c r="N24" i="17" s="1"/>
  <c r="O25" i="17" s="1"/>
  <c r="P26" i="17" s="1"/>
  <c r="Q27" i="17" s="1"/>
  <c r="R28" i="17" s="1"/>
  <c r="S29" i="17" s="1"/>
  <c r="T30" i="17" s="1"/>
  <c r="U31" i="17" s="1"/>
  <c r="V32" i="17" s="1"/>
  <c r="H19" i="17"/>
  <c r="I20" i="17" s="1"/>
  <c r="J21" i="17" s="1"/>
  <c r="K22" i="17" s="1"/>
  <c r="L23" i="17" s="1"/>
  <c r="M24" i="17" s="1"/>
  <c r="N25" i="17" s="1"/>
  <c r="O26" i="17" s="1"/>
  <c r="P27" i="17" s="1"/>
  <c r="Q28" i="17" s="1"/>
  <c r="R29" i="17" s="1"/>
  <c r="S30" i="17" s="1"/>
  <c r="T31" i="17" s="1"/>
  <c r="U32" i="17" s="1"/>
  <c r="H20" i="17"/>
  <c r="I21" i="17" s="1"/>
  <c r="J22" i="17" s="1"/>
  <c r="K23" i="17" s="1"/>
  <c r="L24" i="17" s="1"/>
  <c r="M25" i="17" s="1"/>
  <c r="N26" i="17" s="1"/>
  <c r="O27" i="17" s="1"/>
  <c r="P28" i="17" s="1"/>
  <c r="Q29" i="17" s="1"/>
  <c r="R30" i="17" s="1"/>
  <c r="S31" i="17" s="1"/>
  <c r="T32" i="17" s="1"/>
  <c r="H21" i="17"/>
  <c r="I22" i="17" s="1"/>
  <c r="J23" i="17" s="1"/>
  <c r="K24" i="17" s="1"/>
  <c r="L25" i="17" s="1"/>
  <c r="M26" i="17" s="1"/>
  <c r="N27" i="17" s="1"/>
  <c r="O28" i="17" s="1"/>
  <c r="P29" i="17" s="1"/>
  <c r="Q30" i="17" s="1"/>
  <c r="R31" i="17" s="1"/>
  <c r="S32" i="17" s="1"/>
  <c r="H22" i="17"/>
  <c r="I23" i="17" s="1"/>
  <c r="J24" i="17" s="1"/>
  <c r="K25" i="17" s="1"/>
  <c r="L26" i="17" s="1"/>
  <c r="M27" i="17" s="1"/>
  <c r="N28" i="17" s="1"/>
  <c r="O29" i="17" s="1"/>
  <c r="P30" i="17" s="1"/>
  <c r="Q31" i="17" s="1"/>
  <c r="R32" i="17" s="1"/>
  <c r="H23" i="17"/>
  <c r="I24" i="17" s="1"/>
  <c r="J25" i="17" s="1"/>
  <c r="K26" i="17" s="1"/>
  <c r="L27" i="17" s="1"/>
  <c r="M28" i="17" s="1"/>
  <c r="N29" i="17" s="1"/>
  <c r="O30" i="17" s="1"/>
  <c r="P31" i="17" s="1"/>
  <c r="Q32" i="17" s="1"/>
  <c r="H24" i="17"/>
  <c r="I25" i="17" s="1"/>
  <c r="J26" i="17" s="1"/>
  <c r="K27" i="17" s="1"/>
  <c r="L28" i="17" s="1"/>
  <c r="M29" i="17" s="1"/>
  <c r="N30" i="17" s="1"/>
  <c r="O31" i="17" s="1"/>
  <c r="P32" i="17" s="1"/>
  <c r="H25" i="17"/>
  <c r="I26" i="17" s="1"/>
  <c r="J27" i="17" s="1"/>
  <c r="K28" i="17" s="1"/>
  <c r="L29" i="17" s="1"/>
  <c r="M30" i="17" s="1"/>
  <c r="N31" i="17" s="1"/>
  <c r="O32" i="17" s="1"/>
  <c r="H26" i="17"/>
  <c r="I27" i="17" s="1"/>
  <c r="J28" i="17" s="1"/>
  <c r="K29" i="17" s="1"/>
  <c r="L30" i="17" s="1"/>
  <c r="M31" i="17" s="1"/>
  <c r="N32" i="17" s="1"/>
  <c r="H27" i="17"/>
  <c r="I28" i="17" s="1"/>
  <c r="J29" i="17" s="1"/>
  <c r="K30" i="17" s="1"/>
  <c r="L31" i="17" s="1"/>
  <c r="M32" i="17" s="1"/>
  <c r="H28" i="17"/>
  <c r="I29" i="17" s="1"/>
  <c r="J30" i="17" s="1"/>
  <c r="K31" i="17" s="1"/>
  <c r="L32" i="17" s="1"/>
  <c r="H29" i="17"/>
  <c r="I30" i="17" s="1"/>
  <c r="J31" i="17" s="1"/>
  <c r="K32" i="17" s="1"/>
  <c r="H30" i="17"/>
  <c r="I31" i="17" s="1"/>
  <c r="J32" i="17" s="1"/>
  <c r="H31" i="17"/>
  <c r="I32" i="17" s="1"/>
  <c r="H32" i="17"/>
  <c r="G9" i="17"/>
  <c r="G13" i="17" s="1"/>
  <c r="H14" i="17" s="1"/>
  <c r="I15" i="17" s="1"/>
  <c r="J16" i="17" s="1"/>
  <c r="K17" i="17" s="1"/>
  <c r="L18" i="17" s="1"/>
  <c r="M19" i="17" s="1"/>
  <c r="N20" i="17" s="1"/>
  <c r="O21" i="17" s="1"/>
  <c r="P22" i="17" s="1"/>
  <c r="Q23" i="17" s="1"/>
  <c r="R24" i="17" s="1"/>
  <c r="S25" i="17" s="1"/>
  <c r="T26" i="17" s="1"/>
  <c r="U27" i="17" s="1"/>
  <c r="V28" i="17" s="1"/>
  <c r="W29" i="17" s="1"/>
  <c r="X30" i="17" s="1"/>
  <c r="Y31" i="17" s="1"/>
  <c r="Z32" i="17" s="1"/>
  <c r="H9" i="17"/>
  <c r="H13" i="17" s="1"/>
  <c r="I14" i="17" s="1"/>
  <c r="J15" i="17" s="1"/>
  <c r="K16" i="17" s="1"/>
  <c r="L17" i="17" s="1"/>
  <c r="M18" i="17" s="1"/>
  <c r="N19" i="17" s="1"/>
  <c r="O20" i="17" s="1"/>
  <c r="P21" i="17" s="1"/>
  <c r="Q22" i="17" s="1"/>
  <c r="R23" i="17" s="1"/>
  <c r="S24" i="17" s="1"/>
  <c r="T25" i="17" s="1"/>
  <c r="U26" i="17" s="1"/>
  <c r="V27" i="17" s="1"/>
  <c r="W28" i="17" s="1"/>
  <c r="X29" i="17" s="1"/>
  <c r="Y30" i="17" s="1"/>
  <c r="Z31" i="17" s="1"/>
  <c r="I9" i="17"/>
  <c r="I13" i="17" s="1"/>
  <c r="J14" i="17" s="1"/>
  <c r="K15" i="17" s="1"/>
  <c r="L16" i="17" s="1"/>
  <c r="M17" i="17" s="1"/>
  <c r="N18" i="17" s="1"/>
  <c r="O19" i="17" s="1"/>
  <c r="P20" i="17" s="1"/>
  <c r="Q21" i="17" s="1"/>
  <c r="R22" i="17" s="1"/>
  <c r="S23" i="17" s="1"/>
  <c r="T24" i="17" s="1"/>
  <c r="U25" i="17" s="1"/>
  <c r="V26" i="17" s="1"/>
  <c r="W27" i="17" s="1"/>
  <c r="X28" i="17" s="1"/>
  <c r="Y29" i="17" s="1"/>
  <c r="Z30" i="17" s="1"/>
  <c r="J9" i="17"/>
  <c r="J13" i="17" s="1"/>
  <c r="K14" i="17" s="1"/>
  <c r="L15" i="17" s="1"/>
  <c r="M16" i="17" s="1"/>
  <c r="N17" i="17" s="1"/>
  <c r="O18" i="17" s="1"/>
  <c r="P19" i="17" s="1"/>
  <c r="Q20" i="17" s="1"/>
  <c r="R21" i="17" s="1"/>
  <c r="S22" i="17" s="1"/>
  <c r="T23" i="17" s="1"/>
  <c r="U24" i="17" s="1"/>
  <c r="V25" i="17" s="1"/>
  <c r="W26" i="17" s="1"/>
  <c r="X27" i="17" s="1"/>
  <c r="Y28" i="17" s="1"/>
  <c r="Z29" i="17" s="1"/>
  <c r="K9" i="17"/>
  <c r="K13" i="17" s="1"/>
  <c r="L14" i="17" s="1"/>
  <c r="M15" i="17" s="1"/>
  <c r="N16" i="17" s="1"/>
  <c r="O17" i="17" s="1"/>
  <c r="P18" i="17" s="1"/>
  <c r="Q19" i="17" s="1"/>
  <c r="R20" i="17" s="1"/>
  <c r="S21" i="17" s="1"/>
  <c r="T22" i="17" s="1"/>
  <c r="U23" i="17" s="1"/>
  <c r="V24" i="17" s="1"/>
  <c r="W25" i="17" s="1"/>
  <c r="X26" i="17" s="1"/>
  <c r="Y27" i="17" s="1"/>
  <c r="Z28" i="17" s="1"/>
  <c r="L9" i="17"/>
  <c r="L13" i="17" s="1"/>
  <c r="M14" i="17" s="1"/>
  <c r="N15" i="17" s="1"/>
  <c r="O16" i="17" s="1"/>
  <c r="P17" i="17" s="1"/>
  <c r="Q18" i="17" s="1"/>
  <c r="R19" i="17" s="1"/>
  <c r="S20" i="17" s="1"/>
  <c r="T21" i="17" s="1"/>
  <c r="U22" i="17" s="1"/>
  <c r="V23" i="17" s="1"/>
  <c r="W24" i="17" s="1"/>
  <c r="X25" i="17" s="1"/>
  <c r="Y26" i="17" s="1"/>
  <c r="Z27" i="17" s="1"/>
  <c r="M9" i="17"/>
  <c r="M13" i="17" s="1"/>
  <c r="N14" i="17" s="1"/>
  <c r="O15" i="17" s="1"/>
  <c r="P16" i="17" s="1"/>
  <c r="Q17" i="17" s="1"/>
  <c r="R18" i="17" s="1"/>
  <c r="S19" i="17" s="1"/>
  <c r="T20" i="17" s="1"/>
  <c r="U21" i="17" s="1"/>
  <c r="V22" i="17" s="1"/>
  <c r="W23" i="17" s="1"/>
  <c r="X24" i="17" s="1"/>
  <c r="Y25" i="17" s="1"/>
  <c r="Z26" i="17" s="1"/>
  <c r="N9" i="17"/>
  <c r="N13" i="17" s="1"/>
  <c r="O14" i="17" s="1"/>
  <c r="P15" i="17" s="1"/>
  <c r="Q16" i="17" s="1"/>
  <c r="R17" i="17" s="1"/>
  <c r="S18" i="17" s="1"/>
  <c r="T19" i="17" s="1"/>
  <c r="U20" i="17" s="1"/>
  <c r="V21" i="17" s="1"/>
  <c r="W22" i="17" s="1"/>
  <c r="X23" i="17" s="1"/>
  <c r="Y24" i="17" s="1"/>
  <c r="Z25" i="17" s="1"/>
  <c r="O9" i="17"/>
  <c r="O13" i="17" s="1"/>
  <c r="P14" i="17" s="1"/>
  <c r="Q15" i="17" s="1"/>
  <c r="R16" i="17" s="1"/>
  <c r="S17" i="17" s="1"/>
  <c r="T18" i="17" s="1"/>
  <c r="U19" i="17" s="1"/>
  <c r="V20" i="17" s="1"/>
  <c r="W21" i="17" s="1"/>
  <c r="X22" i="17" s="1"/>
  <c r="Y23" i="17" s="1"/>
  <c r="Z24" i="17" s="1"/>
  <c r="P9" i="17"/>
  <c r="P13" i="17" s="1"/>
  <c r="Q14" i="17" s="1"/>
  <c r="R15" i="17" s="1"/>
  <c r="S16" i="17" s="1"/>
  <c r="T17" i="17" s="1"/>
  <c r="U18" i="17" s="1"/>
  <c r="V19" i="17" s="1"/>
  <c r="W20" i="17" s="1"/>
  <c r="X21" i="17" s="1"/>
  <c r="Y22" i="17" s="1"/>
  <c r="Z23" i="17" s="1"/>
  <c r="Q9" i="17"/>
  <c r="Q13" i="17" s="1"/>
  <c r="R14" i="17" s="1"/>
  <c r="S15" i="17" s="1"/>
  <c r="T16" i="17" s="1"/>
  <c r="U17" i="17" s="1"/>
  <c r="V18" i="17" s="1"/>
  <c r="W19" i="17" s="1"/>
  <c r="X20" i="17" s="1"/>
  <c r="Y21" i="17" s="1"/>
  <c r="Z22" i="17" s="1"/>
  <c r="R9" i="17"/>
  <c r="R13" i="17" s="1"/>
  <c r="S14" i="17" s="1"/>
  <c r="T15" i="17" s="1"/>
  <c r="U16" i="17" s="1"/>
  <c r="V17" i="17" s="1"/>
  <c r="W18" i="17" s="1"/>
  <c r="X19" i="17" s="1"/>
  <c r="Y20" i="17" s="1"/>
  <c r="Z21" i="17" s="1"/>
  <c r="S9" i="17"/>
  <c r="S13" i="17" s="1"/>
  <c r="T14" i="17" s="1"/>
  <c r="U15" i="17" s="1"/>
  <c r="V16" i="17" s="1"/>
  <c r="W17" i="17" s="1"/>
  <c r="X18" i="17" s="1"/>
  <c r="Y19" i="17" s="1"/>
  <c r="Z20" i="17" s="1"/>
  <c r="T9" i="17"/>
  <c r="T13" i="17" s="1"/>
  <c r="U14" i="17" s="1"/>
  <c r="V15" i="17" s="1"/>
  <c r="W16" i="17" s="1"/>
  <c r="X17" i="17" s="1"/>
  <c r="Y18" i="17" s="1"/>
  <c r="Z19" i="17" s="1"/>
  <c r="U9" i="17"/>
  <c r="U13" i="17" s="1"/>
  <c r="V14" i="17" s="1"/>
  <c r="W15" i="17" s="1"/>
  <c r="X16" i="17" s="1"/>
  <c r="Y17" i="17" s="1"/>
  <c r="Z18" i="17" s="1"/>
  <c r="V9" i="17"/>
  <c r="V13" i="17" s="1"/>
  <c r="W14" i="17" s="1"/>
  <c r="X15" i="17" s="1"/>
  <c r="Y16" i="17" s="1"/>
  <c r="Z17" i="17" s="1"/>
  <c r="W9" i="17"/>
  <c r="W13" i="17" s="1"/>
  <c r="X14" i="17" s="1"/>
  <c r="Y15" i="17" s="1"/>
  <c r="Z16" i="17" s="1"/>
  <c r="X9" i="17"/>
  <c r="X13" i="17" s="1"/>
  <c r="Y14" i="17" s="1"/>
  <c r="Z15" i="17" s="1"/>
  <c r="Y9" i="17"/>
  <c r="Y13" i="17" s="1"/>
  <c r="Z14" i="17" s="1"/>
  <c r="Z9" i="17"/>
  <c r="Z13" i="17" s="1"/>
  <c r="L2" i="17"/>
  <c r="M2" i="17"/>
  <c r="N2" i="17"/>
  <c r="O2" i="17"/>
  <c r="P2" i="17"/>
  <c r="Q2" i="17"/>
  <c r="R2" i="17"/>
  <c r="S2" i="17"/>
  <c r="T2" i="17"/>
  <c r="U2" i="17"/>
  <c r="V2" i="17"/>
  <c r="W2" i="17"/>
  <c r="X2" i="17"/>
  <c r="Y2" i="17"/>
  <c r="Z2" i="17"/>
  <c r="W1" i="17"/>
  <c r="S1" i="17"/>
  <c r="O1" i="17"/>
  <c r="K1" i="17"/>
  <c r="K2" i="17"/>
  <c r="H2" i="17"/>
  <c r="I2" i="17"/>
  <c r="J2" i="17"/>
  <c r="G2" i="17"/>
  <c r="E11" i="19"/>
  <c r="E14" i="19"/>
  <c r="E15" i="19"/>
  <c r="E16" i="19"/>
  <c r="E17" i="19"/>
  <c r="E18" i="19"/>
  <c r="E19" i="19"/>
  <c r="E23" i="19"/>
  <c r="E24" i="19"/>
  <c r="E27" i="19"/>
  <c r="E28" i="19"/>
  <c r="E29" i="19"/>
  <c r="E30" i="19"/>
  <c r="E31" i="19"/>
  <c r="E34" i="19"/>
  <c r="E35" i="19"/>
  <c r="E10" i="19"/>
  <c r="B19" i="18"/>
  <c r="B49" i="18"/>
  <c r="B50" i="18"/>
  <c r="B16" i="18"/>
  <c r="B17" i="18"/>
  <c r="B22" i="18"/>
  <c r="B28" i="18"/>
  <c r="B29" i="18"/>
  <c r="B30" i="18"/>
  <c r="B31" i="18"/>
  <c r="B32" i="18"/>
  <c r="B33" i="18"/>
  <c r="B38" i="18"/>
  <c r="B39" i="18"/>
  <c r="B42" i="18"/>
  <c r="B43" i="18"/>
  <c r="B44" i="18"/>
  <c r="B45" i="18"/>
  <c r="B46" i="18"/>
  <c r="B15" i="18"/>
  <c r="C4" i="18"/>
  <c r="C5" i="18"/>
  <c r="E10" i="18"/>
  <c r="F10" i="18"/>
  <c r="D10" i="18"/>
  <c r="B12" i="18"/>
  <c r="B13" i="18"/>
  <c r="B11" i="18"/>
  <c r="E12" i="18"/>
  <c r="E11" i="18"/>
  <c r="F12" i="18"/>
  <c r="D11" i="18"/>
  <c r="E13" i="18"/>
  <c r="D12" i="18"/>
  <c r="D13" i="18"/>
  <c r="F11" i="18"/>
  <c r="F13" i="18"/>
  <c r="D48" i="24" l="1"/>
  <c r="C37" i="25" s="1"/>
  <c r="G13" i="34"/>
  <c r="H43" i="32"/>
  <c r="H48" i="24"/>
  <c r="C37" i="29" s="1"/>
  <c r="K37" i="29" s="1"/>
  <c r="C10" i="26"/>
  <c r="G10" i="26" s="1"/>
  <c r="C10" i="28"/>
  <c r="G10" i="28" s="1"/>
  <c r="F48" i="24"/>
  <c r="C37" i="27" s="1"/>
  <c r="V37" i="27" s="1"/>
  <c r="Y42" i="32"/>
  <c r="Y43" i="32"/>
  <c r="J43" i="32"/>
  <c r="J42" i="32"/>
  <c r="V42" i="32"/>
  <c r="V43" i="32"/>
  <c r="C10" i="27"/>
  <c r="G10" i="27" s="1"/>
  <c r="H10" i="27" s="1"/>
  <c r="M42" i="32"/>
  <c r="M43" i="32"/>
  <c r="Z42" i="32"/>
  <c r="Z43" i="32"/>
  <c r="R42" i="32"/>
  <c r="R43" i="32"/>
  <c r="P43" i="32"/>
  <c r="O42" i="32"/>
  <c r="H10" i="29"/>
  <c r="C22" i="18"/>
  <c r="G48" i="24"/>
  <c r="C37" i="28" s="1"/>
  <c r="J37" i="28" s="1"/>
  <c r="E48" i="24"/>
  <c r="C37" i="26" s="1"/>
  <c r="H37" i="26" s="1"/>
  <c r="I11" i="24"/>
  <c r="C30" i="24"/>
  <c r="C27" i="24"/>
  <c r="C41" i="24"/>
  <c r="C36" i="24"/>
  <c r="C20" i="24"/>
  <c r="C40" i="24"/>
  <c r="C42" i="24"/>
  <c r="C29" i="24"/>
  <c r="C43" i="24"/>
  <c r="C44" i="24"/>
  <c r="C31" i="24"/>
  <c r="C47" i="24"/>
  <c r="C14" i="24"/>
  <c r="C17" i="24"/>
  <c r="C18" i="24" s="1"/>
  <c r="C28" i="24"/>
  <c r="G10" i="17"/>
  <c r="C48" i="24"/>
  <c r="C13" i="24"/>
  <c r="C15" i="24"/>
  <c r="C26" i="24"/>
  <c r="C37" i="24"/>
  <c r="C15" i="18"/>
  <c r="G15" i="18" s="1"/>
  <c r="C38" i="18"/>
  <c r="C33" i="18"/>
  <c r="C32" i="18"/>
  <c r="C16" i="18"/>
  <c r="C45" i="18"/>
  <c r="G45" i="18" s="1"/>
  <c r="C31" i="18"/>
  <c r="C50" i="18"/>
  <c r="G50" i="18" s="1"/>
  <c r="C19" i="18"/>
  <c r="C20" i="18" s="1"/>
  <c r="C46" i="18"/>
  <c r="G46" i="18" s="1"/>
  <c r="C30" i="18"/>
  <c r="C43" i="18"/>
  <c r="C29" i="18"/>
  <c r="G29" i="18" s="1"/>
  <c r="C15" i="19" s="1"/>
  <c r="C39" i="18"/>
  <c r="C49" i="18"/>
  <c r="G49" i="18" s="1"/>
  <c r="C17" i="18"/>
  <c r="C44" i="18"/>
  <c r="C42" i="18"/>
  <c r="C28" i="18"/>
  <c r="G12" i="18"/>
  <c r="C22" i="16"/>
  <c r="G24" i="18" l="1"/>
  <c r="C11" i="19" s="1"/>
  <c r="R37" i="29"/>
  <c r="V37" i="29"/>
  <c r="J37" i="29"/>
  <c r="H37" i="29"/>
  <c r="X37" i="29"/>
  <c r="T37" i="29"/>
  <c r="Q37" i="29"/>
  <c r="L37" i="29"/>
  <c r="P37" i="29"/>
  <c r="Z37" i="29"/>
  <c r="D37" i="29"/>
  <c r="H12" i="34"/>
  <c r="H13" i="34" s="1"/>
  <c r="G15" i="34"/>
  <c r="M37" i="29"/>
  <c r="G37" i="29"/>
  <c r="S37" i="29"/>
  <c r="H8" i="17"/>
  <c r="H10" i="17" s="1"/>
  <c r="G5" i="32"/>
  <c r="I37" i="29"/>
  <c r="N37" i="29"/>
  <c r="W37" i="29"/>
  <c r="Y37" i="29"/>
  <c r="U37" i="29"/>
  <c r="O37" i="29"/>
  <c r="V37" i="26"/>
  <c r="S37" i="26"/>
  <c r="Y37" i="26"/>
  <c r="K37" i="26"/>
  <c r="I37" i="26"/>
  <c r="Z37" i="26"/>
  <c r="Q37" i="26"/>
  <c r="M37" i="26"/>
  <c r="G37" i="26"/>
  <c r="L37" i="26"/>
  <c r="R37" i="26"/>
  <c r="D37" i="26"/>
  <c r="J37" i="26"/>
  <c r="N37" i="26"/>
  <c r="U37" i="26"/>
  <c r="W37" i="26"/>
  <c r="P37" i="26"/>
  <c r="M37" i="28"/>
  <c r="N37" i="28"/>
  <c r="U37" i="28"/>
  <c r="Z37" i="28"/>
  <c r="G37" i="28"/>
  <c r="V37" i="28"/>
  <c r="T37" i="28"/>
  <c r="W37" i="28"/>
  <c r="I10" i="29"/>
  <c r="R37" i="28"/>
  <c r="D37" i="28"/>
  <c r="S37" i="28"/>
  <c r="K37" i="28"/>
  <c r="Q37" i="28"/>
  <c r="I37" i="28"/>
  <c r="Y37" i="28"/>
  <c r="H37" i="28"/>
  <c r="P37" i="28"/>
  <c r="X37" i="28"/>
  <c r="H10" i="28"/>
  <c r="T37" i="26"/>
  <c r="O37" i="26"/>
  <c r="X37" i="26"/>
  <c r="L37" i="28"/>
  <c r="O37" i="28"/>
  <c r="U37" i="27"/>
  <c r="T37" i="27"/>
  <c r="Z37" i="27"/>
  <c r="M37" i="27"/>
  <c r="L37" i="27"/>
  <c r="R37" i="27"/>
  <c r="G37" i="27"/>
  <c r="D37" i="27"/>
  <c r="H37" i="27"/>
  <c r="S37" i="27"/>
  <c r="K37" i="27"/>
  <c r="X37" i="27"/>
  <c r="Y37" i="27"/>
  <c r="Q37" i="27"/>
  <c r="I37" i="27"/>
  <c r="P37" i="27"/>
  <c r="N37" i="27"/>
  <c r="J37" i="27"/>
  <c r="I48" i="24"/>
  <c r="W37" i="27"/>
  <c r="O37" i="27"/>
  <c r="I10" i="27"/>
  <c r="H10" i="26"/>
  <c r="C8" i="19"/>
  <c r="G10" i="25"/>
  <c r="D4" i="20" s="1"/>
  <c r="C31" i="19"/>
  <c r="J31" i="19" s="1"/>
  <c r="C30" i="19"/>
  <c r="S30" i="19" s="1"/>
  <c r="C35" i="19"/>
  <c r="O35" i="19" s="1"/>
  <c r="F47" i="24"/>
  <c r="F49" i="24" s="1"/>
  <c r="G47" i="24"/>
  <c r="G49" i="24" s="1"/>
  <c r="H47" i="24"/>
  <c r="H49" i="24" s="1"/>
  <c r="D47" i="24"/>
  <c r="E47" i="24"/>
  <c r="E49" i="24" s="1"/>
  <c r="E41" i="24"/>
  <c r="F41" i="24"/>
  <c r="G41" i="24"/>
  <c r="H41" i="24"/>
  <c r="D41" i="24"/>
  <c r="E44" i="24"/>
  <c r="F44" i="24"/>
  <c r="G44" i="24"/>
  <c r="H44" i="24"/>
  <c r="D44" i="24"/>
  <c r="H42" i="24"/>
  <c r="D42" i="24"/>
  <c r="E42" i="24"/>
  <c r="G42" i="24"/>
  <c r="F42" i="24"/>
  <c r="D36" i="24"/>
  <c r="E36" i="24"/>
  <c r="F36" i="24"/>
  <c r="H36" i="24"/>
  <c r="G36" i="24"/>
  <c r="E40" i="24"/>
  <c r="F40" i="24"/>
  <c r="H40" i="24"/>
  <c r="G40" i="24"/>
  <c r="D40" i="24"/>
  <c r="E43" i="24"/>
  <c r="F43" i="24"/>
  <c r="D43" i="24"/>
  <c r="H43" i="24"/>
  <c r="G43" i="24"/>
  <c r="E37" i="24"/>
  <c r="D37" i="24"/>
  <c r="F37" i="24"/>
  <c r="H37" i="24"/>
  <c r="G37" i="24"/>
  <c r="F22" i="24"/>
  <c r="G22" i="24"/>
  <c r="H22" i="24"/>
  <c r="D22" i="24"/>
  <c r="E22" i="24"/>
  <c r="F13" i="24"/>
  <c r="G13" i="24"/>
  <c r="H13" i="24"/>
  <c r="D13" i="24"/>
  <c r="E13" i="24"/>
  <c r="D27" i="24"/>
  <c r="F27" i="24"/>
  <c r="E27" i="24"/>
  <c r="G27" i="24"/>
  <c r="H27" i="24"/>
  <c r="I15" i="19"/>
  <c r="Q15" i="19"/>
  <c r="Y15" i="19"/>
  <c r="J15" i="19"/>
  <c r="R15" i="19"/>
  <c r="Z15" i="19"/>
  <c r="K15" i="19"/>
  <c r="S15" i="19"/>
  <c r="L15" i="19"/>
  <c r="T15" i="19"/>
  <c r="M15" i="19"/>
  <c r="U15" i="19"/>
  <c r="O15" i="19"/>
  <c r="W15" i="19"/>
  <c r="N15" i="19"/>
  <c r="V15" i="19"/>
  <c r="H15" i="19"/>
  <c r="P15" i="19"/>
  <c r="X15" i="19"/>
  <c r="G15" i="19"/>
  <c r="G51" i="18"/>
  <c r="H51" i="18" s="1"/>
  <c r="C34" i="19"/>
  <c r="H12" i="18"/>
  <c r="H49" i="18"/>
  <c r="H50" i="18"/>
  <c r="H29" i="18"/>
  <c r="H45" i="18"/>
  <c r="H46" i="18"/>
  <c r="H15" i="18"/>
  <c r="G44" i="18"/>
  <c r="G42" i="18"/>
  <c r="G43" i="18"/>
  <c r="G38" i="18"/>
  <c r="G39" i="18"/>
  <c r="G16" i="18"/>
  <c r="H16" i="18" s="1"/>
  <c r="E28" i="16"/>
  <c r="D28" i="16"/>
  <c r="C28" i="16"/>
  <c r="D21" i="16"/>
  <c r="E21" i="16" s="1"/>
  <c r="D20" i="16"/>
  <c r="E20" i="16" s="1"/>
  <c r="D19" i="16"/>
  <c r="E19" i="16" s="1"/>
  <c r="F19" i="16" s="1"/>
  <c r="G19" i="16" s="1"/>
  <c r="D18" i="16"/>
  <c r="E41" i="16"/>
  <c r="D41" i="16"/>
  <c r="C41" i="16"/>
  <c r="H24" i="18" l="1"/>
  <c r="C29" i="29"/>
  <c r="D29" i="29" s="1"/>
  <c r="G29" i="29" s="1"/>
  <c r="C13" i="29"/>
  <c r="D13" i="29" s="1"/>
  <c r="G13" i="29" s="1"/>
  <c r="C36" i="29"/>
  <c r="U36" i="29" s="1"/>
  <c r="U38" i="29" s="1"/>
  <c r="C32" i="29"/>
  <c r="O32" i="29" s="1"/>
  <c r="C31" i="29"/>
  <c r="D31" i="29" s="1"/>
  <c r="I31" i="29" s="1"/>
  <c r="C25" i="29"/>
  <c r="D25" i="29" s="1"/>
  <c r="G25" i="29" s="1"/>
  <c r="C26" i="29"/>
  <c r="D26" i="29" s="1"/>
  <c r="G26" i="29" s="1"/>
  <c r="H15" i="34"/>
  <c r="I12" i="34" s="1"/>
  <c r="C33" i="29"/>
  <c r="Q33" i="29" s="1"/>
  <c r="C17" i="29"/>
  <c r="G17" i="29" s="1"/>
  <c r="I8" i="17"/>
  <c r="I10" i="17" s="1"/>
  <c r="H5" i="32"/>
  <c r="G19" i="32"/>
  <c r="G15" i="32"/>
  <c r="G31" i="32"/>
  <c r="G34" i="32"/>
  <c r="G22" i="32"/>
  <c r="G30" i="32"/>
  <c r="G10" i="32"/>
  <c r="G25" i="32"/>
  <c r="G13" i="32"/>
  <c r="G17" i="32"/>
  <c r="G20" i="32"/>
  <c r="G24" i="32"/>
  <c r="G23" i="32"/>
  <c r="G21" i="32"/>
  <c r="G11" i="32"/>
  <c r="G12" i="32"/>
  <c r="G33" i="32"/>
  <c r="G28" i="32"/>
  <c r="G16" i="32"/>
  <c r="G27" i="32"/>
  <c r="C30" i="29"/>
  <c r="D30" i="29" s="1"/>
  <c r="G30" i="29" s="1"/>
  <c r="J10" i="29"/>
  <c r="C13" i="27"/>
  <c r="D13" i="27" s="1"/>
  <c r="G13" i="27" s="1"/>
  <c r="C13" i="28"/>
  <c r="D13" i="28" s="1"/>
  <c r="G13" i="28" s="1"/>
  <c r="I10" i="28"/>
  <c r="C30" i="27"/>
  <c r="D30" i="27" s="1"/>
  <c r="G30" i="27" s="1"/>
  <c r="C30" i="28"/>
  <c r="D30" i="28" s="1"/>
  <c r="G30" i="28" s="1"/>
  <c r="C32" i="27"/>
  <c r="Y32" i="27" s="1"/>
  <c r="C32" i="28"/>
  <c r="C31" i="27"/>
  <c r="D31" i="27" s="1"/>
  <c r="G31" i="27" s="1"/>
  <c r="C31" i="28"/>
  <c r="D31" i="28" s="1"/>
  <c r="G31" i="28" s="1"/>
  <c r="C33" i="27"/>
  <c r="R33" i="27" s="1"/>
  <c r="C33" i="28"/>
  <c r="C29" i="27"/>
  <c r="D29" i="27" s="1"/>
  <c r="G29" i="27" s="1"/>
  <c r="C29" i="28"/>
  <c r="D29" i="28" s="1"/>
  <c r="G29" i="28" s="1"/>
  <c r="C36" i="27"/>
  <c r="R36" i="27" s="1"/>
  <c r="R38" i="27" s="1"/>
  <c r="C36" i="28"/>
  <c r="C17" i="27"/>
  <c r="K17" i="27" s="1"/>
  <c r="C17" i="28"/>
  <c r="G17" i="18"/>
  <c r="G26" i="18" s="1"/>
  <c r="C26" i="27"/>
  <c r="D26" i="27" s="1"/>
  <c r="G26" i="27" s="1"/>
  <c r="C26" i="28"/>
  <c r="D26" i="28" s="1"/>
  <c r="G26" i="28" s="1"/>
  <c r="C25" i="27"/>
  <c r="D25" i="27" s="1"/>
  <c r="G25" i="27" s="1"/>
  <c r="C25" i="28"/>
  <c r="D25" i="28" s="1"/>
  <c r="G25" i="28" s="1"/>
  <c r="T31" i="19"/>
  <c r="R31" i="19"/>
  <c r="U31" i="19"/>
  <c r="Q31" i="19"/>
  <c r="I31" i="19"/>
  <c r="J10" i="27"/>
  <c r="S31" i="19"/>
  <c r="P31" i="19"/>
  <c r="K31" i="19"/>
  <c r="L31" i="19"/>
  <c r="X31" i="19"/>
  <c r="H31" i="19"/>
  <c r="W31" i="19"/>
  <c r="V31" i="19"/>
  <c r="N31" i="19"/>
  <c r="Y31" i="19"/>
  <c r="Z35" i="19"/>
  <c r="G35" i="19"/>
  <c r="C26" i="25"/>
  <c r="D26" i="25" s="1"/>
  <c r="G26" i="25" s="1"/>
  <c r="C26" i="26"/>
  <c r="D26" i="26" s="1"/>
  <c r="G26" i="26" s="1"/>
  <c r="C25" i="25"/>
  <c r="D25" i="25" s="1"/>
  <c r="G25" i="25" s="1"/>
  <c r="C25" i="26"/>
  <c r="D25" i="26" s="1"/>
  <c r="G25" i="26" s="1"/>
  <c r="W35" i="19"/>
  <c r="X35" i="19"/>
  <c r="Y35" i="19"/>
  <c r="C13" i="26"/>
  <c r="D13" i="26" s="1"/>
  <c r="G13" i="26" s="1"/>
  <c r="C13" i="25"/>
  <c r="D13" i="25" s="1"/>
  <c r="G13" i="25" s="1"/>
  <c r="C36" i="26"/>
  <c r="C36" i="25"/>
  <c r="D36" i="25" s="1"/>
  <c r="I10" i="26"/>
  <c r="U35" i="19"/>
  <c r="C33" i="26"/>
  <c r="C33" i="25"/>
  <c r="D33" i="25" s="1"/>
  <c r="J35" i="19"/>
  <c r="T35" i="19"/>
  <c r="P35" i="19"/>
  <c r="L35" i="19"/>
  <c r="Q35" i="19"/>
  <c r="G31" i="19"/>
  <c r="Z31" i="19"/>
  <c r="C17" i="25"/>
  <c r="M17" i="25" s="1"/>
  <c r="C17" i="26"/>
  <c r="I35" i="19"/>
  <c r="C30" i="25"/>
  <c r="D30" i="25" s="1"/>
  <c r="G30" i="25" s="1"/>
  <c r="C30" i="26"/>
  <c r="D30" i="26" s="1"/>
  <c r="G30" i="26" s="1"/>
  <c r="R35" i="19"/>
  <c r="S35" i="19"/>
  <c r="V35" i="19"/>
  <c r="K35" i="19"/>
  <c r="O31" i="19"/>
  <c r="M31" i="19"/>
  <c r="C32" i="26"/>
  <c r="C32" i="25"/>
  <c r="Y32" i="25" s="1"/>
  <c r="G38" i="24"/>
  <c r="C31" i="26"/>
  <c r="D31" i="26" s="1"/>
  <c r="G31" i="26" s="1"/>
  <c r="C31" i="25"/>
  <c r="D31" i="25" s="1"/>
  <c r="G31" i="25" s="1"/>
  <c r="M35" i="19"/>
  <c r="C29" i="25"/>
  <c r="D29" i="25" s="1"/>
  <c r="G29" i="25" s="1"/>
  <c r="C29" i="26"/>
  <c r="D29" i="26" s="1"/>
  <c r="G29" i="26" s="1"/>
  <c r="H35" i="19"/>
  <c r="N35" i="19"/>
  <c r="D34" i="19"/>
  <c r="D35" i="19"/>
  <c r="V30" i="19"/>
  <c r="N30" i="19"/>
  <c r="D15" i="19"/>
  <c r="L30" i="19"/>
  <c r="P30" i="19"/>
  <c r="U30" i="19"/>
  <c r="I30" i="19"/>
  <c r="X30" i="19"/>
  <c r="D30" i="19"/>
  <c r="Z30" i="19"/>
  <c r="H30" i="19"/>
  <c r="M30" i="19"/>
  <c r="D37" i="25"/>
  <c r="Z37" i="25"/>
  <c r="W31" i="20" s="1"/>
  <c r="R37" i="25"/>
  <c r="O31" i="20" s="1"/>
  <c r="J37" i="25"/>
  <c r="G31" i="20" s="1"/>
  <c r="Y37" i="25"/>
  <c r="V31" i="20" s="1"/>
  <c r="P37" i="25"/>
  <c r="M31" i="20" s="1"/>
  <c r="X37" i="25"/>
  <c r="U31" i="20" s="1"/>
  <c r="I37" i="25"/>
  <c r="F31" i="20" s="1"/>
  <c r="Q37" i="25"/>
  <c r="N31" i="20" s="1"/>
  <c r="H37" i="25"/>
  <c r="E31" i="20" s="1"/>
  <c r="W37" i="25"/>
  <c r="T31" i="20" s="1"/>
  <c r="L37" i="25"/>
  <c r="I31" i="20" s="1"/>
  <c r="N37" i="25"/>
  <c r="K31" i="20" s="1"/>
  <c r="T37" i="25"/>
  <c r="Q31" i="20" s="1"/>
  <c r="K37" i="25"/>
  <c r="H31" i="20" s="1"/>
  <c r="V37" i="25"/>
  <c r="S31" i="20" s="1"/>
  <c r="M37" i="25"/>
  <c r="J31" i="20" s="1"/>
  <c r="S37" i="25"/>
  <c r="P31" i="20" s="1"/>
  <c r="U37" i="25"/>
  <c r="R31" i="20" s="1"/>
  <c r="G37" i="25"/>
  <c r="D31" i="20" s="1"/>
  <c r="O37" i="25"/>
  <c r="L31" i="20" s="1"/>
  <c r="D31" i="19"/>
  <c r="T30" i="19"/>
  <c r="D11" i="19"/>
  <c r="W30" i="19"/>
  <c r="R30" i="19"/>
  <c r="J30" i="19"/>
  <c r="O30" i="19"/>
  <c r="C36" i="19"/>
  <c r="D36" i="19" s="1"/>
  <c r="I37" i="24"/>
  <c r="I42" i="24"/>
  <c r="Y30" i="19"/>
  <c r="G30" i="19"/>
  <c r="K30" i="19"/>
  <c r="Q30" i="19"/>
  <c r="H10" i="25"/>
  <c r="E4" i="20" s="1"/>
  <c r="I40" i="24"/>
  <c r="D45" i="24"/>
  <c r="I41" i="24"/>
  <c r="I22" i="24"/>
  <c r="I27" i="24"/>
  <c r="G45" i="24"/>
  <c r="H38" i="24"/>
  <c r="I47" i="24"/>
  <c r="D49" i="24"/>
  <c r="C38" i="29" s="1"/>
  <c r="D38" i="29" s="1"/>
  <c r="I13" i="24"/>
  <c r="E45" i="24"/>
  <c r="F38" i="24"/>
  <c r="H45" i="24"/>
  <c r="I43" i="24"/>
  <c r="E38" i="24"/>
  <c r="I44" i="24"/>
  <c r="F45" i="24"/>
  <c r="D38" i="24"/>
  <c r="I36" i="24"/>
  <c r="D14" i="24"/>
  <c r="H14" i="24"/>
  <c r="H15" i="24" s="1"/>
  <c r="H24" i="24" s="1"/>
  <c r="G14" i="24"/>
  <c r="G15" i="24" s="1"/>
  <c r="G24" i="24" s="1"/>
  <c r="F14" i="24"/>
  <c r="F15" i="24" s="1"/>
  <c r="F24" i="24" s="1"/>
  <c r="E14" i="24"/>
  <c r="E15" i="24" s="1"/>
  <c r="E24" i="24" s="1"/>
  <c r="G42" i="17" a="1"/>
  <c r="G42" i="17" s="1"/>
  <c r="W42" i="17" a="1"/>
  <c r="W42" i="17" s="1"/>
  <c r="T42" i="17" a="1"/>
  <c r="T42" i="17" s="1"/>
  <c r="X42" i="17" a="1"/>
  <c r="X42" i="17" s="1"/>
  <c r="J42" i="17" a="1"/>
  <c r="J42" i="17" s="1"/>
  <c r="Y42" i="17" a="1"/>
  <c r="Y42" i="17" s="1"/>
  <c r="L42" i="17" a="1"/>
  <c r="L42" i="17" s="1"/>
  <c r="N42" i="17" a="1"/>
  <c r="N42" i="17" s="1"/>
  <c r="S42" i="17" a="1"/>
  <c r="S42" i="17" s="1"/>
  <c r="Z42" i="17" a="1"/>
  <c r="Z42" i="17" s="1"/>
  <c r="I42" i="17" a="1"/>
  <c r="I42" i="17" s="1"/>
  <c r="R42" i="17" a="1"/>
  <c r="R42" i="17" s="1"/>
  <c r="P42" i="17" a="1"/>
  <c r="P42" i="17" s="1"/>
  <c r="M42" i="17" a="1"/>
  <c r="M42" i="17" s="1"/>
  <c r="V42" i="17" a="1"/>
  <c r="V42" i="17" s="1"/>
  <c r="K42" i="17" a="1"/>
  <c r="K42" i="17" s="1"/>
  <c r="Q42" i="17" a="1"/>
  <c r="Q42" i="17" s="1"/>
  <c r="H42" i="17" a="1"/>
  <c r="H42" i="17" s="1"/>
  <c r="O42" i="17" a="1"/>
  <c r="O42" i="17" s="1"/>
  <c r="U42" i="17" a="1"/>
  <c r="U42" i="17" s="1"/>
  <c r="M34" i="19"/>
  <c r="U34" i="19"/>
  <c r="K34" i="19"/>
  <c r="N34" i="19"/>
  <c r="V34" i="19"/>
  <c r="V36" i="19" s="1"/>
  <c r="G34" i="19"/>
  <c r="O34" i="19"/>
  <c r="O36" i="19" s="1"/>
  <c r="W34" i="19"/>
  <c r="H34" i="19"/>
  <c r="P34" i="19"/>
  <c r="X34" i="19"/>
  <c r="I34" i="19"/>
  <c r="Q34" i="19"/>
  <c r="Y34" i="19"/>
  <c r="S34" i="19"/>
  <c r="J34" i="19"/>
  <c r="R34" i="19"/>
  <c r="Z34" i="19"/>
  <c r="L34" i="19"/>
  <c r="T34" i="19"/>
  <c r="H44" i="18"/>
  <c r="C29" i="19"/>
  <c r="D29" i="19" s="1"/>
  <c r="H43" i="18"/>
  <c r="C28" i="19"/>
  <c r="D28" i="19" s="1"/>
  <c r="H42" i="18"/>
  <c r="C27" i="19"/>
  <c r="D27" i="19" s="1"/>
  <c r="H39" i="18"/>
  <c r="C24" i="19"/>
  <c r="D24" i="19" s="1"/>
  <c r="H38" i="18"/>
  <c r="C23" i="19"/>
  <c r="D23" i="19" s="1"/>
  <c r="G47" i="18"/>
  <c r="G40" i="18"/>
  <c r="E18" i="16"/>
  <c r="E22" i="16" s="1"/>
  <c r="D22" i="16"/>
  <c r="F21" i="16"/>
  <c r="F20" i="16"/>
  <c r="E33" i="16"/>
  <c r="E34" i="16" s="1"/>
  <c r="D33" i="16"/>
  <c r="D34" i="16" s="1"/>
  <c r="C33" i="16"/>
  <c r="C34" i="16" s="1"/>
  <c r="Z36" i="29" l="1"/>
  <c r="Z38" i="29" s="1"/>
  <c r="H13" i="29"/>
  <c r="I32" i="29"/>
  <c r="K32" i="29"/>
  <c r="X32" i="29"/>
  <c r="I29" i="29"/>
  <c r="Z36" i="19"/>
  <c r="H32" i="29"/>
  <c r="Z32" i="29"/>
  <c r="P32" i="29"/>
  <c r="G32" i="29"/>
  <c r="V36" i="29"/>
  <c r="V38" i="29" s="1"/>
  <c r="U32" i="29"/>
  <c r="Y32" i="29"/>
  <c r="P36" i="19"/>
  <c r="T32" i="29"/>
  <c r="W32" i="29"/>
  <c r="R32" i="29"/>
  <c r="L32" i="29"/>
  <c r="N36" i="29"/>
  <c r="N38" i="29" s="1"/>
  <c r="R36" i="29"/>
  <c r="R38" i="29" s="1"/>
  <c r="Q32" i="29"/>
  <c r="S32" i="29"/>
  <c r="J32" i="29"/>
  <c r="N32" i="29"/>
  <c r="W17" i="27"/>
  <c r="P17" i="27"/>
  <c r="X36" i="19"/>
  <c r="M32" i="29"/>
  <c r="V32" i="29"/>
  <c r="D32" i="29"/>
  <c r="H29" i="29"/>
  <c r="H36" i="29"/>
  <c r="H38" i="29" s="1"/>
  <c r="I13" i="29"/>
  <c r="P36" i="29"/>
  <c r="P38" i="29" s="1"/>
  <c r="I36" i="29"/>
  <c r="I38" i="29" s="1"/>
  <c r="O36" i="29"/>
  <c r="O38" i="29" s="1"/>
  <c r="Y36" i="29"/>
  <c r="Y38" i="29" s="1"/>
  <c r="D36" i="29"/>
  <c r="G36" i="29"/>
  <c r="G38" i="29" s="1"/>
  <c r="K36" i="29"/>
  <c r="K38" i="29" s="1"/>
  <c r="L36" i="29"/>
  <c r="L38" i="29" s="1"/>
  <c r="W36" i="29"/>
  <c r="W38" i="29" s="1"/>
  <c r="S36" i="29"/>
  <c r="S38" i="29" s="1"/>
  <c r="Q36" i="29"/>
  <c r="Q38" i="29" s="1"/>
  <c r="X36" i="29"/>
  <c r="X38" i="29" s="1"/>
  <c r="M36" i="29"/>
  <c r="M38" i="29" s="1"/>
  <c r="T36" i="29"/>
  <c r="T38" i="29" s="1"/>
  <c r="J36" i="29"/>
  <c r="J38" i="29" s="1"/>
  <c r="X17" i="29"/>
  <c r="H25" i="29"/>
  <c r="P17" i="29"/>
  <c r="H31" i="29"/>
  <c r="U33" i="29"/>
  <c r="I26" i="29"/>
  <c r="H17" i="18"/>
  <c r="C10" i="19"/>
  <c r="D10" i="19" s="1"/>
  <c r="H31" i="27"/>
  <c r="G31" i="29"/>
  <c r="D25" i="20" s="1"/>
  <c r="D33" i="29"/>
  <c r="J17" i="27"/>
  <c r="I31" i="27"/>
  <c r="I17" i="27"/>
  <c r="U36" i="19"/>
  <c r="J17" i="29"/>
  <c r="P33" i="29"/>
  <c r="S36" i="19"/>
  <c r="Y17" i="29"/>
  <c r="H17" i="29"/>
  <c r="W17" i="29"/>
  <c r="Q17" i="29"/>
  <c r="H26" i="29"/>
  <c r="N17" i="27"/>
  <c r="Y17" i="27"/>
  <c r="N17" i="29"/>
  <c r="I33" i="29"/>
  <c r="S17" i="27"/>
  <c r="T17" i="29"/>
  <c r="Q17" i="27"/>
  <c r="D17" i="27"/>
  <c r="Z17" i="29"/>
  <c r="G27" i="29"/>
  <c r="U17" i="29"/>
  <c r="L17" i="29"/>
  <c r="R17" i="29"/>
  <c r="V17" i="29"/>
  <c r="S17" i="29"/>
  <c r="I25" i="29"/>
  <c r="I17" i="29"/>
  <c r="O17" i="29"/>
  <c r="D17" i="29"/>
  <c r="K17" i="29"/>
  <c r="Y36" i="19"/>
  <c r="D23" i="20"/>
  <c r="V33" i="29"/>
  <c r="O33" i="29"/>
  <c r="Y33" i="29"/>
  <c r="K33" i="29"/>
  <c r="J33" i="29"/>
  <c r="S33" i="29"/>
  <c r="L33" i="29"/>
  <c r="R33" i="29"/>
  <c r="W33" i="29"/>
  <c r="T33" i="29"/>
  <c r="H33" i="29"/>
  <c r="Z33" i="29"/>
  <c r="I30" i="29"/>
  <c r="H36" i="19"/>
  <c r="M33" i="29"/>
  <c r="X33" i="29"/>
  <c r="H30" i="29"/>
  <c r="D7" i="20"/>
  <c r="D20" i="20"/>
  <c r="M17" i="29"/>
  <c r="N33" i="29"/>
  <c r="G33" i="29"/>
  <c r="I13" i="34"/>
  <c r="I15" i="34"/>
  <c r="J12" i="34" s="1"/>
  <c r="Q36" i="19"/>
  <c r="C27" i="29"/>
  <c r="D27" i="29" s="1"/>
  <c r="C34" i="29"/>
  <c r="D34" i="29" s="1"/>
  <c r="D32" i="25"/>
  <c r="M32" i="27"/>
  <c r="U36" i="27"/>
  <c r="U38" i="27" s="1"/>
  <c r="D19" i="20"/>
  <c r="T32" i="27"/>
  <c r="D32" i="27"/>
  <c r="V32" i="25"/>
  <c r="D24" i="20"/>
  <c r="W32" i="27"/>
  <c r="I36" i="27"/>
  <c r="I38" i="27" s="1"/>
  <c r="R36" i="19"/>
  <c r="O32" i="25"/>
  <c r="P32" i="27"/>
  <c r="G36" i="27"/>
  <c r="G38" i="27" s="1"/>
  <c r="H22" i="32"/>
  <c r="H24" i="32"/>
  <c r="H21" i="32"/>
  <c r="H34" i="32"/>
  <c r="H20" i="32"/>
  <c r="H28" i="32"/>
  <c r="H17" i="32"/>
  <c r="H16" i="32"/>
  <c r="H12" i="32"/>
  <c r="H33" i="32"/>
  <c r="H23" i="32"/>
  <c r="H10" i="32"/>
  <c r="H31" i="32"/>
  <c r="H25" i="32"/>
  <c r="H15" i="32"/>
  <c r="H19" i="32"/>
  <c r="H27" i="32"/>
  <c r="H13" i="32"/>
  <c r="H11" i="32"/>
  <c r="H30" i="32"/>
  <c r="G32" i="25"/>
  <c r="W58" i="17" a="1"/>
  <c r="W58" i="17" s="1"/>
  <c r="U62" i="17" a="1"/>
  <c r="U62" i="17" s="1"/>
  <c r="R31" i="31" s="1"/>
  <c r="G32" i="27"/>
  <c r="J36" i="27"/>
  <c r="J38" i="27" s="1"/>
  <c r="G35" i="32"/>
  <c r="G37" i="32" s="1"/>
  <c r="G51" i="32" s="1"/>
  <c r="G53" i="32" s="1"/>
  <c r="D17" i="33" s="1"/>
  <c r="J8" i="17"/>
  <c r="J10" i="17" s="1"/>
  <c r="I5" i="32"/>
  <c r="K32" i="27"/>
  <c r="J32" i="25"/>
  <c r="R32" i="27"/>
  <c r="Z36" i="27"/>
  <c r="Z38" i="27" s="1"/>
  <c r="Z32" i="25"/>
  <c r="Q32" i="27"/>
  <c r="K36" i="27"/>
  <c r="K38" i="27" s="1"/>
  <c r="I25" i="27"/>
  <c r="H29" i="27"/>
  <c r="V17" i="27"/>
  <c r="U17" i="27"/>
  <c r="G27" i="27"/>
  <c r="H30" i="27"/>
  <c r="L17" i="27"/>
  <c r="H17" i="27"/>
  <c r="H25" i="27"/>
  <c r="O17" i="27"/>
  <c r="M17" i="27"/>
  <c r="H13" i="27"/>
  <c r="R17" i="27"/>
  <c r="X17" i="27"/>
  <c r="Z17" i="27"/>
  <c r="V36" i="27"/>
  <c r="V38" i="27" s="1"/>
  <c r="I13" i="27"/>
  <c r="T17" i="27"/>
  <c r="G17" i="27"/>
  <c r="H30" i="28"/>
  <c r="X32" i="25"/>
  <c r="M32" i="25"/>
  <c r="O32" i="27"/>
  <c r="N32" i="27"/>
  <c r="S32" i="27"/>
  <c r="L36" i="27"/>
  <c r="L38" i="27" s="1"/>
  <c r="H36" i="27"/>
  <c r="H38" i="27" s="1"/>
  <c r="S36" i="27"/>
  <c r="S38" i="27" s="1"/>
  <c r="H26" i="28"/>
  <c r="N36" i="19"/>
  <c r="L32" i="25"/>
  <c r="I32" i="25"/>
  <c r="Z32" i="27"/>
  <c r="J32" i="27"/>
  <c r="Y36" i="27"/>
  <c r="Y38" i="27" s="1"/>
  <c r="P36" i="27"/>
  <c r="P38" i="27" s="1"/>
  <c r="W36" i="27"/>
  <c r="W38" i="27" s="1"/>
  <c r="I29" i="27"/>
  <c r="H29" i="28"/>
  <c r="I26" i="27"/>
  <c r="L36" i="19"/>
  <c r="S32" i="25"/>
  <c r="L32" i="27"/>
  <c r="I32" i="27"/>
  <c r="N36" i="27"/>
  <c r="N38" i="27" s="1"/>
  <c r="X36" i="27"/>
  <c r="X38" i="27" s="1"/>
  <c r="D36" i="27"/>
  <c r="I30" i="27"/>
  <c r="H13" i="28"/>
  <c r="H32" i="25"/>
  <c r="T32" i="25"/>
  <c r="H32" i="27"/>
  <c r="U32" i="27"/>
  <c r="Q36" i="27"/>
  <c r="Q38" i="27" s="1"/>
  <c r="O36" i="27"/>
  <c r="O38" i="27" s="1"/>
  <c r="M36" i="27"/>
  <c r="M38" i="27" s="1"/>
  <c r="J25" i="29"/>
  <c r="K10" i="29"/>
  <c r="J31" i="29"/>
  <c r="J13" i="29"/>
  <c r="J30" i="29"/>
  <c r="J26" i="29"/>
  <c r="J29" i="29"/>
  <c r="N32" i="25"/>
  <c r="R32" i="25"/>
  <c r="X32" i="27"/>
  <c r="V32" i="27"/>
  <c r="T36" i="27"/>
  <c r="T38" i="27" s="1"/>
  <c r="G31" i="18"/>
  <c r="H31" i="18" s="1"/>
  <c r="G28" i="18"/>
  <c r="H28" i="18" s="1"/>
  <c r="G30" i="18"/>
  <c r="H30" i="18" s="1"/>
  <c r="S33" i="27"/>
  <c r="H33" i="27"/>
  <c r="Z33" i="27"/>
  <c r="Z33" i="28"/>
  <c r="R33" i="28"/>
  <c r="J33" i="28"/>
  <c r="M33" i="28"/>
  <c r="Y33" i="28"/>
  <c r="Q33" i="28"/>
  <c r="I33" i="28"/>
  <c r="U33" i="28"/>
  <c r="X33" i="28"/>
  <c r="P33" i="28"/>
  <c r="H33" i="28"/>
  <c r="W33" i="28"/>
  <c r="O33" i="28"/>
  <c r="G33" i="28"/>
  <c r="D33" i="28"/>
  <c r="S33" i="28"/>
  <c r="K33" i="28"/>
  <c r="T33" i="28"/>
  <c r="L33" i="28"/>
  <c r="N33" i="28"/>
  <c r="V33" i="28"/>
  <c r="M33" i="27"/>
  <c r="I25" i="28"/>
  <c r="J10" i="28"/>
  <c r="I29" i="28"/>
  <c r="I30" i="28"/>
  <c r="I31" i="28"/>
  <c r="I26" i="28"/>
  <c r="I13" i="28"/>
  <c r="P32" i="25"/>
  <c r="K32" i="25"/>
  <c r="Q32" i="25"/>
  <c r="H26" i="27"/>
  <c r="U33" i="27"/>
  <c r="I33" i="27"/>
  <c r="W32" i="25"/>
  <c r="U32" i="25"/>
  <c r="N33" i="27"/>
  <c r="T33" i="27"/>
  <c r="Q33" i="27"/>
  <c r="U36" i="28"/>
  <c r="U38" i="28" s="1"/>
  <c r="M36" i="28"/>
  <c r="M38" i="28" s="1"/>
  <c r="D36" i="28"/>
  <c r="X36" i="28"/>
  <c r="X38" i="28" s="1"/>
  <c r="P36" i="28"/>
  <c r="P38" i="28" s="1"/>
  <c r="S36" i="28"/>
  <c r="S38" i="28" s="1"/>
  <c r="K36" i="28"/>
  <c r="K38" i="28" s="1"/>
  <c r="Z36" i="28"/>
  <c r="Z38" i="28" s="1"/>
  <c r="R36" i="28"/>
  <c r="R38" i="28" s="1"/>
  <c r="J36" i="28"/>
  <c r="J38" i="28" s="1"/>
  <c r="H36" i="28"/>
  <c r="H38" i="28" s="1"/>
  <c r="W36" i="28"/>
  <c r="W38" i="28" s="1"/>
  <c r="O36" i="28"/>
  <c r="O38" i="28" s="1"/>
  <c r="G36" i="28"/>
  <c r="G38" i="28" s="1"/>
  <c r="T36" i="28"/>
  <c r="T38" i="28" s="1"/>
  <c r="I36" i="28"/>
  <c r="I38" i="28" s="1"/>
  <c r="Q36" i="28"/>
  <c r="Q38" i="28" s="1"/>
  <c r="Y36" i="28"/>
  <c r="Y38" i="28" s="1"/>
  <c r="L36" i="28"/>
  <c r="L38" i="28" s="1"/>
  <c r="V36" i="28"/>
  <c r="V38" i="28" s="1"/>
  <c r="N36" i="28"/>
  <c r="N38" i="28" s="1"/>
  <c r="L32" i="28"/>
  <c r="D32" i="28"/>
  <c r="T32" i="28"/>
  <c r="S32" i="28"/>
  <c r="K32" i="28"/>
  <c r="W32" i="28"/>
  <c r="H32" i="28"/>
  <c r="Y32" i="28"/>
  <c r="N32" i="28"/>
  <c r="P32" i="28"/>
  <c r="V32" i="28"/>
  <c r="X32" i="28"/>
  <c r="I32" i="28"/>
  <c r="U32" i="28"/>
  <c r="J32" i="28"/>
  <c r="O32" i="28"/>
  <c r="R32" i="28"/>
  <c r="Q32" i="28"/>
  <c r="M32" i="28"/>
  <c r="Z32" i="28"/>
  <c r="G32" i="28"/>
  <c r="H25" i="28"/>
  <c r="D33" i="27"/>
  <c r="X33" i="27"/>
  <c r="T36" i="19"/>
  <c r="I36" i="19"/>
  <c r="C27" i="27"/>
  <c r="D27" i="27" s="1"/>
  <c r="C27" i="28"/>
  <c r="D27" i="28" s="1"/>
  <c r="C34" i="27"/>
  <c r="D34" i="27" s="1"/>
  <c r="C34" i="28"/>
  <c r="D34" i="28" s="1"/>
  <c r="X33" i="25"/>
  <c r="H30" i="26"/>
  <c r="V33" i="27"/>
  <c r="G33" i="27"/>
  <c r="Y33" i="27"/>
  <c r="G27" i="28"/>
  <c r="H31" i="28"/>
  <c r="P33" i="27"/>
  <c r="T17" i="28"/>
  <c r="W17" i="28"/>
  <c r="O17" i="28"/>
  <c r="G17" i="28"/>
  <c r="D17" i="28"/>
  <c r="L17" i="28"/>
  <c r="S17" i="28"/>
  <c r="K17" i="28"/>
  <c r="H17" i="28"/>
  <c r="P17" i="28"/>
  <c r="I17" i="28"/>
  <c r="M17" i="28"/>
  <c r="X17" i="28"/>
  <c r="Q17" i="28"/>
  <c r="U17" i="28"/>
  <c r="J17" i="28"/>
  <c r="Z17" i="28"/>
  <c r="V17" i="28"/>
  <c r="Y17" i="28"/>
  <c r="R17" i="28"/>
  <c r="N17" i="28"/>
  <c r="C38" i="27"/>
  <c r="D38" i="27" s="1"/>
  <c r="C38" i="28"/>
  <c r="D38" i="28" s="1"/>
  <c r="V17" i="25"/>
  <c r="S33" i="25"/>
  <c r="G27" i="26"/>
  <c r="P58" i="17" a="1"/>
  <c r="P58" i="17" s="1"/>
  <c r="L33" i="27"/>
  <c r="O33" i="27"/>
  <c r="J33" i="27"/>
  <c r="L17" i="25"/>
  <c r="K33" i="27"/>
  <c r="W33" i="27"/>
  <c r="M58" i="17" a="1"/>
  <c r="M58" i="17" s="1"/>
  <c r="N62" i="17" a="1"/>
  <c r="N62" i="17" s="1"/>
  <c r="K31" i="31" s="1"/>
  <c r="L57" i="17" a="1"/>
  <c r="L57" i="17" s="1"/>
  <c r="H25" i="26"/>
  <c r="J58" i="17" a="1"/>
  <c r="J58" i="17" s="1"/>
  <c r="K62" i="17" a="1"/>
  <c r="K62" i="17" s="1"/>
  <c r="H31" i="31" s="1"/>
  <c r="P17" i="25"/>
  <c r="L33" i="25"/>
  <c r="H26" i="26"/>
  <c r="V62" i="17" a="1"/>
  <c r="V62" i="17" s="1"/>
  <c r="S31" i="31" s="1"/>
  <c r="H13" i="26"/>
  <c r="J25" i="27"/>
  <c r="K10" i="27"/>
  <c r="J13" i="27"/>
  <c r="J30" i="27"/>
  <c r="J31" i="27"/>
  <c r="J29" i="27"/>
  <c r="J26" i="27"/>
  <c r="G58" i="17" a="1"/>
  <c r="G58" i="17" s="1"/>
  <c r="V58" i="17" a="1"/>
  <c r="V58" i="17" s="1"/>
  <c r="Q58" i="17" a="1"/>
  <c r="Q58" i="17" s="1"/>
  <c r="U58" i="17" a="1"/>
  <c r="U58" i="17" s="1"/>
  <c r="L62" i="17" a="1"/>
  <c r="L62" i="17" s="1"/>
  <c r="I31" i="31" s="1"/>
  <c r="Z62" i="17" a="1"/>
  <c r="Z62" i="17" s="1"/>
  <c r="W31" i="31" s="1"/>
  <c r="T62" i="17" a="1"/>
  <c r="T62" i="17" s="1"/>
  <c r="Q31" i="31" s="1"/>
  <c r="I49" i="24"/>
  <c r="C38" i="25"/>
  <c r="D38" i="25" s="1"/>
  <c r="C38" i="26"/>
  <c r="D38" i="26" s="1"/>
  <c r="K17" i="25"/>
  <c r="H17" i="25"/>
  <c r="R57" i="17" a="1"/>
  <c r="R57" i="17" s="1"/>
  <c r="W33" i="25"/>
  <c r="H33" i="25"/>
  <c r="U33" i="25"/>
  <c r="N17" i="25"/>
  <c r="X17" i="25"/>
  <c r="G33" i="25"/>
  <c r="M33" i="25"/>
  <c r="R58" i="17" a="1"/>
  <c r="R58" i="17" s="1"/>
  <c r="X58" i="17" a="1"/>
  <c r="X58" i="17" s="1"/>
  <c r="H62" i="17" a="1"/>
  <c r="H62" i="17" s="1"/>
  <c r="E31" i="31" s="1"/>
  <c r="Y62" i="17" a="1"/>
  <c r="Y62" i="17" s="1"/>
  <c r="V31" i="31" s="1"/>
  <c r="O17" i="25"/>
  <c r="R17" i="25"/>
  <c r="I17" i="25"/>
  <c r="J33" i="25"/>
  <c r="K33" i="25"/>
  <c r="Z33" i="26"/>
  <c r="R33" i="26"/>
  <c r="J33" i="26"/>
  <c r="Y33" i="26"/>
  <c r="Q33" i="26"/>
  <c r="I33" i="26"/>
  <c r="X33" i="26"/>
  <c r="P33" i="26"/>
  <c r="H33" i="26"/>
  <c r="D33" i="26"/>
  <c r="W33" i="26"/>
  <c r="O33" i="26"/>
  <c r="G33" i="26"/>
  <c r="U33" i="26"/>
  <c r="M33" i="26"/>
  <c r="S33" i="26"/>
  <c r="K33" i="26"/>
  <c r="T33" i="26"/>
  <c r="L33" i="26"/>
  <c r="V33" i="26"/>
  <c r="N33" i="26"/>
  <c r="H31" i="26"/>
  <c r="P36" i="25"/>
  <c r="J36" i="25"/>
  <c r="R36" i="25"/>
  <c r="U36" i="25"/>
  <c r="H36" i="25"/>
  <c r="N36" i="25"/>
  <c r="K36" i="25"/>
  <c r="K38" i="25" s="1"/>
  <c r="M36" i="25"/>
  <c r="O36" i="25"/>
  <c r="T36" i="25"/>
  <c r="Y36" i="25"/>
  <c r="G36" i="25"/>
  <c r="L36" i="25"/>
  <c r="Q36" i="25"/>
  <c r="S36" i="25"/>
  <c r="Z36" i="25"/>
  <c r="I36" i="25"/>
  <c r="V36" i="25"/>
  <c r="X36" i="25"/>
  <c r="W36" i="25"/>
  <c r="I62" i="17" a="1"/>
  <c r="I62" i="17" s="1"/>
  <c r="F31" i="31" s="1"/>
  <c r="J17" i="25"/>
  <c r="N33" i="25"/>
  <c r="O57" i="17" a="1"/>
  <c r="O57" i="17" s="1"/>
  <c r="I58" i="17" a="1"/>
  <c r="I58" i="17" s="1"/>
  <c r="Y58" i="17" a="1"/>
  <c r="Y58" i="17" s="1"/>
  <c r="K36" i="19"/>
  <c r="Q62" i="17" a="1"/>
  <c r="Q62" i="17" s="1"/>
  <c r="N31" i="31" s="1"/>
  <c r="X62" i="17" a="1"/>
  <c r="X62" i="17" s="1"/>
  <c r="U31" i="31" s="1"/>
  <c r="W17" i="25"/>
  <c r="Z17" i="25"/>
  <c r="Q17" i="25"/>
  <c r="O33" i="25"/>
  <c r="Y33" i="25"/>
  <c r="U36" i="26"/>
  <c r="U38" i="26" s="1"/>
  <c r="M36" i="26"/>
  <c r="M38" i="26" s="1"/>
  <c r="D36" i="26"/>
  <c r="H36" i="26"/>
  <c r="H38" i="26" s="1"/>
  <c r="S36" i="26"/>
  <c r="S38" i="26" s="1"/>
  <c r="K36" i="26"/>
  <c r="K38" i="26" s="1"/>
  <c r="Z36" i="26"/>
  <c r="Z38" i="26" s="1"/>
  <c r="R36" i="26"/>
  <c r="R38" i="26" s="1"/>
  <c r="J36" i="26"/>
  <c r="J38" i="26" s="1"/>
  <c r="X36" i="26"/>
  <c r="X38" i="26" s="1"/>
  <c r="P36" i="26"/>
  <c r="P38" i="26" s="1"/>
  <c r="W36" i="26"/>
  <c r="W38" i="26" s="1"/>
  <c r="O36" i="26"/>
  <c r="O38" i="26" s="1"/>
  <c r="G36" i="26"/>
  <c r="G38" i="26" s="1"/>
  <c r="L36" i="26"/>
  <c r="L38" i="26" s="1"/>
  <c r="Y36" i="26"/>
  <c r="Y38" i="26" s="1"/>
  <c r="N36" i="26"/>
  <c r="N38" i="26" s="1"/>
  <c r="I36" i="26"/>
  <c r="I38" i="26" s="1"/>
  <c r="V36" i="26"/>
  <c r="V38" i="26" s="1"/>
  <c r="Q36" i="26"/>
  <c r="Q38" i="26" s="1"/>
  <c r="T36" i="26"/>
  <c r="T38" i="26" s="1"/>
  <c r="H58" i="17" a="1"/>
  <c r="H58" i="17" s="1"/>
  <c r="G62" i="17" a="1"/>
  <c r="G62" i="17" s="1"/>
  <c r="D31" i="31" s="1"/>
  <c r="I57" i="17" a="1"/>
  <c r="I57" i="17" s="1"/>
  <c r="J57" i="17" a="1"/>
  <c r="J57" i="17" s="1"/>
  <c r="K58" i="17" a="1"/>
  <c r="K58" i="17" s="1"/>
  <c r="T58" i="17" a="1"/>
  <c r="T58" i="17" s="1"/>
  <c r="J62" i="17" a="1"/>
  <c r="J62" i="17" s="1"/>
  <c r="G31" i="31" s="1"/>
  <c r="S62" i="17" a="1"/>
  <c r="S62" i="17" s="1"/>
  <c r="P31" i="31" s="1"/>
  <c r="G17" i="25"/>
  <c r="U17" i="25"/>
  <c r="Y17" i="25"/>
  <c r="P33" i="25"/>
  <c r="Q33" i="25"/>
  <c r="W62" i="17" a="1"/>
  <c r="W62" i="17" s="1"/>
  <c r="T31" i="31" s="1"/>
  <c r="N58" i="17" a="1"/>
  <c r="N58" i="17" s="1"/>
  <c r="Z58" i="17" a="1"/>
  <c r="Z58" i="17" s="1"/>
  <c r="M36" i="19"/>
  <c r="O62" i="17" a="1"/>
  <c r="O62" i="17" s="1"/>
  <c r="L31" i="31" s="1"/>
  <c r="P62" i="17" a="1"/>
  <c r="P62" i="17" s="1"/>
  <c r="M31" i="31" s="1"/>
  <c r="S17" i="25"/>
  <c r="D17" i="25"/>
  <c r="R33" i="25"/>
  <c r="V33" i="25"/>
  <c r="T33" i="25"/>
  <c r="H29" i="26"/>
  <c r="Y17" i="26"/>
  <c r="Q17" i="26"/>
  <c r="I17" i="26"/>
  <c r="W17" i="26"/>
  <c r="O17" i="26"/>
  <c r="G17" i="26"/>
  <c r="D17" i="26"/>
  <c r="S17" i="26"/>
  <c r="L17" i="26"/>
  <c r="K17" i="26"/>
  <c r="T17" i="26"/>
  <c r="U17" i="26"/>
  <c r="V17" i="26"/>
  <c r="X17" i="26"/>
  <c r="J17" i="26"/>
  <c r="H17" i="26"/>
  <c r="P17" i="26"/>
  <c r="R17" i="26"/>
  <c r="Z17" i="26"/>
  <c r="N17" i="26"/>
  <c r="M17" i="26"/>
  <c r="O58" i="17" a="1"/>
  <c r="O58" i="17" s="1"/>
  <c r="L58" i="17" a="1"/>
  <c r="L58" i="17" s="1"/>
  <c r="S58" i="17" a="1"/>
  <c r="S58" i="17" s="1"/>
  <c r="J36" i="19"/>
  <c r="W36" i="19"/>
  <c r="M62" i="17" a="1"/>
  <c r="M62" i="17" s="1"/>
  <c r="J31" i="31" s="1"/>
  <c r="R62" i="17" a="1"/>
  <c r="R62" i="17" s="1"/>
  <c r="O31" i="31" s="1"/>
  <c r="C27" i="26"/>
  <c r="D27" i="26" s="1"/>
  <c r="C27" i="25"/>
  <c r="D27" i="25" s="1"/>
  <c r="C34" i="25"/>
  <c r="D34" i="25" s="1"/>
  <c r="C34" i="26"/>
  <c r="D34" i="26" s="1"/>
  <c r="T17" i="25"/>
  <c r="I33" i="25"/>
  <c r="Z33" i="25"/>
  <c r="Y32" i="26"/>
  <c r="Q32" i="26"/>
  <c r="I32" i="26"/>
  <c r="W32" i="26"/>
  <c r="O32" i="26"/>
  <c r="G32" i="26"/>
  <c r="T32" i="26"/>
  <c r="D32" i="26"/>
  <c r="L32" i="26"/>
  <c r="S32" i="26"/>
  <c r="K32" i="26"/>
  <c r="N32" i="26"/>
  <c r="P32" i="26"/>
  <c r="J32" i="26"/>
  <c r="M32" i="26"/>
  <c r="V32" i="26"/>
  <c r="X32" i="26"/>
  <c r="R32" i="26"/>
  <c r="U32" i="26"/>
  <c r="Z32" i="26"/>
  <c r="H32" i="26"/>
  <c r="I25" i="26"/>
  <c r="J10" i="26"/>
  <c r="I29" i="26"/>
  <c r="I30" i="26"/>
  <c r="I13" i="26"/>
  <c r="I26" i="26"/>
  <c r="I31" i="26"/>
  <c r="G27" i="25"/>
  <c r="Q57" i="17" a="1"/>
  <c r="Q57" i="17" s="1"/>
  <c r="T57" i="17" a="1"/>
  <c r="T57" i="17" s="1"/>
  <c r="N57" i="17" a="1"/>
  <c r="N57" i="17" s="1"/>
  <c r="K57" i="17" a="1"/>
  <c r="K57" i="17" s="1"/>
  <c r="H57" i="17" a="1"/>
  <c r="H57" i="17" s="1"/>
  <c r="X57" i="17" a="1"/>
  <c r="X57" i="17" s="1"/>
  <c r="Z57" i="17" a="1"/>
  <c r="Z57" i="17" s="1"/>
  <c r="M57" i="17" a="1"/>
  <c r="M57" i="17" s="1"/>
  <c r="V57" i="17" a="1"/>
  <c r="V57" i="17" s="1"/>
  <c r="G57" i="17" a="1"/>
  <c r="G57" i="17" s="1"/>
  <c r="H31" i="25"/>
  <c r="I10" i="25"/>
  <c r="F4" i="20" s="1"/>
  <c r="H13" i="25"/>
  <c r="H29" i="25"/>
  <c r="H26" i="25"/>
  <c r="H30" i="25"/>
  <c r="H25" i="25"/>
  <c r="Y57" i="17" a="1"/>
  <c r="Y57" i="17" s="1"/>
  <c r="G33" i="18"/>
  <c r="C19" i="19" s="1"/>
  <c r="D19" i="19" s="1"/>
  <c r="S57" i="17" a="1"/>
  <c r="S57" i="17" s="1"/>
  <c r="P57" i="17" a="1"/>
  <c r="P57" i="17" s="1"/>
  <c r="W57" i="17" a="1"/>
  <c r="W57" i="17" s="1"/>
  <c r="G32" i="18"/>
  <c r="C18" i="19" s="1"/>
  <c r="D18" i="19" s="1"/>
  <c r="U57" i="17" a="1"/>
  <c r="U57" i="17" s="1"/>
  <c r="F28" i="24"/>
  <c r="F26" i="24"/>
  <c r="F29" i="24"/>
  <c r="F31" i="24"/>
  <c r="F30" i="24"/>
  <c r="G30" i="24"/>
  <c r="G28" i="24"/>
  <c r="G29" i="24"/>
  <c r="G31" i="24"/>
  <c r="G26" i="24"/>
  <c r="H26" i="24"/>
  <c r="H30" i="24"/>
  <c r="H29" i="24"/>
  <c r="H31" i="24"/>
  <c r="H28" i="24"/>
  <c r="D15" i="24"/>
  <c r="C12" i="29" s="1"/>
  <c r="D12" i="29" s="1"/>
  <c r="J12" i="29" s="1"/>
  <c r="I14" i="24"/>
  <c r="I38" i="24"/>
  <c r="I45" i="24"/>
  <c r="E28" i="24"/>
  <c r="E31" i="24"/>
  <c r="E29" i="24"/>
  <c r="E26" i="24"/>
  <c r="E30" i="24"/>
  <c r="G61" i="17" a="1"/>
  <c r="G61" i="17" s="1"/>
  <c r="G36" i="19"/>
  <c r="I61" i="17" a="1"/>
  <c r="I61" i="17" s="1"/>
  <c r="N61" i="17" a="1"/>
  <c r="N61" i="17" s="1"/>
  <c r="M61" i="17" a="1"/>
  <c r="M61" i="17" s="1"/>
  <c r="R61" i="17" a="1"/>
  <c r="R61" i="17" s="1"/>
  <c r="J61" i="17" a="1"/>
  <c r="J61" i="17" s="1"/>
  <c r="Q61" i="17" a="1"/>
  <c r="Q61" i="17" s="1"/>
  <c r="V61" i="17" a="1"/>
  <c r="V61" i="17" s="1"/>
  <c r="L61" i="17" a="1"/>
  <c r="L61" i="17" s="1"/>
  <c r="Z61" i="17" a="1"/>
  <c r="Z61" i="17" s="1"/>
  <c r="K61" i="17" a="1"/>
  <c r="K61" i="17" s="1"/>
  <c r="U61" i="17" a="1"/>
  <c r="U61" i="17" s="1"/>
  <c r="O61" i="17" a="1"/>
  <c r="O61" i="17" s="1"/>
  <c r="H61" i="17" a="1"/>
  <c r="H61" i="17" s="1"/>
  <c r="Y61" i="17" a="1"/>
  <c r="Y61" i="17" s="1"/>
  <c r="P61" i="17" a="1"/>
  <c r="P61" i="17" s="1"/>
  <c r="X61" i="17" a="1"/>
  <c r="X61" i="17" s="1"/>
  <c r="T61" i="17" a="1"/>
  <c r="T61" i="17" s="1"/>
  <c r="W61" i="17" a="1"/>
  <c r="W61" i="17" s="1"/>
  <c r="S61" i="17" a="1"/>
  <c r="S61" i="17" s="1"/>
  <c r="H26" i="18"/>
  <c r="C12" i="19"/>
  <c r="D12" i="19" s="1"/>
  <c r="H47" i="18"/>
  <c r="C32" i="19"/>
  <c r="H40" i="18"/>
  <c r="C25" i="19"/>
  <c r="F18" i="16"/>
  <c r="F22" i="16" s="1"/>
  <c r="G20" i="16"/>
  <c r="G21" i="16"/>
  <c r="J14" i="29" l="1"/>
  <c r="V26" i="20"/>
  <c r="C14" i="19"/>
  <c r="D14" i="19" s="1"/>
  <c r="C16" i="19"/>
  <c r="D16" i="19" s="1"/>
  <c r="H27" i="27"/>
  <c r="I27" i="29"/>
  <c r="H27" i="29"/>
  <c r="H34" i="29"/>
  <c r="I34" i="29"/>
  <c r="G34" i="29"/>
  <c r="G34" i="28"/>
  <c r="I27" i="27"/>
  <c r="E24" i="20"/>
  <c r="E7" i="20"/>
  <c r="K27" i="20"/>
  <c r="K27" i="31" s="1"/>
  <c r="S27" i="20"/>
  <c r="S27" i="31" s="1"/>
  <c r="G34" i="27"/>
  <c r="N27" i="20"/>
  <c r="N27" i="31" s="1"/>
  <c r="E20" i="20"/>
  <c r="L27" i="20"/>
  <c r="L27" i="31" s="1"/>
  <c r="H27" i="28"/>
  <c r="Q27" i="20"/>
  <c r="Q27" i="31" s="1"/>
  <c r="D11" i="20"/>
  <c r="D11" i="31" s="1"/>
  <c r="N11" i="20"/>
  <c r="N11" i="31" s="1"/>
  <c r="J30" i="20"/>
  <c r="J32" i="20" s="1"/>
  <c r="F11" i="20"/>
  <c r="F11" i="31" s="1"/>
  <c r="E23" i="20"/>
  <c r="G27" i="20"/>
  <c r="G27" i="31" s="1"/>
  <c r="E11" i="20"/>
  <c r="E11" i="31" s="1"/>
  <c r="I11" i="20"/>
  <c r="I11" i="31" s="1"/>
  <c r="S11" i="20"/>
  <c r="S11" i="31" s="1"/>
  <c r="E25" i="20"/>
  <c r="J11" i="20"/>
  <c r="J11" i="31" s="1"/>
  <c r="O27" i="20"/>
  <c r="O27" i="31" s="1"/>
  <c r="W27" i="20"/>
  <c r="W27" i="31" s="1"/>
  <c r="P11" i="20"/>
  <c r="P11" i="31" s="1"/>
  <c r="D21" i="20"/>
  <c r="J13" i="34"/>
  <c r="J15" i="34" s="1"/>
  <c r="K12" i="34" s="1"/>
  <c r="Z38" i="25"/>
  <c r="W30" i="20"/>
  <c r="W32" i="20" s="1"/>
  <c r="G34" i="25"/>
  <c r="D27" i="20"/>
  <c r="D27" i="31" s="1"/>
  <c r="H11" i="20"/>
  <c r="H11" i="31" s="1"/>
  <c r="H34" i="28"/>
  <c r="I26" i="20"/>
  <c r="I26" i="31" s="1"/>
  <c r="I38" i="25"/>
  <c r="F30" i="20"/>
  <c r="F32" i="20" s="1"/>
  <c r="P38" i="25"/>
  <c r="M30" i="20"/>
  <c r="M32" i="20" s="1"/>
  <c r="V26" i="31"/>
  <c r="W11" i="20"/>
  <c r="W11" i="31" s="1"/>
  <c r="S38" i="25"/>
  <c r="P30" i="20"/>
  <c r="P32" i="20" s="1"/>
  <c r="H30" i="20"/>
  <c r="H32" i="20" s="1"/>
  <c r="O11" i="20"/>
  <c r="O11" i="31" s="1"/>
  <c r="U11" i="20"/>
  <c r="U11" i="31" s="1"/>
  <c r="J26" i="20"/>
  <c r="J26" i="31" s="1"/>
  <c r="I22" i="32"/>
  <c r="I17" i="32"/>
  <c r="I31" i="32"/>
  <c r="I19" i="32"/>
  <c r="I25" i="32"/>
  <c r="I24" i="32"/>
  <c r="I13" i="32"/>
  <c r="I30" i="32"/>
  <c r="I15" i="32"/>
  <c r="I21" i="32"/>
  <c r="I34" i="32"/>
  <c r="I20" i="32"/>
  <c r="I23" i="32"/>
  <c r="I12" i="32"/>
  <c r="I27" i="32"/>
  <c r="I11" i="32"/>
  <c r="I33" i="32"/>
  <c r="I10" i="32"/>
  <c r="I28" i="32"/>
  <c r="I16" i="32"/>
  <c r="D26" i="20"/>
  <c r="D26" i="31" s="1"/>
  <c r="S26" i="20"/>
  <c r="S26" i="31" s="1"/>
  <c r="H33" i="18"/>
  <c r="E19" i="20"/>
  <c r="M38" i="25"/>
  <c r="T11" i="20"/>
  <c r="T11" i="31" s="1"/>
  <c r="G11" i="20"/>
  <c r="G11" i="31" s="1"/>
  <c r="Q38" i="25"/>
  <c r="N30" i="20"/>
  <c r="N32" i="20" s="1"/>
  <c r="N38" i="25"/>
  <c r="K30" i="20"/>
  <c r="K32" i="20" s="1"/>
  <c r="L11" i="20"/>
  <c r="L11" i="31" s="1"/>
  <c r="K11" i="20"/>
  <c r="K11" i="31" s="1"/>
  <c r="N26" i="20"/>
  <c r="N26" i="31" s="1"/>
  <c r="U26" i="20"/>
  <c r="U26" i="31" s="1"/>
  <c r="K8" i="17"/>
  <c r="K10" i="17" s="1"/>
  <c r="J5" i="32"/>
  <c r="L26" i="20"/>
  <c r="L26" i="31" s="1"/>
  <c r="I30" i="20"/>
  <c r="I32" i="20" s="1"/>
  <c r="H38" i="25"/>
  <c r="E30" i="20"/>
  <c r="E32" i="20" s="1"/>
  <c r="R27" i="20"/>
  <c r="R27" i="31" s="1"/>
  <c r="H26" i="20"/>
  <c r="H26" i="31" s="1"/>
  <c r="Q26" i="20"/>
  <c r="Q26" i="31" s="1"/>
  <c r="O38" i="25"/>
  <c r="L30" i="20"/>
  <c r="L32" i="20" s="1"/>
  <c r="F27" i="20"/>
  <c r="F27" i="31" s="1"/>
  <c r="M27" i="20"/>
  <c r="M27" i="31" s="1"/>
  <c r="W38" i="25"/>
  <c r="T30" i="20"/>
  <c r="T32" i="20" s="1"/>
  <c r="G38" i="25"/>
  <c r="D30" i="20"/>
  <c r="U38" i="25"/>
  <c r="R30" i="20"/>
  <c r="R32" i="20" s="1"/>
  <c r="E27" i="20"/>
  <c r="E27" i="31" s="1"/>
  <c r="M26" i="20"/>
  <c r="M26" i="31" s="1"/>
  <c r="E26" i="20"/>
  <c r="E26" i="31" s="1"/>
  <c r="W26" i="20"/>
  <c r="W26" i="31" s="1"/>
  <c r="H35" i="32"/>
  <c r="H37" i="32"/>
  <c r="H40" i="32" s="1"/>
  <c r="H51" i="32" s="1"/>
  <c r="H53" i="32" s="1"/>
  <c r="E17" i="33" s="1"/>
  <c r="J27" i="20"/>
  <c r="J27" i="31" s="1"/>
  <c r="C17" i="19"/>
  <c r="D17" i="19" s="1"/>
  <c r="Q11" i="20"/>
  <c r="Q11" i="31" s="1"/>
  <c r="V11" i="20"/>
  <c r="V11" i="31" s="1"/>
  <c r="L38" i="25"/>
  <c r="X38" i="25"/>
  <c r="U30" i="20"/>
  <c r="U32" i="20" s="1"/>
  <c r="Y38" i="25"/>
  <c r="V30" i="20"/>
  <c r="V32" i="20" s="1"/>
  <c r="R38" i="25"/>
  <c r="O30" i="20"/>
  <c r="O32" i="20" s="1"/>
  <c r="T27" i="20"/>
  <c r="T27" i="31" s="1"/>
  <c r="I27" i="20"/>
  <c r="I27" i="31" s="1"/>
  <c r="R26" i="20"/>
  <c r="R26" i="31" s="1"/>
  <c r="O26" i="20"/>
  <c r="O26" i="31" s="1"/>
  <c r="P26" i="20"/>
  <c r="P26" i="31" s="1"/>
  <c r="G26" i="20"/>
  <c r="G26" i="31" s="1"/>
  <c r="F26" i="20"/>
  <c r="F26" i="31" s="1"/>
  <c r="R11" i="20"/>
  <c r="R11" i="31" s="1"/>
  <c r="V27" i="20"/>
  <c r="V27" i="31" s="1"/>
  <c r="V38" i="25"/>
  <c r="S30" i="20"/>
  <c r="S32" i="20" s="1"/>
  <c r="T38" i="25"/>
  <c r="Q30" i="20"/>
  <c r="Q32" i="20" s="1"/>
  <c r="J38" i="25"/>
  <c r="G30" i="20"/>
  <c r="G32" i="20" s="1"/>
  <c r="H27" i="20"/>
  <c r="H27" i="31" s="1"/>
  <c r="M11" i="20"/>
  <c r="M11" i="31" s="1"/>
  <c r="P27" i="20"/>
  <c r="P27" i="31" s="1"/>
  <c r="U27" i="20"/>
  <c r="U27" i="31" s="1"/>
  <c r="T26" i="20"/>
  <c r="T26" i="31" s="1"/>
  <c r="K26" i="20"/>
  <c r="K26" i="31" s="1"/>
  <c r="H34" i="27"/>
  <c r="I34" i="27"/>
  <c r="J27" i="29"/>
  <c r="G12" i="29"/>
  <c r="G14" i="29" s="1"/>
  <c r="H12" i="29"/>
  <c r="H14" i="29" s="1"/>
  <c r="I12" i="29"/>
  <c r="I14" i="29" s="1"/>
  <c r="J34" i="29"/>
  <c r="K13" i="29"/>
  <c r="K29" i="29"/>
  <c r="K31" i="29"/>
  <c r="L10" i="29"/>
  <c r="K25" i="29"/>
  <c r="K30" i="29"/>
  <c r="K26" i="29"/>
  <c r="K12" i="29"/>
  <c r="J25" i="28"/>
  <c r="K10" i="28"/>
  <c r="J30" i="28"/>
  <c r="J31" i="28"/>
  <c r="J13" i="28"/>
  <c r="J26" i="28"/>
  <c r="J29" i="28"/>
  <c r="I27" i="28"/>
  <c r="G34" i="26"/>
  <c r="H27" i="26"/>
  <c r="C12" i="27"/>
  <c r="D12" i="27" s="1"/>
  <c r="G12" i="27" s="1"/>
  <c r="G14" i="27" s="1"/>
  <c r="C12" i="28"/>
  <c r="D12" i="28" s="1"/>
  <c r="J12" i="28" s="1"/>
  <c r="J34" i="27"/>
  <c r="I34" i="28"/>
  <c r="J27" i="27"/>
  <c r="G34" i="18"/>
  <c r="C20" i="19" s="1"/>
  <c r="D20" i="19" s="1"/>
  <c r="K13" i="27"/>
  <c r="K29" i="27"/>
  <c r="K31" i="27"/>
  <c r="K25" i="27"/>
  <c r="L10" i="27"/>
  <c r="K26" i="27"/>
  <c r="K30" i="27"/>
  <c r="J25" i="26"/>
  <c r="K10" i="26"/>
  <c r="J30" i="26"/>
  <c r="J31" i="26"/>
  <c r="J13" i="26"/>
  <c r="J29" i="26"/>
  <c r="J26" i="26"/>
  <c r="H34" i="26"/>
  <c r="I27" i="26"/>
  <c r="I34" i="26"/>
  <c r="C12" i="26"/>
  <c r="D12" i="26" s="1"/>
  <c r="J12" i="26" s="1"/>
  <c r="C12" i="25"/>
  <c r="D12" i="25" s="1"/>
  <c r="I12" i="25" s="1"/>
  <c r="H32" i="18"/>
  <c r="J10" i="25"/>
  <c r="G4" i="20" s="1"/>
  <c r="I31" i="25"/>
  <c r="F25" i="20" s="1"/>
  <c r="I13" i="25"/>
  <c r="F7" i="20" s="1"/>
  <c r="I29" i="25"/>
  <c r="F23" i="20" s="1"/>
  <c r="I30" i="25"/>
  <c r="F24" i="20" s="1"/>
  <c r="I26" i="25"/>
  <c r="F20" i="20" s="1"/>
  <c r="I25" i="25"/>
  <c r="F19" i="20" s="1"/>
  <c r="H34" i="25"/>
  <c r="H27" i="25"/>
  <c r="D24" i="24"/>
  <c r="C14" i="29" s="1"/>
  <c r="D14" i="29" s="1"/>
  <c r="I15" i="24"/>
  <c r="G32" i="24"/>
  <c r="G34" i="24" s="1"/>
  <c r="G51" i="24" s="1"/>
  <c r="E32" i="24"/>
  <c r="E34" i="24" s="1"/>
  <c r="E51" i="24" s="1"/>
  <c r="H32" i="24"/>
  <c r="H34" i="24" s="1"/>
  <c r="H51" i="24" s="1"/>
  <c r="F32" i="24"/>
  <c r="F34" i="24" s="1"/>
  <c r="F51" i="24" s="1"/>
  <c r="G63" i="17" a="1"/>
  <c r="G63" i="17" s="1"/>
  <c r="H63" i="17" a="1"/>
  <c r="H63" i="17" s="1"/>
  <c r="Q63" i="17" a="1"/>
  <c r="Q63" i="17" s="1"/>
  <c r="L63" i="17" a="1"/>
  <c r="L63" i="17" s="1"/>
  <c r="U63" i="17" a="1"/>
  <c r="U63" i="17" s="1"/>
  <c r="S63" i="17" a="1"/>
  <c r="S63" i="17" s="1"/>
  <c r="P63" i="17" a="1"/>
  <c r="P63" i="17" s="1"/>
  <c r="Y63" i="17" a="1"/>
  <c r="Y63" i="17" s="1"/>
  <c r="T63" i="17" a="1"/>
  <c r="T63" i="17" s="1"/>
  <c r="J63" i="17" a="1"/>
  <c r="J63" i="17" s="1"/>
  <c r="M63" i="17" a="1"/>
  <c r="M63" i="17" s="1"/>
  <c r="Z63" i="17" a="1"/>
  <c r="Z63" i="17" s="1"/>
  <c r="X63" i="17" a="1"/>
  <c r="X63" i="17" s="1"/>
  <c r="N63" i="17" a="1"/>
  <c r="N63" i="17" s="1"/>
  <c r="O63" i="17" a="1"/>
  <c r="O63" i="17" s="1"/>
  <c r="K63" i="17" a="1"/>
  <c r="K63" i="17" s="1"/>
  <c r="R63" i="17" a="1"/>
  <c r="R63" i="17" s="1"/>
  <c r="W63" i="17" a="1"/>
  <c r="W63" i="17" s="1"/>
  <c r="I63" i="17" a="1"/>
  <c r="I63" i="17" s="1"/>
  <c r="V63" i="17" a="1"/>
  <c r="V63" i="17" s="1"/>
  <c r="D32" i="19"/>
  <c r="D25" i="19"/>
  <c r="G18" i="16"/>
  <c r="G22" i="16"/>
  <c r="G36" i="18" l="1"/>
  <c r="H36" i="18" s="1"/>
  <c r="H34" i="18"/>
  <c r="E21" i="20"/>
  <c r="J30" i="31"/>
  <c r="J32" i="31" s="1"/>
  <c r="J13" i="33" s="1"/>
  <c r="H30" i="31"/>
  <c r="H32" i="31" s="1"/>
  <c r="H13" i="33" s="1"/>
  <c r="T30" i="31"/>
  <c r="T32" i="31" s="1"/>
  <c r="T13" i="33" s="1"/>
  <c r="F28" i="20"/>
  <c r="K30" i="31"/>
  <c r="K32" i="31" s="1"/>
  <c r="K13" i="33" s="1"/>
  <c r="O30" i="31"/>
  <c r="O32" i="31" s="1"/>
  <c r="O13" i="33" s="1"/>
  <c r="F21" i="20"/>
  <c r="E30" i="31"/>
  <c r="E32" i="31" s="1"/>
  <c r="E13" i="33" s="1"/>
  <c r="F30" i="31"/>
  <c r="F32" i="31" s="1"/>
  <c r="F13" i="33" s="1"/>
  <c r="N30" i="31"/>
  <c r="N32" i="31" s="1"/>
  <c r="N13" i="33" s="1"/>
  <c r="E28" i="20"/>
  <c r="M30" i="31"/>
  <c r="M32" i="31" s="1"/>
  <c r="M13" i="33" s="1"/>
  <c r="K13" i="34"/>
  <c r="K15" i="34"/>
  <c r="L12" i="34" s="1"/>
  <c r="G30" i="31"/>
  <c r="G32" i="31" s="1"/>
  <c r="G13" i="33" s="1"/>
  <c r="W30" i="31"/>
  <c r="W32" i="31" s="1"/>
  <c r="W13" i="33" s="1"/>
  <c r="D30" i="31"/>
  <c r="D32" i="31" s="1"/>
  <c r="D13" i="33" s="1"/>
  <c r="D32" i="20"/>
  <c r="S30" i="31"/>
  <c r="S32" i="31" s="1"/>
  <c r="S13" i="33" s="1"/>
  <c r="R30" i="31"/>
  <c r="R32" i="31" s="1"/>
  <c r="R13" i="33" s="1"/>
  <c r="P30" i="31"/>
  <c r="P32" i="31" s="1"/>
  <c r="P13" i="33" s="1"/>
  <c r="L30" i="31"/>
  <c r="L32" i="31" s="1"/>
  <c r="L13" i="33" s="1"/>
  <c r="J31" i="32"/>
  <c r="J33" i="32"/>
  <c r="J13" i="32"/>
  <c r="J10" i="32"/>
  <c r="J17" i="32"/>
  <c r="J21" i="32"/>
  <c r="J24" i="32"/>
  <c r="J28" i="32"/>
  <c r="J12" i="32"/>
  <c r="J16" i="32"/>
  <c r="J20" i="32"/>
  <c r="J19" i="32"/>
  <c r="J30" i="32"/>
  <c r="J22" i="32"/>
  <c r="J27" i="32"/>
  <c r="J15" i="32"/>
  <c r="J25" i="32"/>
  <c r="J23" i="32"/>
  <c r="J34" i="32"/>
  <c r="J11" i="32"/>
  <c r="I30" i="31"/>
  <c r="I32" i="31" s="1"/>
  <c r="I13" i="33" s="1"/>
  <c r="L8" i="17"/>
  <c r="L10" i="17" s="1"/>
  <c r="K5" i="32"/>
  <c r="U30" i="31"/>
  <c r="U32" i="31" s="1"/>
  <c r="U13" i="33" s="1"/>
  <c r="Q30" i="31"/>
  <c r="Q32" i="31" s="1"/>
  <c r="Q13" i="33" s="1"/>
  <c r="V30" i="31"/>
  <c r="V32" i="31" s="1"/>
  <c r="V13" i="33" s="1"/>
  <c r="I35" i="32"/>
  <c r="I37" i="32" s="1"/>
  <c r="I40" i="32" s="1"/>
  <c r="I51" i="32" s="1"/>
  <c r="I53" i="32" s="1"/>
  <c r="F17" i="33" s="1"/>
  <c r="D28" i="20"/>
  <c r="J12" i="27"/>
  <c r="J14" i="27" s="1"/>
  <c r="K34" i="29"/>
  <c r="J14" i="28"/>
  <c r="K27" i="29"/>
  <c r="K12" i="27"/>
  <c r="K14" i="27" s="1"/>
  <c r="I12" i="27"/>
  <c r="I14" i="27" s="1"/>
  <c r="L29" i="29"/>
  <c r="L30" i="29"/>
  <c r="L25" i="29"/>
  <c r="M10" i="29"/>
  <c r="L13" i="29"/>
  <c r="L26" i="29"/>
  <c r="L12" i="29"/>
  <c r="L31" i="29"/>
  <c r="H12" i="27"/>
  <c r="H14" i="27" s="1"/>
  <c r="K14" i="29"/>
  <c r="J14" i="26"/>
  <c r="J34" i="28"/>
  <c r="C14" i="27"/>
  <c r="D14" i="27" s="1"/>
  <c r="C14" i="28"/>
  <c r="D14" i="28" s="1"/>
  <c r="K13" i="28"/>
  <c r="K29" i="28"/>
  <c r="K31" i="28"/>
  <c r="K25" i="28"/>
  <c r="L10" i="28"/>
  <c r="K30" i="28"/>
  <c r="K12" i="28"/>
  <c r="K26" i="28"/>
  <c r="G12" i="28"/>
  <c r="G14" i="28" s="1"/>
  <c r="H12" i="28"/>
  <c r="H14" i="28" s="1"/>
  <c r="I12" i="28"/>
  <c r="I14" i="28" s="1"/>
  <c r="J27" i="28"/>
  <c r="K27" i="27"/>
  <c r="L29" i="27"/>
  <c r="L30" i="27"/>
  <c r="L25" i="27"/>
  <c r="M10" i="27"/>
  <c r="L12" i="27"/>
  <c r="L13" i="27"/>
  <c r="L31" i="27"/>
  <c r="L26" i="27"/>
  <c r="K34" i="27"/>
  <c r="C14" i="26"/>
  <c r="D14" i="26" s="1"/>
  <c r="C14" i="25"/>
  <c r="D14" i="25" s="1"/>
  <c r="G12" i="25"/>
  <c r="H12" i="25"/>
  <c r="K13" i="26"/>
  <c r="K25" i="26"/>
  <c r="L10" i="26"/>
  <c r="K31" i="26"/>
  <c r="K12" i="26"/>
  <c r="K29" i="26"/>
  <c r="K26" i="26"/>
  <c r="K30" i="26"/>
  <c r="G12" i="26"/>
  <c r="G14" i="26" s="1"/>
  <c r="H12" i="26"/>
  <c r="H14" i="26" s="1"/>
  <c r="I12" i="26"/>
  <c r="I14" i="26" s="1"/>
  <c r="J34" i="26"/>
  <c r="J27" i="26"/>
  <c r="I27" i="25"/>
  <c r="I14" i="25"/>
  <c r="K10" i="25"/>
  <c r="H4" i="20" s="1"/>
  <c r="J29" i="25"/>
  <c r="G23" i="20" s="1"/>
  <c r="J30" i="25"/>
  <c r="G24" i="20" s="1"/>
  <c r="J31" i="25"/>
  <c r="G25" i="20" s="1"/>
  <c r="J25" i="25"/>
  <c r="G19" i="20" s="1"/>
  <c r="J26" i="25"/>
  <c r="G20" i="20" s="1"/>
  <c r="J12" i="25"/>
  <c r="J13" i="25"/>
  <c r="G7" i="20" s="1"/>
  <c r="C21" i="19"/>
  <c r="D21" i="19" s="1"/>
  <c r="I34" i="25"/>
  <c r="I24" i="24"/>
  <c r="D31" i="24"/>
  <c r="C21" i="29" s="1"/>
  <c r="D21" i="29" s="1"/>
  <c r="L21" i="29" s="1"/>
  <c r="D26" i="24"/>
  <c r="C16" i="29" s="1"/>
  <c r="D16" i="29" s="1"/>
  <c r="L16" i="29" s="1"/>
  <c r="D28" i="24"/>
  <c r="C18" i="29" s="1"/>
  <c r="D18" i="29" s="1"/>
  <c r="L18" i="29" s="1"/>
  <c r="D29" i="24"/>
  <c r="C19" i="29" s="1"/>
  <c r="D19" i="29" s="1"/>
  <c r="D30" i="24"/>
  <c r="C20" i="29" s="1"/>
  <c r="D20" i="29" s="1"/>
  <c r="L20" i="29" s="1"/>
  <c r="G53" i="18" l="1"/>
  <c r="H53" i="18" s="1"/>
  <c r="G6" i="20"/>
  <c r="G8" i="20" s="1"/>
  <c r="L14" i="29"/>
  <c r="AB13" i="33"/>
  <c r="E17" i="38" s="1"/>
  <c r="AC13" i="33"/>
  <c r="F17" i="38" s="1"/>
  <c r="Z13" i="33"/>
  <c r="C17" i="38" s="1"/>
  <c r="AD13" i="33"/>
  <c r="G17" i="38" s="1"/>
  <c r="AA13" i="33"/>
  <c r="D17" i="38" s="1"/>
  <c r="G21" i="20"/>
  <c r="G28" i="20"/>
  <c r="L13" i="34"/>
  <c r="L15" i="34" s="1"/>
  <c r="M12" i="34" s="1"/>
  <c r="H14" i="25"/>
  <c r="E6" i="20"/>
  <c r="E8" i="20" s="1"/>
  <c r="K19" i="32"/>
  <c r="K25" i="32"/>
  <c r="K22" i="32"/>
  <c r="K31" i="32"/>
  <c r="K13" i="32"/>
  <c r="K34" i="32"/>
  <c r="K30" i="32"/>
  <c r="K17" i="32"/>
  <c r="K21" i="32"/>
  <c r="K23" i="32"/>
  <c r="K20" i="32"/>
  <c r="K33" i="32"/>
  <c r="K11" i="32"/>
  <c r="K10" i="32"/>
  <c r="K28" i="32"/>
  <c r="K27" i="32"/>
  <c r="K24" i="32"/>
  <c r="K16" i="32"/>
  <c r="K12" i="32"/>
  <c r="K15" i="32"/>
  <c r="G14" i="25"/>
  <c r="D6" i="20"/>
  <c r="D8" i="20" s="1"/>
  <c r="M8" i="17"/>
  <c r="M10" i="17" s="1"/>
  <c r="L5" i="32"/>
  <c r="F6" i="20"/>
  <c r="F8" i="20" s="1"/>
  <c r="J35" i="32"/>
  <c r="J37" i="32" s="1"/>
  <c r="J40" i="32" s="1"/>
  <c r="J51" i="32" s="1"/>
  <c r="J53" i="32" s="1"/>
  <c r="G17" i="33" s="1"/>
  <c r="L34" i="29"/>
  <c r="L14" i="27"/>
  <c r="K34" i="28"/>
  <c r="G20" i="29"/>
  <c r="H20" i="29"/>
  <c r="I20" i="29"/>
  <c r="J20" i="29"/>
  <c r="K20" i="29"/>
  <c r="G19" i="29"/>
  <c r="H19" i="29"/>
  <c r="I19" i="29"/>
  <c r="J19" i="29"/>
  <c r="K19" i="29"/>
  <c r="L19" i="29"/>
  <c r="L22" i="29" s="1"/>
  <c r="G18" i="29"/>
  <c r="H18" i="29"/>
  <c r="I18" i="29"/>
  <c r="J18" i="29"/>
  <c r="K18" i="29"/>
  <c r="G16" i="29"/>
  <c r="H16" i="29"/>
  <c r="I16" i="29"/>
  <c r="J16" i="29"/>
  <c r="K16" i="29"/>
  <c r="M29" i="29"/>
  <c r="M26" i="29"/>
  <c r="M31" i="29"/>
  <c r="M16" i="29"/>
  <c r="M19" i="29"/>
  <c r="M25" i="29"/>
  <c r="M18" i="29"/>
  <c r="N10" i="29"/>
  <c r="M12" i="29"/>
  <c r="M21" i="29"/>
  <c r="M20" i="29"/>
  <c r="M13" i="29"/>
  <c r="M30" i="29"/>
  <c r="G21" i="29"/>
  <c r="H21" i="29"/>
  <c r="I21" i="29"/>
  <c r="J21" i="29"/>
  <c r="K21" i="29"/>
  <c r="L27" i="29"/>
  <c r="L29" i="28"/>
  <c r="L25" i="28"/>
  <c r="M10" i="28"/>
  <c r="L13" i="28"/>
  <c r="L26" i="28"/>
  <c r="L12" i="28"/>
  <c r="L31" i="28"/>
  <c r="L30" i="28"/>
  <c r="C19" i="27"/>
  <c r="D19" i="27" s="1"/>
  <c r="L19" i="27" s="1"/>
  <c r="C19" i="28"/>
  <c r="D19" i="28" s="1"/>
  <c r="L19" i="28" s="1"/>
  <c r="C18" i="27"/>
  <c r="D18" i="27" s="1"/>
  <c r="I18" i="27" s="1"/>
  <c r="C18" i="28"/>
  <c r="D18" i="28" s="1"/>
  <c r="L18" i="28" s="1"/>
  <c r="L27" i="27"/>
  <c r="K27" i="28"/>
  <c r="C20" i="27"/>
  <c r="D20" i="27" s="1"/>
  <c r="M20" i="27" s="1"/>
  <c r="C20" i="28"/>
  <c r="D20" i="28" s="1"/>
  <c r="C16" i="27"/>
  <c r="D16" i="27" s="1"/>
  <c r="H16" i="27" s="1"/>
  <c r="C16" i="28"/>
  <c r="D16" i="28" s="1"/>
  <c r="L16" i="28" s="1"/>
  <c r="C21" i="27"/>
  <c r="D21" i="27" s="1"/>
  <c r="H21" i="27" s="1"/>
  <c r="C21" i="28"/>
  <c r="D21" i="28" s="1"/>
  <c r="L21" i="28" s="1"/>
  <c r="K14" i="28"/>
  <c r="L34" i="27"/>
  <c r="M29" i="27"/>
  <c r="M31" i="27"/>
  <c r="M25" i="27"/>
  <c r="N10" i="27"/>
  <c r="M26" i="27"/>
  <c r="M12" i="27"/>
  <c r="M13" i="27"/>
  <c r="M30" i="27"/>
  <c r="I28" i="24"/>
  <c r="C18" i="25"/>
  <c r="D18" i="25" s="1"/>
  <c r="K18" i="25" s="1"/>
  <c r="C18" i="26"/>
  <c r="D18" i="26" s="1"/>
  <c r="K14" i="26"/>
  <c r="C16" i="26"/>
  <c r="D16" i="26" s="1"/>
  <c r="L16" i="26" s="1"/>
  <c r="C16" i="25"/>
  <c r="D16" i="25" s="1"/>
  <c r="K16" i="25" s="1"/>
  <c r="I31" i="24"/>
  <c r="C21" i="26"/>
  <c r="D21" i="26" s="1"/>
  <c r="C21" i="25"/>
  <c r="D21" i="25" s="1"/>
  <c r="L29" i="26"/>
  <c r="L30" i="26"/>
  <c r="M10" i="26"/>
  <c r="L25" i="26"/>
  <c r="L12" i="26"/>
  <c r="L26" i="26"/>
  <c r="L13" i="26"/>
  <c r="L31" i="26"/>
  <c r="I30" i="24"/>
  <c r="C20" i="26"/>
  <c r="D20" i="26" s="1"/>
  <c r="L20" i="26" s="1"/>
  <c r="C20" i="25"/>
  <c r="D20" i="25" s="1"/>
  <c r="K20" i="25" s="1"/>
  <c r="I29" i="24"/>
  <c r="C19" i="25"/>
  <c r="D19" i="25" s="1"/>
  <c r="K19" i="25" s="1"/>
  <c r="C19" i="26"/>
  <c r="D19" i="26" s="1"/>
  <c r="L19" i="26" s="1"/>
  <c r="K34" i="26"/>
  <c r="K27" i="26"/>
  <c r="J14" i="25"/>
  <c r="J27" i="25"/>
  <c r="J34" i="25"/>
  <c r="K30" i="25"/>
  <c r="H24" i="20" s="1"/>
  <c r="L10" i="25"/>
  <c r="I4" i="20" s="1"/>
  <c r="K31" i="25"/>
  <c r="H25" i="20" s="1"/>
  <c r="K26" i="25"/>
  <c r="H20" i="20" s="1"/>
  <c r="K12" i="25"/>
  <c r="H6" i="20" s="1"/>
  <c r="K25" i="25"/>
  <c r="H19" i="20" s="1"/>
  <c r="K29" i="25"/>
  <c r="H23" i="20" s="1"/>
  <c r="K13" i="25"/>
  <c r="H7" i="20" s="1"/>
  <c r="I26" i="24"/>
  <c r="D32" i="24"/>
  <c r="C22" i="29" s="1"/>
  <c r="D22" i="29" s="1"/>
  <c r="L23" i="29" l="1"/>
  <c r="C38" i="19"/>
  <c r="D38" i="19" s="1"/>
  <c r="M16" i="27"/>
  <c r="H28" i="20"/>
  <c r="H21" i="20"/>
  <c r="H8" i="20"/>
  <c r="M13" i="34"/>
  <c r="M15" i="34"/>
  <c r="N12" i="34" s="1"/>
  <c r="K35" i="32"/>
  <c r="K37" i="32" s="1"/>
  <c r="K40" i="32" s="1"/>
  <c r="K51" i="32" s="1"/>
  <c r="K53" i="32" s="1"/>
  <c r="H17" i="33" s="1"/>
  <c r="H18" i="27"/>
  <c r="L14" i="28"/>
  <c r="G18" i="27"/>
  <c r="J22" i="29"/>
  <c r="J23" i="29" s="1"/>
  <c r="J40" i="29" s="1"/>
  <c r="K21" i="27"/>
  <c r="L13" i="32"/>
  <c r="L28" i="32"/>
  <c r="L21" i="32"/>
  <c r="L23" i="32"/>
  <c r="L25" i="32"/>
  <c r="L34" i="32"/>
  <c r="L30" i="32"/>
  <c r="L10" i="32"/>
  <c r="L24" i="32"/>
  <c r="L19" i="32"/>
  <c r="L12" i="32"/>
  <c r="L20" i="32"/>
  <c r="L33" i="32"/>
  <c r="L16" i="32"/>
  <c r="L27" i="32"/>
  <c r="L17" i="32"/>
  <c r="L15" i="32"/>
  <c r="L11" i="32"/>
  <c r="L22" i="32"/>
  <c r="L31" i="32"/>
  <c r="G21" i="27"/>
  <c r="N8" i="17"/>
  <c r="N10" i="17" s="1"/>
  <c r="M5" i="32"/>
  <c r="M18" i="27"/>
  <c r="K16" i="27"/>
  <c r="J16" i="27"/>
  <c r="I16" i="27"/>
  <c r="G16" i="27"/>
  <c r="L16" i="27"/>
  <c r="K18" i="27"/>
  <c r="L27" i="28"/>
  <c r="K22" i="29"/>
  <c r="K23" i="29" s="1"/>
  <c r="K40" i="29" s="1"/>
  <c r="M27" i="29"/>
  <c r="I22" i="29"/>
  <c r="I23" i="29" s="1"/>
  <c r="I40" i="29" s="1"/>
  <c r="L40" i="29"/>
  <c r="H22" i="29"/>
  <c r="H23" i="29" s="1"/>
  <c r="H40" i="29" s="1"/>
  <c r="M22" i="29"/>
  <c r="G22" i="29"/>
  <c r="G23" i="29" s="1"/>
  <c r="G40" i="29" s="1"/>
  <c r="M14" i="29"/>
  <c r="O10" i="29"/>
  <c r="N26" i="29"/>
  <c r="N13" i="29"/>
  <c r="N25" i="29"/>
  <c r="N19" i="29"/>
  <c r="N12" i="29"/>
  <c r="N29" i="29"/>
  <c r="N21" i="29"/>
  <c r="N20" i="29"/>
  <c r="N18" i="29"/>
  <c r="N16" i="29"/>
  <c r="N31" i="29"/>
  <c r="N30" i="29"/>
  <c r="M34" i="29"/>
  <c r="G20" i="28"/>
  <c r="H20" i="28"/>
  <c r="I20" i="28"/>
  <c r="J20" i="28"/>
  <c r="K20" i="28"/>
  <c r="M21" i="27"/>
  <c r="L21" i="27"/>
  <c r="J20" i="27"/>
  <c r="M29" i="28"/>
  <c r="M30" i="28"/>
  <c r="M18" i="28"/>
  <c r="M25" i="28"/>
  <c r="M26" i="28"/>
  <c r="M19" i="28"/>
  <c r="N10" i="28"/>
  <c r="M20" i="28"/>
  <c r="M16" i="28"/>
  <c r="M12" i="28"/>
  <c r="M21" i="28"/>
  <c r="M31" i="28"/>
  <c r="M13" i="28"/>
  <c r="G19" i="27"/>
  <c r="G21" i="28"/>
  <c r="H21" i="28"/>
  <c r="I21" i="28"/>
  <c r="J21" i="28"/>
  <c r="K21" i="28"/>
  <c r="M19" i="27"/>
  <c r="H20" i="27"/>
  <c r="G18" i="28"/>
  <c r="H18" i="28"/>
  <c r="I18" i="28"/>
  <c r="J18" i="28"/>
  <c r="K18" i="28"/>
  <c r="K20" i="27"/>
  <c r="K19" i="27"/>
  <c r="J21" i="27"/>
  <c r="G20" i="27"/>
  <c r="L20" i="27"/>
  <c r="I20" i="27"/>
  <c r="J19" i="27"/>
  <c r="I21" i="27"/>
  <c r="L18" i="27"/>
  <c r="J18" i="27"/>
  <c r="G16" i="28"/>
  <c r="H16" i="28"/>
  <c r="I16" i="28"/>
  <c r="J16" i="28"/>
  <c r="K16" i="28"/>
  <c r="L34" i="28"/>
  <c r="H19" i="27"/>
  <c r="L20" i="28"/>
  <c r="L22" i="28" s="1"/>
  <c r="C22" i="27"/>
  <c r="D22" i="27" s="1"/>
  <c r="C22" i="28"/>
  <c r="D22" i="28" s="1"/>
  <c r="I19" i="27"/>
  <c r="G19" i="28"/>
  <c r="H19" i="28"/>
  <c r="I19" i="28"/>
  <c r="J19" i="28"/>
  <c r="K19" i="28"/>
  <c r="O10" i="27"/>
  <c r="N20" i="27"/>
  <c r="N16" i="27"/>
  <c r="N31" i="27"/>
  <c r="N13" i="27"/>
  <c r="N30" i="27"/>
  <c r="N18" i="27"/>
  <c r="N26" i="27"/>
  <c r="N12" i="27"/>
  <c r="N29" i="27"/>
  <c r="N21" i="27"/>
  <c r="N25" i="27"/>
  <c r="N19" i="27"/>
  <c r="M27" i="27"/>
  <c r="M14" i="27"/>
  <c r="M34" i="27"/>
  <c r="G19" i="25"/>
  <c r="H19" i="25"/>
  <c r="I19" i="25"/>
  <c r="J19" i="25"/>
  <c r="G16" i="26"/>
  <c r="H16" i="26"/>
  <c r="I16" i="26"/>
  <c r="J16" i="26"/>
  <c r="K16" i="26"/>
  <c r="C22" i="26"/>
  <c r="D22" i="26" s="1"/>
  <c r="C22" i="25"/>
  <c r="D22" i="25" s="1"/>
  <c r="L34" i="26"/>
  <c r="G21" i="25"/>
  <c r="I21" i="25"/>
  <c r="H21" i="25"/>
  <c r="J21" i="25"/>
  <c r="G18" i="26"/>
  <c r="H18" i="26"/>
  <c r="I18" i="26"/>
  <c r="J18" i="26"/>
  <c r="K18" i="26"/>
  <c r="G18" i="25"/>
  <c r="H18" i="25"/>
  <c r="I18" i="25"/>
  <c r="J18" i="25"/>
  <c r="G20" i="25"/>
  <c r="H20" i="25"/>
  <c r="I20" i="25"/>
  <c r="J20" i="25"/>
  <c r="G20" i="26"/>
  <c r="H20" i="26"/>
  <c r="I20" i="26"/>
  <c r="J20" i="26"/>
  <c r="K20" i="26"/>
  <c r="K21" i="25"/>
  <c r="L14" i="26"/>
  <c r="L18" i="26"/>
  <c r="G21" i="26"/>
  <c r="H21" i="26"/>
  <c r="I21" i="26"/>
  <c r="J21" i="26"/>
  <c r="K21" i="26"/>
  <c r="L21" i="26"/>
  <c r="L27" i="26"/>
  <c r="G19" i="26"/>
  <c r="H19" i="26"/>
  <c r="I19" i="26"/>
  <c r="J19" i="26"/>
  <c r="K19" i="26"/>
  <c r="M21" i="26"/>
  <c r="M13" i="26"/>
  <c r="M25" i="26"/>
  <c r="M30" i="26"/>
  <c r="N10" i="26"/>
  <c r="M18" i="26"/>
  <c r="M26" i="26"/>
  <c r="M20" i="26"/>
  <c r="M29" i="26"/>
  <c r="M16" i="26"/>
  <c r="M12" i="26"/>
  <c r="M31" i="26"/>
  <c r="M19" i="26"/>
  <c r="G16" i="25"/>
  <c r="H16" i="25"/>
  <c r="I16" i="25"/>
  <c r="J16" i="25"/>
  <c r="K27" i="25"/>
  <c r="K34" i="25"/>
  <c r="K14" i="25"/>
  <c r="L16" i="25"/>
  <c r="L21" i="25"/>
  <c r="L13" i="25"/>
  <c r="I7" i="20" s="1"/>
  <c r="L31" i="25"/>
  <c r="I25" i="20" s="1"/>
  <c r="L18" i="25"/>
  <c r="M10" i="25"/>
  <c r="J4" i="20" s="1"/>
  <c r="L25" i="25"/>
  <c r="I19" i="20" s="1"/>
  <c r="L12" i="25"/>
  <c r="I6" i="20" s="1"/>
  <c r="L20" i="25"/>
  <c r="L29" i="25"/>
  <c r="I23" i="20" s="1"/>
  <c r="L19" i="25"/>
  <c r="I13" i="20" s="1"/>
  <c r="L26" i="25"/>
  <c r="I20" i="20" s="1"/>
  <c r="L30" i="25"/>
  <c r="I24" i="20" s="1"/>
  <c r="D34" i="24"/>
  <c r="C23" i="29" s="1"/>
  <c r="D23" i="29" s="1"/>
  <c r="I32" i="24"/>
  <c r="H13" i="20" l="1"/>
  <c r="E14" i="20"/>
  <c r="H14" i="20"/>
  <c r="H10" i="20"/>
  <c r="F13" i="20"/>
  <c r="L23" i="28"/>
  <c r="L40" i="28" s="1"/>
  <c r="G10" i="20"/>
  <c r="I10" i="20"/>
  <c r="H15" i="20"/>
  <c r="H12" i="20"/>
  <c r="E10" i="20"/>
  <c r="G14" i="20"/>
  <c r="D15" i="20"/>
  <c r="F14" i="20"/>
  <c r="I8" i="20"/>
  <c r="I28" i="20"/>
  <c r="N13" i="34"/>
  <c r="N15" i="34"/>
  <c r="O12" i="34" s="1"/>
  <c r="I21" i="20"/>
  <c r="G13" i="20"/>
  <c r="E13" i="20"/>
  <c r="M22" i="32"/>
  <c r="M13" i="32"/>
  <c r="M19" i="32"/>
  <c r="M34" i="32"/>
  <c r="M30" i="32"/>
  <c r="M17" i="32"/>
  <c r="M21" i="32"/>
  <c r="M24" i="32"/>
  <c r="M16" i="32"/>
  <c r="M10" i="32"/>
  <c r="M27" i="32"/>
  <c r="M23" i="32"/>
  <c r="M11" i="32"/>
  <c r="M12" i="32"/>
  <c r="M25" i="32"/>
  <c r="M33" i="32"/>
  <c r="M31" i="32"/>
  <c r="M28" i="32"/>
  <c r="M20" i="32"/>
  <c r="M15" i="32"/>
  <c r="O8" i="17"/>
  <c r="O10" i="17" s="1"/>
  <c r="N5" i="32"/>
  <c r="L35" i="32"/>
  <c r="L37" i="32"/>
  <c r="L40" i="32" s="1"/>
  <c r="L51" i="32" s="1"/>
  <c r="L53" i="32" s="1"/>
  <c r="I17" i="33" s="1"/>
  <c r="F10" i="20"/>
  <c r="G12" i="20"/>
  <c r="D13" i="20"/>
  <c r="F12" i="20"/>
  <c r="G15" i="20"/>
  <c r="K22" i="27"/>
  <c r="K23" i="27" s="1"/>
  <c r="K40" i="27" s="1"/>
  <c r="M22" i="27"/>
  <c r="M23" i="27" s="1"/>
  <c r="M40" i="27" s="1"/>
  <c r="I12" i="20"/>
  <c r="D14" i="20"/>
  <c r="D10" i="20"/>
  <c r="E12" i="20"/>
  <c r="E15" i="20"/>
  <c r="H22" i="27"/>
  <c r="H23" i="27" s="1"/>
  <c r="H40" i="27" s="1"/>
  <c r="L22" i="27"/>
  <c r="L23" i="27" s="1"/>
  <c r="L40" i="27" s="1"/>
  <c r="K22" i="25"/>
  <c r="K23" i="25" s="1"/>
  <c r="K40" i="25" s="1"/>
  <c r="I15" i="20"/>
  <c r="I14" i="20"/>
  <c r="D12" i="20"/>
  <c r="F15" i="20"/>
  <c r="M14" i="28"/>
  <c r="J22" i="27"/>
  <c r="J23" i="27" s="1"/>
  <c r="J40" i="27" s="1"/>
  <c r="N27" i="27"/>
  <c r="I22" i="27"/>
  <c r="I23" i="27" s="1"/>
  <c r="I40" i="27" s="1"/>
  <c r="M27" i="28"/>
  <c r="M23" i="29"/>
  <c r="M40" i="29" s="1"/>
  <c r="N34" i="29"/>
  <c r="N22" i="29"/>
  <c r="K22" i="28"/>
  <c r="K23" i="28" s="1"/>
  <c r="K40" i="28" s="1"/>
  <c r="O21" i="29"/>
  <c r="O25" i="29"/>
  <c r="O18" i="29"/>
  <c r="P10" i="29"/>
  <c r="O13" i="29"/>
  <c r="O19" i="29"/>
  <c r="O31" i="29"/>
  <c r="O16" i="29"/>
  <c r="O29" i="29"/>
  <c r="O26" i="29"/>
  <c r="O20" i="29"/>
  <c r="O12" i="29"/>
  <c r="O30" i="29"/>
  <c r="J22" i="28"/>
  <c r="J23" i="28" s="1"/>
  <c r="J40" i="28" s="1"/>
  <c r="M22" i="28"/>
  <c r="N14" i="29"/>
  <c r="G22" i="27"/>
  <c r="G23" i="27" s="1"/>
  <c r="G40" i="27" s="1"/>
  <c r="N27" i="29"/>
  <c r="I22" i="28"/>
  <c r="I23" i="28" s="1"/>
  <c r="I40" i="28" s="1"/>
  <c r="H22" i="28"/>
  <c r="H23" i="28" s="1"/>
  <c r="H40" i="28" s="1"/>
  <c r="G22" i="28"/>
  <c r="G23" i="28" s="1"/>
  <c r="G40" i="28" s="1"/>
  <c r="M34" i="28"/>
  <c r="C23" i="27"/>
  <c r="D23" i="27" s="1"/>
  <c r="C23" i="28"/>
  <c r="D23" i="28" s="1"/>
  <c r="O10" i="28"/>
  <c r="N20" i="28"/>
  <c r="N12" i="28"/>
  <c r="N21" i="28"/>
  <c r="N25" i="28"/>
  <c r="N19" i="28"/>
  <c r="N30" i="28"/>
  <c r="N13" i="28"/>
  <c r="N26" i="28"/>
  <c r="N18" i="28"/>
  <c r="N16" i="28"/>
  <c r="N31" i="28"/>
  <c r="N29" i="28"/>
  <c r="M22" i="26"/>
  <c r="N22" i="27"/>
  <c r="H22" i="26"/>
  <c r="H23" i="26" s="1"/>
  <c r="H40" i="26" s="1"/>
  <c r="N34" i="27"/>
  <c r="L22" i="26"/>
  <c r="L23" i="26" s="1"/>
  <c r="L40" i="26" s="1"/>
  <c r="N14" i="27"/>
  <c r="O25" i="27"/>
  <c r="O18" i="27"/>
  <c r="P10" i="27"/>
  <c r="O21" i="27"/>
  <c r="O13" i="27"/>
  <c r="O31" i="27"/>
  <c r="O29" i="27"/>
  <c r="O20" i="27"/>
  <c r="O12" i="27"/>
  <c r="O19" i="27"/>
  <c r="O30" i="27"/>
  <c r="O26" i="27"/>
  <c r="O16" i="27"/>
  <c r="M14" i="26"/>
  <c r="M27" i="26"/>
  <c r="C23" i="26"/>
  <c r="D23" i="26" s="1"/>
  <c r="C23" i="25"/>
  <c r="D23" i="25" s="1"/>
  <c r="I22" i="26"/>
  <c r="I23" i="26" s="1"/>
  <c r="I40" i="26" s="1"/>
  <c r="J22" i="25"/>
  <c r="J23" i="25" s="1"/>
  <c r="J40" i="25" s="1"/>
  <c r="M34" i="26"/>
  <c r="G22" i="26"/>
  <c r="G23" i="26" s="1"/>
  <c r="G40" i="26" s="1"/>
  <c r="G22" i="25"/>
  <c r="G23" i="25" s="1"/>
  <c r="G40" i="25" s="1"/>
  <c r="K22" i="26"/>
  <c r="K23" i="26" s="1"/>
  <c r="K40" i="26" s="1"/>
  <c r="I22" i="25"/>
  <c r="I23" i="25" s="1"/>
  <c r="I40" i="25" s="1"/>
  <c r="H22" i="25"/>
  <c r="H23" i="25" s="1"/>
  <c r="H40" i="25" s="1"/>
  <c r="O10" i="26"/>
  <c r="N20" i="26"/>
  <c r="N12" i="26"/>
  <c r="N18" i="26"/>
  <c r="N31" i="26"/>
  <c r="N29" i="26"/>
  <c r="N26" i="26"/>
  <c r="N30" i="26"/>
  <c r="N13" i="26"/>
  <c r="N21" i="26"/>
  <c r="N16" i="26"/>
  <c r="N19" i="26"/>
  <c r="N25" i="26"/>
  <c r="J22" i="26"/>
  <c r="J23" i="26" s="1"/>
  <c r="J40" i="26" s="1"/>
  <c r="M29" i="25"/>
  <c r="J23" i="20" s="1"/>
  <c r="M18" i="25"/>
  <c r="J12" i="20" s="1"/>
  <c r="N10" i="25"/>
  <c r="K4" i="20" s="1"/>
  <c r="M25" i="25"/>
  <c r="J19" i="20" s="1"/>
  <c r="M26" i="25"/>
  <c r="J20" i="20" s="1"/>
  <c r="M16" i="25"/>
  <c r="J10" i="20" s="1"/>
  <c r="M21" i="25"/>
  <c r="J15" i="20" s="1"/>
  <c r="M19" i="25"/>
  <c r="J13" i="20" s="1"/>
  <c r="M31" i="25"/>
  <c r="J25" i="20" s="1"/>
  <c r="M12" i="25"/>
  <c r="J6" i="20" s="1"/>
  <c r="M30" i="25"/>
  <c r="J24" i="20" s="1"/>
  <c r="M13" i="25"/>
  <c r="J7" i="20" s="1"/>
  <c r="M20" i="25"/>
  <c r="J14" i="20" s="1"/>
  <c r="L34" i="25"/>
  <c r="L14" i="25"/>
  <c r="L22" i="25"/>
  <c r="L27" i="25"/>
  <c r="I34" i="24"/>
  <c r="D51" i="24"/>
  <c r="C40" i="29" s="1"/>
  <c r="D40" i="29" s="1"/>
  <c r="H16" i="20" l="1"/>
  <c r="H17" i="20" s="1"/>
  <c r="H34" i="20" s="1"/>
  <c r="N23" i="29"/>
  <c r="N40" i="29" s="1"/>
  <c r="M23" i="28"/>
  <c r="M40" i="28" s="1"/>
  <c r="J8" i="20"/>
  <c r="F16" i="20"/>
  <c r="F17" i="20" s="1"/>
  <c r="F34" i="20" s="1"/>
  <c r="J16" i="20"/>
  <c r="J21" i="20"/>
  <c r="E16" i="20"/>
  <c r="E17" i="20" s="1"/>
  <c r="E34" i="20" s="1"/>
  <c r="G16" i="20"/>
  <c r="G17" i="20" s="1"/>
  <c r="G34" i="20" s="1"/>
  <c r="J28" i="20"/>
  <c r="I16" i="20"/>
  <c r="I17" i="20" s="1"/>
  <c r="I34" i="20" s="1"/>
  <c r="O13" i="34"/>
  <c r="O15" i="34" s="1"/>
  <c r="P12" i="34" s="1"/>
  <c r="D16" i="20"/>
  <c r="D17" i="20" s="1"/>
  <c r="D34" i="20" s="1"/>
  <c r="M35" i="32"/>
  <c r="M37" i="32"/>
  <c r="M40" i="32" s="1"/>
  <c r="M51" i="32" s="1"/>
  <c r="M53" i="32" s="1"/>
  <c r="J17" i="33" s="1"/>
  <c r="N27" i="28"/>
  <c r="N10" i="32"/>
  <c r="N17" i="32"/>
  <c r="N21" i="32"/>
  <c r="N24" i="32"/>
  <c r="N33" i="32"/>
  <c r="N28" i="32"/>
  <c r="N34" i="32"/>
  <c r="N12" i="32"/>
  <c r="N16" i="32"/>
  <c r="N20" i="32"/>
  <c r="N31" i="32"/>
  <c r="N23" i="32"/>
  <c r="N22" i="32"/>
  <c r="N25" i="32"/>
  <c r="N30" i="32"/>
  <c r="N27" i="32"/>
  <c r="N13" i="32"/>
  <c r="N15" i="32"/>
  <c r="N11" i="32"/>
  <c r="N19" i="32"/>
  <c r="P8" i="17"/>
  <c r="P10" i="17" s="1"/>
  <c r="O5" i="32"/>
  <c r="O14" i="29"/>
  <c r="P25" i="29"/>
  <c r="P18" i="29"/>
  <c r="Q10" i="29"/>
  <c r="P26" i="29"/>
  <c r="P21" i="29"/>
  <c r="P13" i="29"/>
  <c r="P29" i="29"/>
  <c r="P30" i="29"/>
  <c r="P31" i="29"/>
  <c r="P20" i="29"/>
  <c r="P19" i="29"/>
  <c r="P12" i="29"/>
  <c r="P16" i="29"/>
  <c r="O27" i="29"/>
  <c r="O34" i="29"/>
  <c r="O22" i="29"/>
  <c r="N23" i="27"/>
  <c r="N40" i="27" s="1"/>
  <c r="C40" i="27"/>
  <c r="D40" i="27" s="1"/>
  <c r="C40" i="28"/>
  <c r="D40" i="28" s="1"/>
  <c r="O34" i="27"/>
  <c r="N22" i="28"/>
  <c r="N14" i="28"/>
  <c r="M23" i="26"/>
  <c r="M40" i="26" s="1"/>
  <c r="N34" i="28"/>
  <c r="O25" i="28"/>
  <c r="O18" i="28"/>
  <c r="P10" i="28"/>
  <c r="O29" i="28"/>
  <c r="O21" i="28"/>
  <c r="O13" i="28"/>
  <c r="O30" i="28"/>
  <c r="O12" i="28"/>
  <c r="O19" i="28"/>
  <c r="O16" i="28"/>
  <c r="O31" i="28"/>
  <c r="O20" i="28"/>
  <c r="O26" i="28"/>
  <c r="O22" i="27"/>
  <c r="P29" i="27"/>
  <c r="P25" i="27"/>
  <c r="P18" i="27"/>
  <c r="Q10" i="27"/>
  <c r="P26" i="27"/>
  <c r="P19" i="27"/>
  <c r="P21" i="27"/>
  <c r="P13" i="27"/>
  <c r="P20" i="27"/>
  <c r="P12" i="27"/>
  <c r="P30" i="27"/>
  <c r="P16" i="27"/>
  <c r="P31" i="27"/>
  <c r="O14" i="27"/>
  <c r="O27" i="27"/>
  <c r="N22" i="26"/>
  <c r="N14" i="26"/>
  <c r="O30" i="26"/>
  <c r="O25" i="26"/>
  <c r="O18" i="26"/>
  <c r="P10" i="26"/>
  <c r="O21" i="26"/>
  <c r="O20" i="26"/>
  <c r="O13" i="26"/>
  <c r="O26" i="26"/>
  <c r="O29" i="26"/>
  <c r="O16" i="26"/>
  <c r="O19" i="26"/>
  <c r="O12" i="26"/>
  <c r="O31" i="26"/>
  <c r="I51" i="24"/>
  <c r="C40" i="25"/>
  <c r="D40" i="25" s="1"/>
  <c r="C40" i="26"/>
  <c r="D40" i="26" s="1"/>
  <c r="N34" i="26"/>
  <c r="N27" i="26"/>
  <c r="M34" i="25"/>
  <c r="M27" i="25"/>
  <c r="L23" i="25"/>
  <c r="L40" i="25" s="1"/>
  <c r="M14" i="25"/>
  <c r="M22" i="25"/>
  <c r="O10" i="25"/>
  <c r="L4" i="20" s="1"/>
  <c r="N20" i="25"/>
  <c r="K14" i="20" s="1"/>
  <c r="N26" i="25"/>
  <c r="K20" i="20" s="1"/>
  <c r="N21" i="25"/>
  <c r="K15" i="20" s="1"/>
  <c r="N30" i="25"/>
  <c r="K24" i="20" s="1"/>
  <c r="N29" i="25"/>
  <c r="K23" i="20" s="1"/>
  <c r="N25" i="25"/>
  <c r="K19" i="20" s="1"/>
  <c r="N18" i="25"/>
  <c r="K12" i="20" s="1"/>
  <c r="N13" i="25"/>
  <c r="K7" i="20" s="1"/>
  <c r="N19" i="25"/>
  <c r="K13" i="20" s="1"/>
  <c r="N12" i="25"/>
  <c r="K6" i="20" s="1"/>
  <c r="N31" i="25"/>
  <c r="K25" i="20" s="1"/>
  <c r="N16" i="25"/>
  <c r="K10" i="20" s="1"/>
  <c r="P22" i="29" l="1"/>
  <c r="J17" i="20"/>
  <c r="J34" i="20" s="1"/>
  <c r="K21" i="20"/>
  <c r="K28" i="20"/>
  <c r="P13" i="34"/>
  <c r="P15" i="34"/>
  <c r="Q12" i="34" s="1"/>
  <c r="N23" i="26"/>
  <c r="N40" i="26" s="1"/>
  <c r="O34" i="28"/>
  <c r="N35" i="32"/>
  <c r="N37" i="32"/>
  <c r="N40" i="32" s="1"/>
  <c r="N51" i="32" s="1"/>
  <c r="N53" i="32" s="1"/>
  <c r="K17" i="33" s="1"/>
  <c r="K16" i="20"/>
  <c r="K8" i="20"/>
  <c r="O10" i="32"/>
  <c r="O22" i="32"/>
  <c r="O19" i="32"/>
  <c r="O25" i="32"/>
  <c r="O13" i="32"/>
  <c r="O17" i="32"/>
  <c r="O30" i="32"/>
  <c r="O24" i="32"/>
  <c r="O21" i="32"/>
  <c r="O27" i="32"/>
  <c r="O23" i="32"/>
  <c r="O11" i="32"/>
  <c r="O34" i="32"/>
  <c r="O15" i="32"/>
  <c r="O12" i="32"/>
  <c r="O33" i="32"/>
  <c r="O31" i="32"/>
  <c r="O28" i="32"/>
  <c r="O20" i="32"/>
  <c r="O16" i="32"/>
  <c r="Q8" i="17"/>
  <c r="Q10" i="17" s="1"/>
  <c r="P5" i="32"/>
  <c r="O14" i="26"/>
  <c r="O27" i="26"/>
  <c r="O23" i="27"/>
  <c r="O40" i="27" s="1"/>
  <c r="P14" i="27"/>
  <c r="O14" i="28"/>
  <c r="P14" i="29"/>
  <c r="R10" i="29"/>
  <c r="Q30" i="29"/>
  <c r="Q29" i="29"/>
  <c r="Q21" i="29"/>
  <c r="Q12" i="29"/>
  <c r="Q13" i="29"/>
  <c r="Q18" i="29"/>
  <c r="Q31" i="29"/>
  <c r="Q26" i="29"/>
  <c r="Q25" i="29"/>
  <c r="Q16" i="29"/>
  <c r="Q19" i="29"/>
  <c r="Q20" i="29"/>
  <c r="P27" i="29"/>
  <c r="N23" i="28"/>
  <c r="N40" i="28" s="1"/>
  <c r="P34" i="29"/>
  <c r="O23" i="29"/>
  <c r="O40" i="29" s="1"/>
  <c r="P21" i="28"/>
  <c r="P25" i="28"/>
  <c r="P18" i="28"/>
  <c r="Q10" i="28"/>
  <c r="P13" i="28"/>
  <c r="P29" i="28"/>
  <c r="P19" i="28"/>
  <c r="P16" i="28"/>
  <c r="P12" i="28"/>
  <c r="P31" i="28"/>
  <c r="P20" i="28"/>
  <c r="P26" i="28"/>
  <c r="P30" i="28"/>
  <c r="O22" i="28"/>
  <c r="O27" i="28"/>
  <c r="P22" i="27"/>
  <c r="Q25" i="27"/>
  <c r="Q18" i="27"/>
  <c r="R10" i="27"/>
  <c r="Q29" i="27"/>
  <c r="Q30" i="27"/>
  <c r="Q31" i="27"/>
  <c r="Q20" i="27"/>
  <c r="Q12" i="27"/>
  <c r="Q21" i="27"/>
  <c r="Q16" i="27"/>
  <c r="Q13" i="27"/>
  <c r="Q26" i="27"/>
  <c r="Q19" i="27"/>
  <c r="P27" i="27"/>
  <c r="P34" i="27"/>
  <c r="P25" i="26"/>
  <c r="P18" i="26"/>
  <c r="Q10" i="26"/>
  <c r="P29" i="26"/>
  <c r="P13" i="26"/>
  <c r="P21" i="26"/>
  <c r="P31" i="26"/>
  <c r="P26" i="26"/>
  <c r="P12" i="26"/>
  <c r="P19" i="26"/>
  <c r="P30" i="26"/>
  <c r="P16" i="26"/>
  <c r="P20" i="26"/>
  <c r="O34" i="26"/>
  <c r="O22" i="26"/>
  <c r="N14" i="25"/>
  <c r="O16" i="25"/>
  <c r="L10" i="20" s="1"/>
  <c r="P10" i="25"/>
  <c r="M4" i="20" s="1"/>
  <c r="O20" i="25"/>
  <c r="L14" i="20" s="1"/>
  <c r="O21" i="25"/>
  <c r="L15" i="20" s="1"/>
  <c r="O13" i="25"/>
  <c r="L7" i="20" s="1"/>
  <c r="O12" i="25"/>
  <c r="L6" i="20" s="1"/>
  <c r="O19" i="25"/>
  <c r="L13" i="20" s="1"/>
  <c r="O25" i="25"/>
  <c r="L19" i="20" s="1"/>
  <c r="O31" i="25"/>
  <c r="L25" i="20" s="1"/>
  <c r="O26" i="25"/>
  <c r="L20" i="20" s="1"/>
  <c r="O29" i="25"/>
  <c r="L23" i="20" s="1"/>
  <c r="O18" i="25"/>
  <c r="L12" i="20" s="1"/>
  <c r="O30" i="25"/>
  <c r="L24" i="20" s="1"/>
  <c r="N27" i="25"/>
  <c r="M23" i="25"/>
  <c r="M40" i="25" s="1"/>
  <c r="N34" i="25"/>
  <c r="N22" i="25"/>
  <c r="O23" i="28" l="1"/>
  <c r="P23" i="29"/>
  <c r="P40" i="29" s="1"/>
  <c r="L21" i="20"/>
  <c r="L8" i="20"/>
  <c r="L16" i="20"/>
  <c r="K17" i="20"/>
  <c r="K34" i="20" s="1"/>
  <c r="Q13" i="34"/>
  <c r="Q15" i="34" s="1"/>
  <c r="R12" i="34" s="1"/>
  <c r="O35" i="32"/>
  <c r="O37" i="32"/>
  <c r="O40" i="32" s="1"/>
  <c r="O51" i="32" s="1"/>
  <c r="O53" i="32" s="1"/>
  <c r="L17" i="33" s="1"/>
  <c r="P12" i="32"/>
  <c r="P20" i="32"/>
  <c r="P16" i="32"/>
  <c r="P24" i="32"/>
  <c r="P22" i="32"/>
  <c r="P33" i="32"/>
  <c r="P23" i="32"/>
  <c r="P17" i="32"/>
  <c r="P11" i="32"/>
  <c r="P13" i="32"/>
  <c r="P30" i="32"/>
  <c r="P27" i="32"/>
  <c r="P31" i="32"/>
  <c r="P25" i="32"/>
  <c r="P21" i="32"/>
  <c r="P34" i="32"/>
  <c r="P28" i="32"/>
  <c r="P15" i="32"/>
  <c r="P19" i="32"/>
  <c r="P10" i="32"/>
  <c r="R8" i="17"/>
  <c r="R10" i="17" s="1"/>
  <c r="Q5" i="32"/>
  <c r="L28" i="20"/>
  <c r="O23" i="26"/>
  <c r="O40" i="26" s="1"/>
  <c r="P23" i="27"/>
  <c r="P40" i="27" s="1"/>
  <c r="Q14" i="29"/>
  <c r="Q22" i="29"/>
  <c r="Q34" i="29"/>
  <c r="Q27" i="29"/>
  <c r="R25" i="29"/>
  <c r="R18" i="29"/>
  <c r="S10" i="29"/>
  <c r="R31" i="29"/>
  <c r="R21" i="29"/>
  <c r="R13" i="29"/>
  <c r="R16" i="29"/>
  <c r="R30" i="29"/>
  <c r="R29" i="29"/>
  <c r="R19" i="29"/>
  <c r="R12" i="29"/>
  <c r="R26" i="29"/>
  <c r="R20" i="29"/>
  <c r="O40" i="28"/>
  <c r="P34" i="28"/>
  <c r="Q25" i="28"/>
  <c r="Q18" i="28"/>
  <c r="R10" i="28"/>
  <c r="Q29" i="28"/>
  <c r="Q30" i="28"/>
  <c r="Q31" i="28"/>
  <c r="Q21" i="28"/>
  <c r="Q16" i="28"/>
  <c r="Q26" i="28"/>
  <c r="Q19" i="28"/>
  <c r="Q20" i="28"/>
  <c r="Q12" i="28"/>
  <c r="Q13" i="28"/>
  <c r="P27" i="28"/>
  <c r="P14" i="28"/>
  <c r="P22" i="28"/>
  <c r="Q34" i="27"/>
  <c r="R25" i="27"/>
  <c r="R18" i="27"/>
  <c r="S10" i="27"/>
  <c r="R21" i="27"/>
  <c r="R13" i="27"/>
  <c r="R30" i="27"/>
  <c r="R31" i="27"/>
  <c r="R16" i="27"/>
  <c r="R29" i="27"/>
  <c r="R20" i="27"/>
  <c r="R26" i="27"/>
  <c r="R19" i="27"/>
  <c r="R12" i="27"/>
  <c r="Q22" i="27"/>
  <c r="Q27" i="27"/>
  <c r="Q14" i="27"/>
  <c r="Q25" i="26"/>
  <c r="R10" i="26"/>
  <c r="Q29" i="26"/>
  <c r="Q30" i="26"/>
  <c r="Q12" i="26"/>
  <c r="Q19" i="26"/>
  <c r="Q20" i="26"/>
  <c r="Q13" i="26"/>
  <c r="Q31" i="26"/>
  <c r="Q21" i="26"/>
  <c r="Q18" i="26"/>
  <c r="Q16" i="26"/>
  <c r="Q26" i="26"/>
  <c r="P22" i="26"/>
  <c r="P34" i="26"/>
  <c r="P14" i="26"/>
  <c r="P27" i="26"/>
  <c r="N23" i="25"/>
  <c r="N40" i="25" s="1"/>
  <c r="O14" i="25"/>
  <c r="O34" i="25"/>
  <c r="O22" i="25"/>
  <c r="P31" i="25"/>
  <c r="M25" i="20" s="1"/>
  <c r="P16" i="25"/>
  <c r="M10" i="20" s="1"/>
  <c r="Q10" i="25"/>
  <c r="N4" i="20" s="1"/>
  <c r="P21" i="25"/>
  <c r="M15" i="20" s="1"/>
  <c r="P13" i="25"/>
  <c r="M7" i="20" s="1"/>
  <c r="P29" i="25"/>
  <c r="M23" i="20" s="1"/>
  <c r="P12" i="25"/>
  <c r="M6" i="20" s="1"/>
  <c r="P30" i="25"/>
  <c r="M24" i="20" s="1"/>
  <c r="P25" i="25"/>
  <c r="M19" i="20" s="1"/>
  <c r="P19" i="25"/>
  <c r="M13" i="20" s="1"/>
  <c r="P26" i="25"/>
  <c r="M20" i="20" s="1"/>
  <c r="P18" i="25"/>
  <c r="M12" i="20" s="1"/>
  <c r="P20" i="25"/>
  <c r="M14" i="20" s="1"/>
  <c r="O27" i="25"/>
  <c r="L17" i="20" l="1"/>
  <c r="L34" i="20" s="1"/>
  <c r="M28" i="20"/>
  <c r="M16" i="20"/>
  <c r="M8" i="20"/>
  <c r="R13" i="34"/>
  <c r="R15" i="34"/>
  <c r="S12" i="34" s="1"/>
  <c r="Q28" i="32"/>
  <c r="Q25" i="32"/>
  <c r="Q12" i="32"/>
  <c r="Q13" i="32"/>
  <c r="Q30" i="32"/>
  <c r="Q24" i="32"/>
  <c r="Q21" i="32"/>
  <c r="Q34" i="32"/>
  <c r="Q17" i="32"/>
  <c r="Q11" i="32"/>
  <c r="Q27" i="32"/>
  <c r="Q23" i="32"/>
  <c r="Q15" i="32"/>
  <c r="Q33" i="32"/>
  <c r="Q10" i="32"/>
  <c r="Q31" i="32"/>
  <c r="Q19" i="32"/>
  <c r="Q16" i="32"/>
  <c r="Q22" i="32"/>
  <c r="Q20" i="32"/>
  <c r="S8" i="17"/>
  <c r="S10" i="17" s="1"/>
  <c r="R5" i="32"/>
  <c r="P35" i="32"/>
  <c r="P37" i="32" s="1"/>
  <c r="P40" i="32" s="1"/>
  <c r="P51" i="32" s="1"/>
  <c r="P53" i="32" s="1"/>
  <c r="M17" i="33" s="1"/>
  <c r="M21" i="20"/>
  <c r="P23" i="28"/>
  <c r="P40" i="28" s="1"/>
  <c r="R34" i="29"/>
  <c r="R27" i="29"/>
  <c r="Q14" i="26"/>
  <c r="R22" i="29"/>
  <c r="Q14" i="28"/>
  <c r="R14" i="29"/>
  <c r="S21" i="29"/>
  <c r="S13" i="29"/>
  <c r="S29" i="29"/>
  <c r="S31" i="29"/>
  <c r="S16" i="29"/>
  <c r="S18" i="29"/>
  <c r="T10" i="29"/>
  <c r="S26" i="29"/>
  <c r="S25" i="29"/>
  <c r="S30" i="29"/>
  <c r="S19" i="29"/>
  <c r="S20" i="29"/>
  <c r="S12" i="29"/>
  <c r="Q23" i="29"/>
  <c r="Q40" i="29" s="1"/>
  <c r="R25" i="28"/>
  <c r="R18" i="28"/>
  <c r="S10" i="28"/>
  <c r="R30" i="28"/>
  <c r="R21" i="28"/>
  <c r="R31" i="28"/>
  <c r="R16" i="28"/>
  <c r="R29" i="28"/>
  <c r="R13" i="28"/>
  <c r="R26" i="28"/>
  <c r="R12" i="28"/>
  <c r="R14" i="28" s="1"/>
  <c r="R20" i="28"/>
  <c r="R19" i="28"/>
  <c r="Q34" i="28"/>
  <c r="Q27" i="28"/>
  <c r="Q22" i="28"/>
  <c r="R14" i="27"/>
  <c r="S21" i="27"/>
  <c r="S13" i="27"/>
  <c r="S29" i="27"/>
  <c r="S31" i="27"/>
  <c r="S16" i="27"/>
  <c r="S25" i="27"/>
  <c r="S18" i="27"/>
  <c r="T10" i="27"/>
  <c r="S26" i="27"/>
  <c r="S12" i="27"/>
  <c r="S30" i="27"/>
  <c r="S19" i="27"/>
  <c r="S20" i="27"/>
  <c r="R34" i="27"/>
  <c r="R27" i="27"/>
  <c r="R22" i="27"/>
  <c r="Q23" i="27"/>
  <c r="Q40" i="27" s="1"/>
  <c r="Q22" i="26"/>
  <c r="Q34" i="26"/>
  <c r="R25" i="26"/>
  <c r="R18" i="26"/>
  <c r="S10" i="26"/>
  <c r="R30" i="26"/>
  <c r="R21" i="26"/>
  <c r="R31" i="26"/>
  <c r="R16" i="26"/>
  <c r="R20" i="26"/>
  <c r="R29" i="26"/>
  <c r="R13" i="26"/>
  <c r="R26" i="26"/>
  <c r="R12" i="26"/>
  <c r="R19" i="26"/>
  <c r="Q27" i="26"/>
  <c r="P23" i="26"/>
  <c r="P40" i="26" s="1"/>
  <c r="O23" i="25"/>
  <c r="O40" i="25" s="1"/>
  <c r="P14" i="25"/>
  <c r="R10" i="25"/>
  <c r="O4" i="20" s="1"/>
  <c r="Q21" i="25"/>
  <c r="N15" i="20" s="1"/>
  <c r="Q31" i="25"/>
  <c r="N25" i="20" s="1"/>
  <c r="Q16" i="25"/>
  <c r="N10" i="20" s="1"/>
  <c r="Q13" i="25"/>
  <c r="N7" i="20" s="1"/>
  <c r="Q29" i="25"/>
  <c r="N23" i="20" s="1"/>
  <c r="Q30" i="25"/>
  <c r="N24" i="20" s="1"/>
  <c r="Q20" i="25"/>
  <c r="N14" i="20" s="1"/>
  <c r="Q18" i="25"/>
  <c r="N12" i="20" s="1"/>
  <c r="Q19" i="25"/>
  <c r="N13" i="20" s="1"/>
  <c r="Q12" i="25"/>
  <c r="N6" i="20" s="1"/>
  <c r="Q26" i="25"/>
  <c r="N20" i="20" s="1"/>
  <c r="Q25" i="25"/>
  <c r="N19" i="20" s="1"/>
  <c r="P22" i="25"/>
  <c r="P34" i="25"/>
  <c r="P27" i="25"/>
  <c r="Q23" i="26" l="1"/>
  <c r="R23" i="29"/>
  <c r="R40" i="29" s="1"/>
  <c r="S14" i="27"/>
  <c r="N21" i="20"/>
  <c r="N16" i="20"/>
  <c r="M17" i="20"/>
  <c r="M34" i="20" s="1"/>
  <c r="S13" i="34"/>
  <c r="S15" i="34" s="1"/>
  <c r="T12" i="34" s="1"/>
  <c r="Q35" i="32"/>
  <c r="Q37" i="32" s="1"/>
  <c r="Q40" i="32" s="1"/>
  <c r="Q51" i="32" s="1"/>
  <c r="Q53" i="32" s="1"/>
  <c r="N17" i="33" s="1"/>
  <c r="R33" i="32"/>
  <c r="R21" i="32"/>
  <c r="R28" i="32"/>
  <c r="R24" i="32"/>
  <c r="R12" i="32"/>
  <c r="R16" i="32"/>
  <c r="R20" i="32"/>
  <c r="R23" i="32"/>
  <c r="R27" i="32"/>
  <c r="R25" i="32"/>
  <c r="R34" i="32"/>
  <c r="R17" i="32"/>
  <c r="R19" i="32"/>
  <c r="R15" i="32"/>
  <c r="R31" i="32"/>
  <c r="R22" i="32"/>
  <c r="R13" i="32"/>
  <c r="R30" i="32"/>
  <c r="R10" i="32"/>
  <c r="R11" i="32"/>
  <c r="T8" i="17"/>
  <c r="T10" i="17" s="1"/>
  <c r="S5" i="32"/>
  <c r="N28" i="20"/>
  <c r="Q23" i="28"/>
  <c r="Q40" i="28" s="1"/>
  <c r="N8" i="20"/>
  <c r="S27" i="29"/>
  <c r="S34" i="29"/>
  <c r="Q40" i="26"/>
  <c r="T18" i="29"/>
  <c r="T29" i="29"/>
  <c r="T30" i="29"/>
  <c r="U10" i="29"/>
  <c r="T25" i="29"/>
  <c r="T21" i="29"/>
  <c r="T20" i="29"/>
  <c r="T13" i="29"/>
  <c r="T19" i="29"/>
  <c r="T26" i="29"/>
  <c r="T16" i="29"/>
  <c r="T12" i="29"/>
  <c r="T31" i="29"/>
  <c r="S14" i="29"/>
  <c r="S22" i="29"/>
  <c r="R27" i="28"/>
  <c r="S31" i="28"/>
  <c r="S21" i="28"/>
  <c r="S13" i="28"/>
  <c r="S16" i="28"/>
  <c r="S29" i="28"/>
  <c r="S25" i="28"/>
  <c r="S18" i="28"/>
  <c r="T10" i="28"/>
  <c r="S30" i="28"/>
  <c r="S20" i="28"/>
  <c r="S19" i="28"/>
  <c r="S26" i="28"/>
  <c r="S12" i="28"/>
  <c r="R34" i="28"/>
  <c r="S27" i="27"/>
  <c r="R22" i="28"/>
  <c r="R23" i="28" s="1"/>
  <c r="S22" i="27"/>
  <c r="S23" i="27" s="1"/>
  <c r="S34" i="27"/>
  <c r="R14" i="26"/>
  <c r="U10" i="27"/>
  <c r="T29" i="27"/>
  <c r="T25" i="27"/>
  <c r="T30" i="27"/>
  <c r="T18" i="27"/>
  <c r="T26" i="27"/>
  <c r="T16" i="27"/>
  <c r="T20" i="27"/>
  <c r="T19" i="27"/>
  <c r="T21" i="27"/>
  <c r="T12" i="27"/>
  <c r="T13" i="27"/>
  <c r="T31" i="27"/>
  <c r="R23" i="27"/>
  <c r="R40" i="27" s="1"/>
  <c r="S21" i="26"/>
  <c r="S13" i="26"/>
  <c r="S31" i="26"/>
  <c r="S25" i="26"/>
  <c r="S18" i="26"/>
  <c r="T10" i="26"/>
  <c r="S16" i="26"/>
  <c r="S26" i="26"/>
  <c r="S12" i="26"/>
  <c r="S19" i="26"/>
  <c r="S30" i="26"/>
  <c r="S20" i="26"/>
  <c r="S29" i="26"/>
  <c r="R27" i="26"/>
  <c r="R22" i="26"/>
  <c r="R34" i="26"/>
  <c r="Q27" i="25"/>
  <c r="P23" i="25"/>
  <c r="P40" i="25" s="1"/>
  <c r="Q34" i="25"/>
  <c r="Q22" i="25"/>
  <c r="Q14" i="25"/>
  <c r="S10" i="25"/>
  <c r="P4" i="20" s="1"/>
  <c r="R29" i="25"/>
  <c r="O23" i="20" s="1"/>
  <c r="R30" i="25"/>
  <c r="O24" i="20" s="1"/>
  <c r="R16" i="25"/>
  <c r="O10" i="20" s="1"/>
  <c r="R31" i="25"/>
  <c r="O25" i="20" s="1"/>
  <c r="R21" i="25"/>
  <c r="O15" i="20" s="1"/>
  <c r="R19" i="25"/>
  <c r="O13" i="20" s="1"/>
  <c r="R25" i="25"/>
  <c r="O19" i="20" s="1"/>
  <c r="R26" i="25"/>
  <c r="O20" i="20" s="1"/>
  <c r="R12" i="25"/>
  <c r="O6" i="20" s="1"/>
  <c r="R13" i="25"/>
  <c r="O7" i="20" s="1"/>
  <c r="R20" i="25"/>
  <c r="O14" i="20" s="1"/>
  <c r="R18" i="25"/>
  <c r="O12" i="20" s="1"/>
  <c r="R40" i="28" l="1"/>
  <c r="S14" i="28"/>
  <c r="T27" i="29"/>
  <c r="N17" i="20"/>
  <c r="N34" i="20" s="1"/>
  <c r="O28" i="20"/>
  <c r="O21" i="20"/>
  <c r="T13" i="34"/>
  <c r="T15" i="34"/>
  <c r="U12" i="34" s="1"/>
  <c r="U8" i="17"/>
  <c r="U10" i="17" s="1"/>
  <c r="T5" i="32"/>
  <c r="R35" i="32"/>
  <c r="R37" i="32" s="1"/>
  <c r="R40" i="32" s="1"/>
  <c r="R51" i="32" s="1"/>
  <c r="R53" i="32" s="1"/>
  <c r="O17" i="33" s="1"/>
  <c r="AB17" i="33" s="1"/>
  <c r="S34" i="28"/>
  <c r="T14" i="29"/>
  <c r="T22" i="29"/>
  <c r="O8" i="20"/>
  <c r="O16" i="20"/>
  <c r="S25" i="32"/>
  <c r="S22" i="32"/>
  <c r="S31" i="32"/>
  <c r="S13" i="32"/>
  <c r="S34" i="32"/>
  <c r="S30" i="32"/>
  <c r="S17" i="32"/>
  <c r="S21" i="32"/>
  <c r="S28" i="32"/>
  <c r="S10" i="32"/>
  <c r="S24" i="32"/>
  <c r="S12" i="32"/>
  <c r="S11" i="32"/>
  <c r="S27" i="32"/>
  <c r="S15" i="32"/>
  <c r="S23" i="32"/>
  <c r="S33" i="32"/>
  <c r="S20" i="32"/>
  <c r="S19" i="32"/>
  <c r="S16" i="32"/>
  <c r="U26" i="29"/>
  <c r="U19" i="29"/>
  <c r="U29" i="29"/>
  <c r="U31" i="29"/>
  <c r="U16" i="29"/>
  <c r="U25" i="29"/>
  <c r="U18" i="29"/>
  <c r="V10" i="29"/>
  <c r="U21" i="29"/>
  <c r="U12" i="29"/>
  <c r="U13" i="29"/>
  <c r="U30" i="29"/>
  <c r="U20" i="29"/>
  <c r="T34" i="29"/>
  <c r="S40" i="27"/>
  <c r="S23" i="29"/>
  <c r="S40" i="29" s="1"/>
  <c r="S14" i="26"/>
  <c r="S22" i="28"/>
  <c r="S23" i="28" s="1"/>
  <c r="R23" i="26"/>
  <c r="R40" i="26" s="1"/>
  <c r="T29" i="28"/>
  <c r="T25" i="28"/>
  <c r="U10" i="28"/>
  <c r="T18" i="28"/>
  <c r="T19" i="28"/>
  <c r="T20" i="28"/>
  <c r="T16" i="28"/>
  <c r="T21" i="28"/>
  <c r="T12" i="28"/>
  <c r="T26" i="28"/>
  <c r="T13" i="28"/>
  <c r="T31" i="28"/>
  <c r="T30" i="28"/>
  <c r="S34" i="26"/>
  <c r="T14" i="27"/>
  <c r="T27" i="27"/>
  <c r="S27" i="26"/>
  <c r="T34" i="27"/>
  <c r="S27" i="28"/>
  <c r="U29" i="27"/>
  <c r="U31" i="27"/>
  <c r="U16" i="27"/>
  <c r="U19" i="27"/>
  <c r="U25" i="27"/>
  <c r="U18" i="27"/>
  <c r="V10" i="27"/>
  <c r="U26" i="27"/>
  <c r="U30" i="27"/>
  <c r="U12" i="27"/>
  <c r="U21" i="27"/>
  <c r="U20" i="27"/>
  <c r="U13" i="27"/>
  <c r="T22" i="27"/>
  <c r="T29" i="26"/>
  <c r="T30" i="26"/>
  <c r="T18" i="26"/>
  <c r="T25" i="26"/>
  <c r="U10" i="26"/>
  <c r="T12" i="26"/>
  <c r="T19" i="26"/>
  <c r="T31" i="26"/>
  <c r="T13" i="26"/>
  <c r="T21" i="26"/>
  <c r="T20" i="26"/>
  <c r="T16" i="26"/>
  <c r="T26" i="26"/>
  <c r="S22" i="26"/>
  <c r="S23" i="26" s="1"/>
  <c r="Q23" i="25"/>
  <c r="Q40" i="25" s="1"/>
  <c r="R22" i="25"/>
  <c r="R34" i="25"/>
  <c r="R14" i="25"/>
  <c r="S30" i="25"/>
  <c r="P24" i="20" s="1"/>
  <c r="T10" i="25"/>
  <c r="Q4" i="20" s="1"/>
  <c r="S31" i="25"/>
  <c r="P25" i="20" s="1"/>
  <c r="S16" i="25"/>
  <c r="P10" i="20" s="1"/>
  <c r="S26" i="25"/>
  <c r="P20" i="20" s="1"/>
  <c r="S12" i="25"/>
  <c r="P6" i="20" s="1"/>
  <c r="S20" i="25"/>
  <c r="P14" i="20" s="1"/>
  <c r="S25" i="25"/>
  <c r="P19" i="20" s="1"/>
  <c r="S21" i="25"/>
  <c r="P15" i="20" s="1"/>
  <c r="S29" i="25"/>
  <c r="P23" i="20" s="1"/>
  <c r="S13" i="25"/>
  <c r="P7" i="20" s="1"/>
  <c r="S19" i="25"/>
  <c r="P13" i="20" s="1"/>
  <c r="S18" i="25"/>
  <c r="P12" i="20" s="1"/>
  <c r="R27" i="25"/>
  <c r="P21" i="20" l="1"/>
  <c r="P8" i="20"/>
  <c r="P28" i="20"/>
  <c r="O17" i="20"/>
  <c r="O34" i="20" s="1"/>
  <c r="U13" i="34"/>
  <c r="U15" i="34"/>
  <c r="V12" i="34" s="1"/>
  <c r="T23" i="29"/>
  <c r="T40" i="29" s="1"/>
  <c r="P16" i="20"/>
  <c r="S35" i="32"/>
  <c r="S37" i="32" s="1"/>
  <c r="S40" i="32" s="1"/>
  <c r="S51" i="32" s="1"/>
  <c r="S53" i="32" s="1"/>
  <c r="P17" i="33" s="1"/>
  <c r="T12" i="32"/>
  <c r="T13" i="32"/>
  <c r="T28" i="32"/>
  <c r="T20" i="32"/>
  <c r="T33" i="32"/>
  <c r="T16" i="32"/>
  <c r="T27" i="32"/>
  <c r="T23" i="32"/>
  <c r="T15" i="32"/>
  <c r="T31" i="32"/>
  <c r="T21" i="32"/>
  <c r="T11" i="32"/>
  <c r="T25" i="32"/>
  <c r="T17" i="32"/>
  <c r="T10" i="32"/>
  <c r="T30" i="32"/>
  <c r="T19" i="32"/>
  <c r="T24" i="32"/>
  <c r="T22" i="32"/>
  <c r="T34" i="32"/>
  <c r="V8" i="17"/>
  <c r="V10" i="17" s="1"/>
  <c r="U5" i="32"/>
  <c r="T23" i="27"/>
  <c r="T40" i="27" s="1"/>
  <c r="U27" i="29"/>
  <c r="U14" i="29"/>
  <c r="U22" i="29"/>
  <c r="S40" i="26"/>
  <c r="U34" i="29"/>
  <c r="W10" i="29"/>
  <c r="V16" i="29"/>
  <c r="V31" i="29"/>
  <c r="V30" i="29"/>
  <c r="V26" i="29"/>
  <c r="V20" i="29"/>
  <c r="V13" i="29"/>
  <c r="V25" i="29"/>
  <c r="V19" i="29"/>
  <c r="V12" i="29"/>
  <c r="V29" i="29"/>
  <c r="V21" i="29"/>
  <c r="V18" i="29"/>
  <c r="T27" i="28"/>
  <c r="U29" i="28"/>
  <c r="U25" i="28"/>
  <c r="U30" i="28"/>
  <c r="U18" i="28"/>
  <c r="V10" i="28"/>
  <c r="U26" i="28"/>
  <c r="U19" i="28"/>
  <c r="U21" i="28"/>
  <c r="U31" i="28"/>
  <c r="U13" i="28"/>
  <c r="U20" i="28"/>
  <c r="U12" i="28"/>
  <c r="U16" i="28"/>
  <c r="S40" i="28"/>
  <c r="T34" i="28"/>
  <c r="U27" i="27"/>
  <c r="T22" i="28"/>
  <c r="T14" i="28"/>
  <c r="T14" i="26"/>
  <c r="U14" i="27"/>
  <c r="U22" i="27"/>
  <c r="U34" i="27"/>
  <c r="W10" i="27"/>
  <c r="V19" i="27"/>
  <c r="V16" i="27"/>
  <c r="V31" i="27"/>
  <c r="V21" i="27"/>
  <c r="V29" i="27"/>
  <c r="V13" i="27"/>
  <c r="V18" i="27"/>
  <c r="V25" i="27"/>
  <c r="V26" i="27"/>
  <c r="V20" i="27"/>
  <c r="V12" i="27"/>
  <c r="V30" i="27"/>
  <c r="U21" i="26"/>
  <c r="U13" i="26"/>
  <c r="U30" i="26"/>
  <c r="U25" i="26"/>
  <c r="U18" i="26"/>
  <c r="U26" i="26"/>
  <c r="V10" i="26"/>
  <c r="U20" i="26"/>
  <c r="U19" i="26"/>
  <c r="U29" i="26"/>
  <c r="U16" i="26"/>
  <c r="U31" i="26"/>
  <c r="U12" i="26"/>
  <c r="T22" i="26"/>
  <c r="T27" i="26"/>
  <c r="T34" i="26"/>
  <c r="R23" i="25"/>
  <c r="R40" i="25" s="1"/>
  <c r="S27" i="25"/>
  <c r="S22" i="25"/>
  <c r="T21" i="25"/>
  <c r="Q15" i="20" s="1"/>
  <c r="T13" i="25"/>
  <c r="Q7" i="20" s="1"/>
  <c r="T16" i="25"/>
  <c r="Q10" i="20" s="1"/>
  <c r="T31" i="25"/>
  <c r="Q25" i="20" s="1"/>
  <c r="T18" i="25"/>
  <c r="Q12" i="20" s="1"/>
  <c r="T25" i="25"/>
  <c r="Q19" i="20" s="1"/>
  <c r="U10" i="25"/>
  <c r="R4" i="20" s="1"/>
  <c r="T30" i="25"/>
  <c r="Q24" i="20" s="1"/>
  <c r="T20" i="25"/>
  <c r="Q14" i="20" s="1"/>
  <c r="T29" i="25"/>
  <c r="Q23" i="20" s="1"/>
  <c r="T19" i="25"/>
  <c r="Q13" i="20" s="1"/>
  <c r="T26" i="25"/>
  <c r="Q20" i="20" s="1"/>
  <c r="T12" i="25"/>
  <c r="Q6" i="20" s="1"/>
  <c r="S34" i="25"/>
  <c r="S14" i="25"/>
  <c r="U23" i="29" l="1"/>
  <c r="U40" i="29" s="1"/>
  <c r="U27" i="28"/>
  <c r="V27" i="29"/>
  <c r="Q8" i="20"/>
  <c r="P17" i="20"/>
  <c r="P34" i="20" s="1"/>
  <c r="Q28" i="20"/>
  <c r="Q16" i="20"/>
  <c r="V13" i="34"/>
  <c r="V15" i="34" s="1"/>
  <c r="W12" i="34" s="1"/>
  <c r="T23" i="28"/>
  <c r="T40" i="28" s="1"/>
  <c r="U19" i="32"/>
  <c r="U34" i="32"/>
  <c r="U30" i="32"/>
  <c r="U17" i="32"/>
  <c r="U11" i="32"/>
  <c r="U24" i="32"/>
  <c r="U23" i="32"/>
  <c r="U28" i="32"/>
  <c r="U12" i="32"/>
  <c r="U16" i="32"/>
  <c r="U15" i="32"/>
  <c r="U31" i="32"/>
  <c r="U13" i="32"/>
  <c r="U33" i="32"/>
  <c r="U22" i="32"/>
  <c r="U20" i="32"/>
  <c r="U25" i="32"/>
  <c r="U10" i="32"/>
  <c r="U27" i="32"/>
  <c r="U21" i="32"/>
  <c r="T35" i="32"/>
  <c r="T37" i="32" s="1"/>
  <c r="T40" i="32" s="1"/>
  <c r="T51" i="32" s="1"/>
  <c r="T53" i="32" s="1"/>
  <c r="Q17" i="33" s="1"/>
  <c r="W8" i="17"/>
  <c r="W10" i="17" s="1"/>
  <c r="V5" i="32"/>
  <c r="Q21" i="20"/>
  <c r="V14" i="29"/>
  <c r="U14" i="28"/>
  <c r="V22" i="29"/>
  <c r="W13" i="29"/>
  <c r="W25" i="29"/>
  <c r="W18" i="29"/>
  <c r="X10" i="29"/>
  <c r="W21" i="29"/>
  <c r="W12" i="29"/>
  <c r="W30" i="29"/>
  <c r="W19" i="29"/>
  <c r="W31" i="29"/>
  <c r="W16" i="29"/>
  <c r="W29" i="29"/>
  <c r="W26" i="29"/>
  <c r="W20" i="29"/>
  <c r="V34" i="29"/>
  <c r="T23" i="26"/>
  <c r="T40" i="26" s="1"/>
  <c r="U22" i="28"/>
  <c r="V22" i="27"/>
  <c r="U14" i="26"/>
  <c r="W10" i="28"/>
  <c r="V12" i="28"/>
  <c r="V20" i="28"/>
  <c r="V13" i="28"/>
  <c r="V21" i="28"/>
  <c r="V19" i="28"/>
  <c r="V25" i="28"/>
  <c r="V26" i="28"/>
  <c r="V18" i="28"/>
  <c r="V30" i="28"/>
  <c r="V29" i="28"/>
  <c r="V16" i="28"/>
  <c r="V31" i="28"/>
  <c r="V14" i="27"/>
  <c r="U34" i="28"/>
  <c r="W13" i="27"/>
  <c r="W25" i="27"/>
  <c r="W18" i="27"/>
  <c r="X10" i="27"/>
  <c r="W21" i="27"/>
  <c r="W26" i="27"/>
  <c r="W16" i="27"/>
  <c r="W30" i="27"/>
  <c r="W31" i="27"/>
  <c r="W29" i="27"/>
  <c r="W20" i="27"/>
  <c r="W12" i="27"/>
  <c r="W19" i="27"/>
  <c r="V27" i="27"/>
  <c r="V34" i="27"/>
  <c r="U23" i="27"/>
  <c r="U40" i="27" s="1"/>
  <c r="W10" i="26"/>
  <c r="V20" i="26"/>
  <c r="V19" i="26"/>
  <c r="V26" i="26"/>
  <c r="V12" i="26"/>
  <c r="V18" i="26"/>
  <c r="V31" i="26"/>
  <c r="V30" i="26"/>
  <c r="V25" i="26"/>
  <c r="V13" i="26"/>
  <c r="V21" i="26"/>
  <c r="V16" i="26"/>
  <c r="V29" i="26"/>
  <c r="U27" i="26"/>
  <c r="U34" i="26"/>
  <c r="U22" i="26"/>
  <c r="T14" i="25"/>
  <c r="T27" i="25"/>
  <c r="S23" i="25"/>
  <c r="S40" i="25" s="1"/>
  <c r="U29" i="25"/>
  <c r="R23" i="20" s="1"/>
  <c r="U26" i="25"/>
  <c r="R20" i="20" s="1"/>
  <c r="V10" i="25"/>
  <c r="S4" i="20" s="1"/>
  <c r="U25" i="25"/>
  <c r="R19" i="20" s="1"/>
  <c r="U18" i="25"/>
  <c r="R12" i="20" s="1"/>
  <c r="U12" i="25"/>
  <c r="R6" i="20" s="1"/>
  <c r="U16" i="25"/>
  <c r="R10" i="20" s="1"/>
  <c r="U19" i="25"/>
  <c r="R13" i="20" s="1"/>
  <c r="U31" i="25"/>
  <c r="R25" i="20" s="1"/>
  <c r="U21" i="25"/>
  <c r="R15" i="20" s="1"/>
  <c r="U13" i="25"/>
  <c r="R7" i="20" s="1"/>
  <c r="U20" i="25"/>
  <c r="R14" i="20" s="1"/>
  <c r="U30" i="25"/>
  <c r="R24" i="20" s="1"/>
  <c r="T34" i="25"/>
  <c r="T22" i="25"/>
  <c r="V23" i="27" l="1"/>
  <c r="V40" i="27" s="1"/>
  <c r="U23" i="26"/>
  <c r="U23" i="28"/>
  <c r="U40" i="28" s="1"/>
  <c r="V23" i="29"/>
  <c r="V40" i="29" s="1"/>
  <c r="Q17" i="20"/>
  <c r="Q34" i="20" s="1"/>
  <c r="R21" i="20"/>
  <c r="R16" i="20"/>
  <c r="R8" i="20"/>
  <c r="W13" i="34"/>
  <c r="W15" i="34" s="1"/>
  <c r="X12" i="34" s="1"/>
  <c r="X8" i="17"/>
  <c r="X10" i="17" s="1"/>
  <c r="W5" i="32"/>
  <c r="R28" i="20"/>
  <c r="U35" i="32"/>
  <c r="U37" i="32"/>
  <c r="U40" i="32" s="1"/>
  <c r="U51" i="32" s="1"/>
  <c r="U53" i="32" s="1"/>
  <c r="R17" i="33" s="1"/>
  <c r="V28" i="32"/>
  <c r="V24" i="32"/>
  <c r="V33" i="32"/>
  <c r="V12" i="32"/>
  <c r="V16" i="32"/>
  <c r="V34" i="32"/>
  <c r="V20" i="32"/>
  <c r="V31" i="32"/>
  <c r="V23" i="32"/>
  <c r="V30" i="32"/>
  <c r="V27" i="32"/>
  <c r="V11" i="32"/>
  <c r="V13" i="32"/>
  <c r="V19" i="32"/>
  <c r="V10" i="32"/>
  <c r="V25" i="32"/>
  <c r="V17" i="32"/>
  <c r="V15" i="32"/>
  <c r="V21" i="32"/>
  <c r="V22" i="32"/>
  <c r="W34" i="29"/>
  <c r="W22" i="29"/>
  <c r="W27" i="29"/>
  <c r="X25" i="29"/>
  <c r="X18" i="29"/>
  <c r="Y10" i="29"/>
  <c r="X29" i="29"/>
  <c r="X26" i="29"/>
  <c r="X21" i="29"/>
  <c r="X13" i="29"/>
  <c r="X30" i="29"/>
  <c r="X31" i="29"/>
  <c r="X16" i="29"/>
  <c r="X20" i="29"/>
  <c r="X19" i="29"/>
  <c r="X12" i="29"/>
  <c r="V22" i="28"/>
  <c r="W34" i="27"/>
  <c r="W27" i="27"/>
  <c r="V34" i="28"/>
  <c r="W14" i="29"/>
  <c r="V14" i="28"/>
  <c r="W25" i="28"/>
  <c r="W18" i="28"/>
  <c r="X10" i="28"/>
  <c r="W29" i="28"/>
  <c r="W21" i="28"/>
  <c r="W13" i="28"/>
  <c r="W12" i="28"/>
  <c r="W30" i="28"/>
  <c r="W20" i="28"/>
  <c r="W31" i="28"/>
  <c r="W19" i="28"/>
  <c r="W16" i="28"/>
  <c r="W26" i="28"/>
  <c r="V27" i="28"/>
  <c r="W14" i="27"/>
  <c r="X25" i="27"/>
  <c r="X18" i="27"/>
  <c r="Y10" i="27"/>
  <c r="X26" i="27"/>
  <c r="X21" i="27"/>
  <c r="X13" i="27"/>
  <c r="X29" i="27"/>
  <c r="X20" i="27"/>
  <c r="X16" i="27"/>
  <c r="X12" i="27"/>
  <c r="X31" i="27"/>
  <c r="X30" i="27"/>
  <c r="X19" i="27"/>
  <c r="W22" i="27"/>
  <c r="V34" i="26"/>
  <c r="V14" i="26"/>
  <c r="V22" i="26"/>
  <c r="V27" i="26"/>
  <c r="W30" i="26"/>
  <c r="W25" i="26"/>
  <c r="W18" i="26"/>
  <c r="X10" i="26"/>
  <c r="W13" i="26"/>
  <c r="W20" i="26"/>
  <c r="W21" i="26"/>
  <c r="W16" i="26"/>
  <c r="W26" i="26"/>
  <c r="W29" i="26"/>
  <c r="W31" i="26"/>
  <c r="W12" i="26"/>
  <c r="W19" i="26"/>
  <c r="U27" i="25"/>
  <c r="U40" i="26"/>
  <c r="T23" i="25"/>
  <c r="T40" i="25" s="1"/>
  <c r="U14" i="25"/>
  <c r="U22" i="25"/>
  <c r="W10" i="25"/>
  <c r="T4" i="20" s="1"/>
  <c r="V12" i="25"/>
  <c r="S6" i="20" s="1"/>
  <c r="V26" i="25"/>
  <c r="S20" i="20" s="1"/>
  <c r="V20" i="25"/>
  <c r="S14" i="20" s="1"/>
  <c r="V21" i="25"/>
  <c r="S15" i="20" s="1"/>
  <c r="V18" i="25"/>
  <c r="S12" i="20" s="1"/>
  <c r="V30" i="25"/>
  <c r="S24" i="20" s="1"/>
  <c r="V25" i="25"/>
  <c r="S19" i="20" s="1"/>
  <c r="V13" i="25"/>
  <c r="S7" i="20" s="1"/>
  <c r="V29" i="25"/>
  <c r="S23" i="20" s="1"/>
  <c r="V16" i="25"/>
  <c r="S10" i="20" s="1"/>
  <c r="V19" i="25"/>
  <c r="S13" i="20" s="1"/>
  <c r="V31" i="25"/>
  <c r="S25" i="20" s="1"/>
  <c r="U34" i="25"/>
  <c r="X34" i="29" l="1"/>
  <c r="S16" i="20"/>
  <c r="R17" i="20"/>
  <c r="R34" i="20" s="1"/>
  <c r="S8" i="20"/>
  <c r="X13" i="34"/>
  <c r="X15" i="34"/>
  <c r="V35" i="32"/>
  <c r="V37" i="32"/>
  <c r="V40" i="32" s="1"/>
  <c r="V51" i="32" s="1"/>
  <c r="V53" i="32" s="1"/>
  <c r="S17" i="33" s="1"/>
  <c r="AC17" i="33" s="1"/>
  <c r="V23" i="28"/>
  <c r="V40" i="28" s="1"/>
  <c r="W23" i="29"/>
  <c r="W40" i="29" s="1"/>
  <c r="W25" i="32"/>
  <c r="W13" i="32"/>
  <c r="W17" i="32"/>
  <c r="W30" i="32"/>
  <c r="W24" i="32"/>
  <c r="W21" i="32"/>
  <c r="W12" i="32"/>
  <c r="W33" i="32"/>
  <c r="W16" i="32"/>
  <c r="W28" i="32"/>
  <c r="W15" i="32"/>
  <c r="W31" i="32"/>
  <c r="W11" i="32"/>
  <c r="W34" i="32"/>
  <c r="W10" i="32"/>
  <c r="W22" i="32"/>
  <c r="W20" i="32"/>
  <c r="W19" i="32"/>
  <c r="W27" i="32"/>
  <c r="W23" i="32"/>
  <c r="S28" i="20"/>
  <c r="S21" i="20"/>
  <c r="Y8" i="17"/>
  <c r="Y10" i="17" s="1"/>
  <c r="X5" i="32"/>
  <c r="V23" i="26"/>
  <c r="V40" i="26" s="1"/>
  <c r="X14" i="29"/>
  <c r="Z10" i="29"/>
  <c r="Y29" i="29"/>
  <c r="Y30" i="29"/>
  <c r="Y18" i="29"/>
  <c r="Y21" i="29"/>
  <c r="Y12" i="29"/>
  <c r="Y20" i="29"/>
  <c r="Y13" i="29"/>
  <c r="Y31" i="29"/>
  <c r="Y26" i="29"/>
  <c r="Y25" i="29"/>
  <c r="Y16" i="29"/>
  <c r="Y19" i="29"/>
  <c r="X22" i="29"/>
  <c r="W23" i="27"/>
  <c r="W40" i="27" s="1"/>
  <c r="X27" i="29"/>
  <c r="W34" i="28"/>
  <c r="W22" i="28"/>
  <c r="X13" i="28"/>
  <c r="X25" i="28"/>
  <c r="X18" i="28"/>
  <c r="Y10" i="28"/>
  <c r="X21" i="28"/>
  <c r="X29" i="28"/>
  <c r="X12" i="28"/>
  <c r="X19" i="28"/>
  <c r="X30" i="28"/>
  <c r="X16" i="28"/>
  <c r="X26" i="28"/>
  <c r="X20" i="28"/>
  <c r="X31" i="28"/>
  <c r="W27" i="28"/>
  <c r="X34" i="27"/>
  <c r="W14" i="28"/>
  <c r="Y25" i="27"/>
  <c r="Y18" i="27"/>
  <c r="Z10" i="27"/>
  <c r="Y30" i="27"/>
  <c r="Y29" i="27"/>
  <c r="Y19" i="27"/>
  <c r="Y31" i="27"/>
  <c r="Y20" i="27"/>
  <c r="Y13" i="27"/>
  <c r="Y26" i="27"/>
  <c r="Y12" i="27"/>
  <c r="Y21" i="27"/>
  <c r="Y16" i="27"/>
  <c r="X14" i="27"/>
  <c r="X22" i="27"/>
  <c r="X27" i="27"/>
  <c r="V14" i="25"/>
  <c r="W14" i="26"/>
  <c r="W34" i="26"/>
  <c r="W27" i="26"/>
  <c r="W22" i="26"/>
  <c r="X25" i="26"/>
  <c r="X18" i="26"/>
  <c r="Y10" i="26"/>
  <c r="X13" i="26"/>
  <c r="X21" i="26"/>
  <c r="X29" i="26"/>
  <c r="X31" i="26"/>
  <c r="X12" i="26"/>
  <c r="X19" i="26"/>
  <c r="X26" i="26"/>
  <c r="X16" i="26"/>
  <c r="X20" i="26"/>
  <c r="X30" i="26"/>
  <c r="U23" i="25"/>
  <c r="U40" i="25" s="1"/>
  <c r="V22" i="25"/>
  <c r="V34" i="25"/>
  <c r="W16" i="25"/>
  <c r="T10" i="20" s="1"/>
  <c r="X10" i="25"/>
  <c r="U4" i="20" s="1"/>
  <c r="W21" i="25"/>
  <c r="T15" i="20" s="1"/>
  <c r="W12" i="25"/>
  <c r="T6" i="20" s="1"/>
  <c r="W20" i="25"/>
  <c r="T14" i="20" s="1"/>
  <c r="W13" i="25"/>
  <c r="T7" i="20" s="1"/>
  <c r="W26" i="25"/>
  <c r="T20" i="20" s="1"/>
  <c r="W31" i="25"/>
  <c r="T25" i="20" s="1"/>
  <c r="W30" i="25"/>
  <c r="T24" i="20" s="1"/>
  <c r="W19" i="25"/>
  <c r="T13" i="20" s="1"/>
  <c r="W25" i="25"/>
  <c r="T19" i="20" s="1"/>
  <c r="W29" i="25"/>
  <c r="T23" i="20" s="1"/>
  <c r="W18" i="25"/>
  <c r="T12" i="20" s="1"/>
  <c r="V27" i="25"/>
  <c r="S17" i="20" l="1"/>
  <c r="S34" i="20" s="1"/>
  <c r="X23" i="29"/>
  <c r="X40" i="29" s="1"/>
  <c r="W23" i="28"/>
  <c r="T21" i="20"/>
  <c r="T8" i="20"/>
  <c r="T28" i="20"/>
  <c r="T16" i="20"/>
  <c r="Y27" i="29"/>
  <c r="X20" i="32"/>
  <c r="X16" i="32"/>
  <c r="X27" i="32"/>
  <c r="X28" i="32"/>
  <c r="X22" i="32"/>
  <c r="X17" i="32"/>
  <c r="X33" i="32"/>
  <c r="X12" i="32"/>
  <c r="X23" i="32"/>
  <c r="X11" i="32"/>
  <c r="X15" i="32"/>
  <c r="X19" i="32"/>
  <c r="X10" i="32"/>
  <c r="X21" i="32"/>
  <c r="X34" i="32"/>
  <c r="X25" i="32"/>
  <c r="X13" i="32"/>
  <c r="X30" i="32"/>
  <c r="X24" i="32"/>
  <c r="X31" i="32"/>
  <c r="Y14" i="29"/>
  <c r="Z8" i="17"/>
  <c r="Z10" i="17" s="1"/>
  <c r="Z5" i="32" s="1"/>
  <c r="Y5" i="32"/>
  <c r="W35" i="32"/>
  <c r="W37" i="32"/>
  <c r="W40" i="32" s="1"/>
  <c r="W51" i="32" s="1"/>
  <c r="W53" i="32" s="1"/>
  <c r="T17" i="33" s="1"/>
  <c r="Y22" i="29"/>
  <c r="Y34" i="29"/>
  <c r="X34" i="28"/>
  <c r="Z25" i="29"/>
  <c r="Z18" i="29"/>
  <c r="Z21" i="29"/>
  <c r="Z13" i="29"/>
  <c r="Z16" i="29"/>
  <c r="Z30" i="29"/>
  <c r="Z31" i="29"/>
  <c r="Z29" i="29"/>
  <c r="Z20" i="29"/>
  <c r="Z12" i="29"/>
  <c r="Z19" i="29"/>
  <c r="Z26" i="29"/>
  <c r="X14" i="28"/>
  <c r="V23" i="25"/>
  <c r="Y14" i="27"/>
  <c r="Y25" i="28"/>
  <c r="Y18" i="28"/>
  <c r="Z10" i="28"/>
  <c r="Y29" i="28"/>
  <c r="Y30" i="28"/>
  <c r="Y19" i="28"/>
  <c r="Y20" i="28"/>
  <c r="Y31" i="28"/>
  <c r="Y21" i="28"/>
  <c r="Y13" i="28"/>
  <c r="Y16" i="28"/>
  <c r="Y26" i="28"/>
  <c r="Y12" i="28"/>
  <c r="X22" i="28"/>
  <c r="X27" i="28"/>
  <c r="X23" i="27"/>
  <c r="X40" i="27" s="1"/>
  <c r="W40" i="28"/>
  <c r="X14" i="26"/>
  <c r="W23" i="26"/>
  <c r="W40" i="26" s="1"/>
  <c r="Y34" i="27"/>
  <c r="Z25" i="27"/>
  <c r="Z18" i="27"/>
  <c r="Z21" i="27"/>
  <c r="Z13" i="27"/>
  <c r="Z16" i="27"/>
  <c r="Z31" i="27"/>
  <c r="Z30" i="27"/>
  <c r="Z12" i="27"/>
  <c r="Z29" i="27"/>
  <c r="Z20" i="27"/>
  <c r="Z26" i="27"/>
  <c r="Z19" i="27"/>
  <c r="Y22" i="27"/>
  <c r="X22" i="26"/>
  <c r="Y27" i="27"/>
  <c r="Y29" i="26"/>
  <c r="Y25" i="26"/>
  <c r="Z10" i="26"/>
  <c r="Y30" i="26"/>
  <c r="Y16" i="26"/>
  <c r="Y31" i="26"/>
  <c r="Y26" i="26"/>
  <c r="Y20" i="26"/>
  <c r="Y12" i="26"/>
  <c r="Y19" i="26"/>
  <c r="Y18" i="26"/>
  <c r="Y13" i="26"/>
  <c r="Y21" i="26"/>
  <c r="X27" i="26"/>
  <c r="X34" i="26"/>
  <c r="W34" i="25"/>
  <c r="W27" i="25"/>
  <c r="W14" i="25"/>
  <c r="W22" i="25"/>
  <c r="V40" i="25"/>
  <c r="X31" i="25"/>
  <c r="U25" i="20" s="1"/>
  <c r="X16" i="25"/>
  <c r="U10" i="20" s="1"/>
  <c r="Y10" i="25"/>
  <c r="V4" i="20" s="1"/>
  <c r="X29" i="25"/>
  <c r="U23" i="20" s="1"/>
  <c r="X13" i="25"/>
  <c r="U7" i="20" s="1"/>
  <c r="X21" i="25"/>
  <c r="U15" i="20" s="1"/>
  <c r="X19" i="25"/>
  <c r="U13" i="20" s="1"/>
  <c r="X30" i="25"/>
  <c r="U24" i="20" s="1"/>
  <c r="X25" i="25"/>
  <c r="U19" i="20" s="1"/>
  <c r="X12" i="25"/>
  <c r="U6" i="20" s="1"/>
  <c r="X26" i="25"/>
  <c r="U20" i="20" s="1"/>
  <c r="X18" i="25"/>
  <c r="U12" i="20" s="1"/>
  <c r="X20" i="25"/>
  <c r="U14" i="20" s="1"/>
  <c r="Y23" i="27" l="1"/>
  <c r="Y40" i="27" s="1"/>
  <c r="X23" i="26"/>
  <c r="X40" i="26" s="1"/>
  <c r="T17" i="20"/>
  <c r="T34" i="20" s="1"/>
  <c r="Y23" i="29"/>
  <c r="Y40" i="29" s="1"/>
  <c r="U16" i="20"/>
  <c r="U21" i="20"/>
  <c r="Y13" i="32"/>
  <c r="Y30" i="32"/>
  <c r="Y24" i="32"/>
  <c r="Y21" i="32"/>
  <c r="Y34" i="32"/>
  <c r="Y17" i="32"/>
  <c r="Y33" i="32"/>
  <c r="Y16" i="32"/>
  <c r="Y28" i="32"/>
  <c r="Y10" i="32"/>
  <c r="Y22" i="32"/>
  <c r="Y31" i="32"/>
  <c r="Y19" i="32"/>
  <c r="Y20" i="32"/>
  <c r="Y15" i="32"/>
  <c r="Y11" i="32"/>
  <c r="Y12" i="32"/>
  <c r="Y27" i="32"/>
  <c r="Y25" i="32"/>
  <c r="Y23" i="32"/>
  <c r="Z12" i="32"/>
  <c r="Z16" i="32"/>
  <c r="Z20" i="32"/>
  <c r="Z23" i="32"/>
  <c r="Z27" i="32"/>
  <c r="Z11" i="32"/>
  <c r="Z15" i="32"/>
  <c r="Z13" i="32"/>
  <c r="Z10" i="32"/>
  <c r="Z17" i="32"/>
  <c r="Z19" i="32"/>
  <c r="Z28" i="32"/>
  <c r="Z31" i="32"/>
  <c r="Z33" i="32"/>
  <c r="Z24" i="32"/>
  <c r="Z30" i="32"/>
  <c r="Z25" i="32"/>
  <c r="Z22" i="32"/>
  <c r="Z34" i="32"/>
  <c r="Z21" i="32"/>
  <c r="X35" i="32"/>
  <c r="X37" i="32"/>
  <c r="X40" i="32" s="1"/>
  <c r="X51" i="32" s="1"/>
  <c r="X53" i="32" s="1"/>
  <c r="U17" i="33" s="1"/>
  <c r="X23" i="28"/>
  <c r="X40" i="28" s="1"/>
  <c r="U8" i="20"/>
  <c r="Z34" i="29"/>
  <c r="U28" i="20"/>
  <c r="Z22" i="27"/>
  <c r="Z14" i="29"/>
  <c r="Z27" i="29"/>
  <c r="Z22" i="29"/>
  <c r="Y14" i="28"/>
  <c r="Y34" i="28"/>
  <c r="Y22" i="28"/>
  <c r="Y27" i="28"/>
  <c r="Z25" i="28"/>
  <c r="Z18" i="28"/>
  <c r="Z21" i="28"/>
  <c r="Z30" i="28"/>
  <c r="Z31" i="28"/>
  <c r="Z16" i="28"/>
  <c r="Z12" i="28"/>
  <c r="Z29" i="28"/>
  <c r="Z13" i="28"/>
  <c r="Z26" i="28"/>
  <c r="Z19" i="28"/>
  <c r="Z20" i="28"/>
  <c r="Z34" i="27"/>
  <c r="Z27" i="27"/>
  <c r="Z14" i="27"/>
  <c r="Z25" i="26"/>
  <c r="Z18" i="26"/>
  <c r="Z21" i="26"/>
  <c r="Z30" i="26"/>
  <c r="Z16" i="26"/>
  <c r="Z31" i="26"/>
  <c r="Z26" i="26"/>
  <c r="Z12" i="26"/>
  <c r="Z19" i="26"/>
  <c r="Z29" i="26"/>
  <c r="Z13" i="26"/>
  <c r="Z20" i="26"/>
  <c r="Y22" i="26"/>
  <c r="Y27" i="26"/>
  <c r="Y14" i="26"/>
  <c r="Y34" i="26"/>
  <c r="X34" i="25"/>
  <c r="X14" i="25"/>
  <c r="W23" i="25"/>
  <c r="W40" i="25" s="1"/>
  <c r="X22" i="25"/>
  <c r="Z10" i="25"/>
  <c r="W4" i="20" s="1"/>
  <c r="Y21" i="25"/>
  <c r="V15" i="20" s="1"/>
  <c r="Y31" i="25"/>
  <c r="V25" i="20" s="1"/>
  <c r="Y16" i="25"/>
  <c r="V10" i="20" s="1"/>
  <c r="Y29" i="25"/>
  <c r="V23" i="20" s="1"/>
  <c r="Y30" i="25"/>
  <c r="V24" i="20" s="1"/>
  <c r="Y13" i="25"/>
  <c r="V7" i="20" s="1"/>
  <c r="Y25" i="25"/>
  <c r="V19" i="20" s="1"/>
  <c r="Y20" i="25"/>
  <c r="V14" i="20" s="1"/>
  <c r="Y26" i="25"/>
  <c r="V20" i="20" s="1"/>
  <c r="Y19" i="25"/>
  <c r="V13" i="20" s="1"/>
  <c r="Y18" i="25"/>
  <c r="V12" i="20" s="1"/>
  <c r="Y12" i="25"/>
  <c r="V6" i="20" s="1"/>
  <c r="X27" i="25"/>
  <c r="Z23" i="27" l="1"/>
  <c r="Y23" i="28"/>
  <c r="Y40" i="28" s="1"/>
  <c r="Z23" i="29"/>
  <c r="Z40" i="29" s="1"/>
  <c r="U17" i="20"/>
  <c r="U34" i="20" s="1"/>
  <c r="V8" i="20"/>
  <c r="V28" i="20"/>
  <c r="Z37" i="32"/>
  <c r="Z40" i="32" s="1"/>
  <c r="Z51" i="32" s="1"/>
  <c r="Z53" i="32" s="1"/>
  <c r="W17" i="33" s="1"/>
  <c r="Z35" i="32"/>
  <c r="V16" i="20"/>
  <c r="Y35" i="32"/>
  <c r="Y37" i="32" s="1"/>
  <c r="Y40" i="32" s="1"/>
  <c r="Y51" i="32" s="1"/>
  <c r="Y53" i="32" s="1"/>
  <c r="V17" i="33" s="1"/>
  <c r="AD17" i="33" s="1"/>
  <c r="V21" i="20"/>
  <c r="Z34" i="28"/>
  <c r="Z27" i="28"/>
  <c r="Z14" i="28"/>
  <c r="Z22" i="28"/>
  <c r="Z40" i="27"/>
  <c r="Z22" i="26"/>
  <c r="Y23" i="26"/>
  <c r="Y40" i="26" s="1"/>
  <c r="Z34" i="26"/>
  <c r="Z27" i="26"/>
  <c r="Z14" i="26"/>
  <c r="Y14" i="25"/>
  <c r="X23" i="25"/>
  <c r="Y34" i="25"/>
  <c r="Y22" i="25"/>
  <c r="Y27" i="25"/>
  <c r="Z29" i="25"/>
  <c r="W23" i="20" s="1"/>
  <c r="Z30" i="25"/>
  <c r="W24" i="20" s="1"/>
  <c r="Z31" i="25"/>
  <c r="W25" i="20" s="1"/>
  <c r="Z16" i="25"/>
  <c r="W10" i="20" s="1"/>
  <c r="Z19" i="25"/>
  <c r="W13" i="20" s="1"/>
  <c r="Z21" i="25"/>
  <c r="W15" i="20" s="1"/>
  <c r="Z26" i="25"/>
  <c r="W20" i="20" s="1"/>
  <c r="Z25" i="25"/>
  <c r="W19" i="20" s="1"/>
  <c r="Z12" i="25"/>
  <c r="W6" i="20" s="1"/>
  <c r="Z18" i="25"/>
  <c r="W12" i="20" s="1"/>
  <c r="Z20" i="25"/>
  <c r="W14" i="20" s="1"/>
  <c r="Z13" i="25"/>
  <c r="W7" i="20" s="1"/>
  <c r="X40" i="25"/>
  <c r="Z17" i="33" l="1"/>
  <c r="AA17" i="33"/>
  <c r="W21" i="20"/>
  <c r="V17" i="20"/>
  <c r="V34" i="20" s="1"/>
  <c r="W16" i="20"/>
  <c r="W8" i="20"/>
  <c r="W28" i="20"/>
  <c r="Z23" i="28"/>
  <c r="Z40" i="28" s="1"/>
  <c r="Z23" i="26"/>
  <c r="Z40" i="26" s="1"/>
  <c r="Y23" i="25"/>
  <c r="Y40" i="25" s="1"/>
  <c r="Z22" i="25"/>
  <c r="Z14" i="25"/>
  <c r="Z34" i="25"/>
  <c r="Z27" i="25"/>
  <c r="W17" i="20" l="1"/>
  <c r="W34" i="20" s="1"/>
  <c r="Z23" i="25"/>
  <c r="Z40" i="25" s="1"/>
  <c r="C5" i="19" l="1"/>
  <c r="G8" i="19" s="1"/>
  <c r="G11" i="19" l="1"/>
  <c r="G27" i="19"/>
  <c r="G24" i="19"/>
  <c r="G18" i="19"/>
  <c r="G19" i="19"/>
  <c r="G28" i="19"/>
  <c r="G17" i="19"/>
  <c r="G16" i="19"/>
  <c r="G29" i="19"/>
  <c r="G23" i="19"/>
  <c r="G14" i="19"/>
  <c r="G10" i="19"/>
  <c r="H8" i="19"/>
  <c r="G20" i="19" l="1"/>
  <c r="G12" i="19"/>
  <c r="G25" i="19"/>
  <c r="G32" i="19"/>
  <c r="H19" i="19"/>
  <c r="H14" i="19"/>
  <c r="H18" i="19"/>
  <c r="H17" i="19"/>
  <c r="H11" i="19"/>
  <c r="H29" i="19"/>
  <c r="H28" i="19"/>
  <c r="H16" i="19"/>
  <c r="H23" i="19"/>
  <c r="H27" i="19"/>
  <c r="H10" i="19"/>
  <c r="I8" i="19"/>
  <c r="H24" i="19"/>
  <c r="H32" i="19" l="1"/>
  <c r="H12" i="19"/>
  <c r="H25" i="19"/>
  <c r="H20" i="19"/>
  <c r="G21" i="19"/>
  <c r="I24" i="19"/>
  <c r="I19" i="19"/>
  <c r="I18" i="19"/>
  <c r="I17" i="19"/>
  <c r="I16" i="19"/>
  <c r="I11" i="19"/>
  <c r="I27" i="19"/>
  <c r="I23" i="19"/>
  <c r="I28" i="19"/>
  <c r="I29" i="19"/>
  <c r="I14" i="19"/>
  <c r="I10" i="19"/>
  <c r="J8" i="19"/>
  <c r="H21" i="19" l="1"/>
  <c r="H38" i="19" s="1"/>
  <c r="I25" i="19"/>
  <c r="I20" i="19"/>
  <c r="G38" i="19"/>
  <c r="J24" i="19"/>
  <c r="J16" i="19"/>
  <c r="J17" i="19"/>
  <c r="J28" i="19"/>
  <c r="J11" i="19"/>
  <c r="J19" i="19"/>
  <c r="J27" i="19"/>
  <c r="J23" i="19"/>
  <c r="J18" i="19"/>
  <c r="J29" i="19"/>
  <c r="J14" i="19"/>
  <c r="J10" i="19"/>
  <c r="K8" i="19"/>
  <c r="I12" i="19"/>
  <c r="I32" i="19"/>
  <c r="I21" i="19" l="1"/>
  <c r="J12" i="19"/>
  <c r="K17" i="19"/>
  <c r="K16" i="19"/>
  <c r="K19" i="19"/>
  <c r="K24" i="19"/>
  <c r="K18" i="19"/>
  <c r="K29" i="19"/>
  <c r="K28" i="19"/>
  <c r="K14" i="19"/>
  <c r="K11" i="19"/>
  <c r="K23" i="19"/>
  <c r="K27" i="19"/>
  <c r="K10" i="19"/>
  <c r="L8" i="19"/>
  <c r="J20" i="19"/>
  <c r="J25" i="19"/>
  <c r="J32" i="19"/>
  <c r="J21" i="19" l="1"/>
  <c r="J38" i="19" s="1"/>
  <c r="K20" i="19"/>
  <c r="I38" i="19"/>
  <c r="K32" i="19"/>
  <c r="K25" i="19"/>
  <c r="L16" i="19"/>
  <c r="L18" i="19"/>
  <c r="L17" i="19"/>
  <c r="L28" i="19"/>
  <c r="L24" i="19"/>
  <c r="L11" i="19"/>
  <c r="L29" i="19"/>
  <c r="L27" i="19"/>
  <c r="L19" i="19"/>
  <c r="L23" i="19"/>
  <c r="L10" i="19"/>
  <c r="L14" i="19"/>
  <c r="M8" i="19"/>
  <c r="K12" i="19"/>
  <c r="L25" i="19" l="1"/>
  <c r="L32" i="19"/>
  <c r="M11" i="19"/>
  <c r="M19" i="19"/>
  <c r="M24" i="19"/>
  <c r="M28" i="19"/>
  <c r="M29" i="19"/>
  <c r="M18" i="19"/>
  <c r="M14" i="19"/>
  <c r="M17" i="19"/>
  <c r="M16" i="19"/>
  <c r="M10" i="19"/>
  <c r="M23" i="19"/>
  <c r="M27" i="19"/>
  <c r="N8" i="19"/>
  <c r="L20" i="19"/>
  <c r="K21" i="19"/>
  <c r="L12" i="19"/>
  <c r="M20" i="19" l="1"/>
  <c r="M32" i="19"/>
  <c r="N17" i="19"/>
  <c r="N16" i="19"/>
  <c r="N11" i="19"/>
  <c r="N19" i="19"/>
  <c r="N28" i="19"/>
  <c r="N24" i="19"/>
  <c r="N18" i="19"/>
  <c r="N29" i="19"/>
  <c r="N14" i="19"/>
  <c r="N27" i="19"/>
  <c r="N23" i="19"/>
  <c r="O8" i="19"/>
  <c r="N10" i="19"/>
  <c r="M25" i="19"/>
  <c r="L21" i="19"/>
  <c r="L38" i="19" s="1"/>
  <c r="K38" i="19"/>
  <c r="M12" i="19"/>
  <c r="N25" i="19" l="1"/>
  <c r="N12" i="19"/>
  <c r="N32" i="19"/>
  <c r="M21" i="19"/>
  <c r="O11" i="19"/>
  <c r="O23" i="19"/>
  <c r="O17" i="19"/>
  <c r="O28" i="19"/>
  <c r="O24" i="19"/>
  <c r="O29" i="19"/>
  <c r="O19" i="19"/>
  <c r="O27" i="19"/>
  <c r="O16" i="19"/>
  <c r="O18" i="19"/>
  <c r="O14" i="19"/>
  <c r="O10" i="19"/>
  <c r="P8" i="19"/>
  <c r="N20" i="19"/>
  <c r="O32" i="19" l="1"/>
  <c r="P18" i="19"/>
  <c r="P28" i="19"/>
  <c r="P19" i="19"/>
  <c r="P11" i="19"/>
  <c r="P24" i="19"/>
  <c r="P29" i="19"/>
  <c r="P10" i="19"/>
  <c r="P17" i="19"/>
  <c r="P14" i="19"/>
  <c r="P16" i="19"/>
  <c r="P23" i="19"/>
  <c r="P27" i="19"/>
  <c r="Q8" i="19"/>
  <c r="N21" i="19"/>
  <c r="O20" i="19"/>
  <c r="M38" i="19"/>
  <c r="O12" i="19"/>
  <c r="O25" i="19"/>
  <c r="P12" i="19" l="1"/>
  <c r="N38" i="19"/>
  <c r="P20" i="19"/>
  <c r="O21" i="19"/>
  <c r="Q29" i="19"/>
  <c r="Q11" i="19"/>
  <c r="Q17" i="19"/>
  <c r="Q19" i="19"/>
  <c r="Q28" i="19"/>
  <c r="Q24" i="19"/>
  <c r="Q10" i="19"/>
  <c r="Q14" i="19"/>
  <c r="Q23" i="19"/>
  <c r="Q18" i="19"/>
  <c r="Q16" i="19"/>
  <c r="Q27" i="19"/>
  <c r="R8" i="19"/>
  <c r="P32" i="19"/>
  <c r="P25" i="19"/>
  <c r="P21" i="19" l="1"/>
  <c r="P38" i="19" s="1"/>
  <c r="Q25" i="19"/>
  <c r="Q32" i="19"/>
  <c r="Q20" i="19"/>
  <c r="O38" i="19"/>
  <c r="Q12" i="19"/>
  <c r="R24" i="19"/>
  <c r="R19" i="19"/>
  <c r="R17" i="19"/>
  <c r="R14" i="19"/>
  <c r="R16" i="19"/>
  <c r="R18" i="19"/>
  <c r="R29" i="19"/>
  <c r="R11" i="19"/>
  <c r="R28" i="19"/>
  <c r="R10" i="19"/>
  <c r="R23" i="19"/>
  <c r="S8" i="19"/>
  <c r="R27" i="19"/>
  <c r="Q21" i="19" l="1"/>
  <c r="Q38" i="19" s="1"/>
  <c r="R12" i="19"/>
  <c r="R25" i="19"/>
  <c r="S28" i="19"/>
  <c r="S29" i="19"/>
  <c r="S24" i="19"/>
  <c r="S16" i="19"/>
  <c r="S17" i="19"/>
  <c r="S18" i="19"/>
  <c r="S19" i="19"/>
  <c r="S11" i="19"/>
  <c r="S23" i="19"/>
  <c r="S10" i="19"/>
  <c r="S14" i="19"/>
  <c r="S27" i="19"/>
  <c r="T8" i="19"/>
  <c r="R20" i="19"/>
  <c r="R32" i="19"/>
  <c r="R21" i="19" l="1"/>
  <c r="R38" i="19" s="1"/>
  <c r="S12" i="19"/>
  <c r="S25" i="19"/>
  <c r="T11" i="19"/>
  <c r="T28" i="19"/>
  <c r="T19" i="19"/>
  <c r="T24" i="19"/>
  <c r="T29" i="19"/>
  <c r="T17" i="19"/>
  <c r="T14" i="19"/>
  <c r="T10" i="19"/>
  <c r="T27" i="19"/>
  <c r="T16" i="19"/>
  <c r="T18" i="19"/>
  <c r="T23" i="19"/>
  <c r="U8" i="19"/>
  <c r="S32" i="19"/>
  <c r="S20" i="19"/>
  <c r="T25" i="19" l="1"/>
  <c r="S21" i="19"/>
  <c r="S38" i="19" s="1"/>
  <c r="T12" i="19"/>
  <c r="T20" i="19"/>
  <c r="U11" i="19"/>
  <c r="U16" i="19"/>
  <c r="U18" i="19"/>
  <c r="U17" i="19"/>
  <c r="U28" i="19"/>
  <c r="U24" i="19"/>
  <c r="U23" i="19"/>
  <c r="U10" i="19"/>
  <c r="U14" i="19"/>
  <c r="U27" i="19"/>
  <c r="U29" i="19"/>
  <c r="V8" i="19"/>
  <c r="U19" i="19"/>
  <c r="T32" i="19"/>
  <c r="T21" i="19" l="1"/>
  <c r="T38" i="19" s="1"/>
  <c r="V24" i="19"/>
  <c r="V16" i="19"/>
  <c r="V29" i="19"/>
  <c r="V18" i="19"/>
  <c r="V17" i="19"/>
  <c r="V11" i="19"/>
  <c r="V28" i="19"/>
  <c r="V19" i="19"/>
  <c r="V14" i="19"/>
  <c r="V23" i="19"/>
  <c r="V27" i="19"/>
  <c r="V10" i="19"/>
  <c r="W8" i="19"/>
  <c r="U32" i="19"/>
  <c r="U20" i="19"/>
  <c r="U12" i="19"/>
  <c r="U25" i="19"/>
  <c r="V25" i="19" l="1"/>
  <c r="W19" i="19"/>
  <c r="W16" i="19"/>
  <c r="W11" i="19"/>
  <c r="W29" i="19"/>
  <c r="W18" i="19"/>
  <c r="W17" i="19"/>
  <c r="W28" i="19"/>
  <c r="W24" i="19"/>
  <c r="W23" i="19"/>
  <c r="W14" i="19"/>
  <c r="W10" i="19"/>
  <c r="X8" i="19"/>
  <c r="W27" i="19"/>
  <c r="V32" i="19"/>
  <c r="V20" i="19"/>
  <c r="V12" i="19"/>
  <c r="U21" i="19"/>
  <c r="U38" i="19" s="1"/>
  <c r="W12" i="19" l="1"/>
  <c r="W25" i="19"/>
  <c r="W32" i="19"/>
  <c r="X18" i="19"/>
  <c r="X24" i="19"/>
  <c r="X28" i="19"/>
  <c r="X16" i="19"/>
  <c r="X17" i="19"/>
  <c r="X19" i="19"/>
  <c r="X29" i="19"/>
  <c r="X10" i="19"/>
  <c r="X11" i="19"/>
  <c r="X14" i="19"/>
  <c r="X27" i="19"/>
  <c r="X23" i="19"/>
  <c r="Y8" i="19"/>
  <c r="W20" i="19"/>
  <c r="V21" i="19"/>
  <c r="V38" i="19" s="1"/>
  <c r="W21" i="19" l="1"/>
  <c r="W38" i="19" s="1"/>
  <c r="X25" i="19"/>
  <c r="X32" i="19"/>
  <c r="Y16" i="19"/>
  <c r="Y17" i="19"/>
  <c r="Y29" i="19"/>
  <c r="Y28" i="19"/>
  <c r="Y18" i="19"/>
  <c r="Y19" i="19"/>
  <c r="Y11" i="19"/>
  <c r="Y23" i="19"/>
  <c r="Y24" i="19"/>
  <c r="Y27" i="19"/>
  <c r="Y10" i="19"/>
  <c r="Y14" i="19"/>
  <c r="Z8" i="19"/>
  <c r="X12" i="19"/>
  <c r="X20" i="19"/>
  <c r="Z19" i="19" l="1"/>
  <c r="Z24" i="19"/>
  <c r="Z18" i="19"/>
  <c r="Z28" i="19"/>
  <c r="Z11" i="19"/>
  <c r="Z29" i="19"/>
  <c r="Z17" i="19"/>
  <c r="Z16" i="19"/>
  <c r="Z14" i="19"/>
  <c r="Z27" i="19"/>
  <c r="Z23" i="19"/>
  <c r="Z10" i="19"/>
  <c r="R35" i="17" a="1"/>
  <c r="R35" i="17" s="1"/>
  <c r="O4" i="31" s="1"/>
  <c r="S35" i="17" a="1"/>
  <c r="S35" i="17" s="1"/>
  <c r="P4" i="31" s="1"/>
  <c r="K35" i="17" a="1"/>
  <c r="K35" i="17" s="1"/>
  <c r="H4" i="31" s="1"/>
  <c r="L35" i="17" a="1"/>
  <c r="L35" i="17" s="1"/>
  <c r="I4" i="31" s="1"/>
  <c r="G35" i="17" a="1"/>
  <c r="G35" i="17" s="1"/>
  <c r="D4" i="31" s="1"/>
  <c r="Z35" i="17" a="1"/>
  <c r="Z35" i="17" s="1"/>
  <c r="W4" i="31" s="1"/>
  <c r="N35" i="17" a="1"/>
  <c r="N35" i="17" s="1"/>
  <c r="K4" i="31" s="1"/>
  <c r="P35" i="17" a="1"/>
  <c r="P35" i="17" s="1"/>
  <c r="M4" i="31" s="1"/>
  <c r="U35" i="17" a="1"/>
  <c r="U35" i="17" s="1"/>
  <c r="R4" i="31" s="1"/>
  <c r="I35" i="17" a="1"/>
  <c r="I35" i="17" s="1"/>
  <c r="F4" i="31" s="1"/>
  <c r="J35" i="17" a="1"/>
  <c r="J35" i="17" s="1"/>
  <c r="G4" i="31" s="1"/>
  <c r="Q35" i="17" a="1"/>
  <c r="Q35" i="17" s="1"/>
  <c r="N4" i="31" s="1"/>
  <c r="W35" i="17" a="1"/>
  <c r="W35" i="17" s="1"/>
  <c r="T4" i="31" s="1"/>
  <c r="V35" i="17" a="1"/>
  <c r="V35" i="17" s="1"/>
  <c r="S4" i="31" s="1"/>
  <c r="H35" i="17" a="1"/>
  <c r="H35" i="17" s="1"/>
  <c r="E4" i="31" s="1"/>
  <c r="X35" i="17" a="1"/>
  <c r="X35" i="17" s="1"/>
  <c r="U4" i="31" s="1"/>
  <c r="O35" i="17" a="1"/>
  <c r="O35" i="17" s="1"/>
  <c r="L4" i="31" s="1"/>
  <c r="T35" i="17" a="1"/>
  <c r="T35" i="17" s="1"/>
  <c r="Q4" i="31" s="1"/>
  <c r="M35" i="17" a="1"/>
  <c r="M35" i="17" s="1"/>
  <c r="J4" i="31" s="1"/>
  <c r="Y35" i="17" a="1"/>
  <c r="Y35" i="17" s="1"/>
  <c r="V4" i="31" s="1"/>
  <c r="X21" i="19"/>
  <c r="X38" i="19" s="1"/>
  <c r="Y20" i="19"/>
  <c r="Y12" i="19"/>
  <c r="Y32" i="19"/>
  <c r="Y25" i="19"/>
  <c r="Y21" i="19" l="1"/>
  <c r="Y38" i="19" s="1"/>
  <c r="Q5" i="33"/>
  <c r="S1" i="36"/>
  <c r="N44" i="17" a="1"/>
  <c r="N44" i="17" s="1"/>
  <c r="K13" i="31" s="1"/>
  <c r="J44" i="17" a="1"/>
  <c r="J44" i="17" s="1"/>
  <c r="G13" i="31" s="1"/>
  <c r="O44" i="17" a="1"/>
  <c r="O44" i="17" s="1"/>
  <c r="L13" i="31" s="1"/>
  <c r="V44" i="17" a="1"/>
  <c r="V44" i="17" s="1"/>
  <c r="S13" i="31" s="1"/>
  <c r="P44" i="17" a="1"/>
  <c r="P44" i="17" s="1"/>
  <c r="M13" i="31" s="1"/>
  <c r="U44" i="17" a="1"/>
  <c r="U44" i="17" s="1"/>
  <c r="R13" i="31" s="1"/>
  <c r="S44" i="17" a="1"/>
  <c r="S44" i="17" s="1"/>
  <c r="P13" i="31" s="1"/>
  <c r="M44" i="17" a="1"/>
  <c r="M44" i="17" s="1"/>
  <c r="J13" i="31" s="1"/>
  <c r="Z44" i="17" a="1"/>
  <c r="Z44" i="17" s="1"/>
  <c r="W13" i="31" s="1"/>
  <c r="Y44" i="17" a="1"/>
  <c r="Y44" i="17" s="1"/>
  <c r="V13" i="31" s="1"/>
  <c r="H44" i="17" a="1"/>
  <c r="H44" i="17" s="1"/>
  <c r="E13" i="31" s="1"/>
  <c r="G44" i="17" a="1"/>
  <c r="G44" i="17" s="1"/>
  <c r="D13" i="31" s="1"/>
  <c r="K44" i="17" a="1"/>
  <c r="K44" i="17" s="1"/>
  <c r="H13" i="31" s="1"/>
  <c r="L44" i="17" a="1"/>
  <c r="L44" i="17" s="1"/>
  <c r="I13" i="31" s="1"/>
  <c r="I44" i="17" a="1"/>
  <c r="I44" i="17" s="1"/>
  <c r="F13" i="31" s="1"/>
  <c r="R44" i="17" a="1"/>
  <c r="R44" i="17" s="1"/>
  <c r="O13" i="31" s="1"/>
  <c r="W44" i="17" a="1"/>
  <c r="W44" i="17" s="1"/>
  <c r="T13" i="31" s="1"/>
  <c r="Q44" i="17" a="1"/>
  <c r="Q44" i="17" s="1"/>
  <c r="N13" i="31" s="1"/>
  <c r="T44" i="17" a="1"/>
  <c r="T44" i="17" s="1"/>
  <c r="Q13" i="31" s="1"/>
  <c r="X44" i="17" a="1"/>
  <c r="X44" i="17" s="1"/>
  <c r="U13" i="31" s="1"/>
  <c r="L5" i="33"/>
  <c r="N1" i="36"/>
  <c r="T1" i="36"/>
  <c r="R5" i="33"/>
  <c r="O5" i="33"/>
  <c r="Q1" i="36"/>
  <c r="Q56" i="17" a="1"/>
  <c r="Q56" i="17" s="1"/>
  <c r="N25" i="31" s="1"/>
  <c r="H56" i="17" a="1"/>
  <c r="H56" i="17" s="1"/>
  <c r="E25" i="31" s="1"/>
  <c r="G56" i="17" a="1"/>
  <c r="G56" i="17" s="1"/>
  <c r="D25" i="31" s="1"/>
  <c r="I56" i="17" a="1"/>
  <c r="I56" i="17" s="1"/>
  <c r="F25" i="31" s="1"/>
  <c r="X56" i="17" a="1"/>
  <c r="X56" i="17" s="1"/>
  <c r="U25" i="31" s="1"/>
  <c r="Y56" i="17" a="1"/>
  <c r="Y56" i="17" s="1"/>
  <c r="V25" i="31" s="1"/>
  <c r="W56" i="17" a="1"/>
  <c r="W56" i="17" s="1"/>
  <c r="T25" i="31" s="1"/>
  <c r="N56" i="17" a="1"/>
  <c r="N56" i="17" s="1"/>
  <c r="K25" i="31" s="1"/>
  <c r="M56" i="17" a="1"/>
  <c r="M56" i="17" s="1"/>
  <c r="J25" i="31" s="1"/>
  <c r="S56" i="17" a="1"/>
  <c r="S56" i="17" s="1"/>
  <c r="P25" i="31" s="1"/>
  <c r="K56" i="17" a="1"/>
  <c r="K56" i="17" s="1"/>
  <c r="H25" i="31" s="1"/>
  <c r="Z56" i="17" a="1"/>
  <c r="Z56" i="17" s="1"/>
  <c r="W25" i="31" s="1"/>
  <c r="V56" i="17" a="1"/>
  <c r="V56" i="17" s="1"/>
  <c r="S25" i="31" s="1"/>
  <c r="J56" i="17" a="1"/>
  <c r="J56" i="17" s="1"/>
  <c r="G25" i="31" s="1"/>
  <c r="R56" i="17" a="1"/>
  <c r="R56" i="17" s="1"/>
  <c r="O25" i="31" s="1"/>
  <c r="T56" i="17" a="1"/>
  <c r="T56" i="17" s="1"/>
  <c r="Q25" i="31" s="1"/>
  <c r="O56" i="17" a="1"/>
  <c r="O56" i="17" s="1"/>
  <c r="L25" i="31" s="1"/>
  <c r="P56" i="17" a="1"/>
  <c r="P56" i="17" s="1"/>
  <c r="M25" i="31" s="1"/>
  <c r="L56" i="17" a="1"/>
  <c r="L56" i="17" s="1"/>
  <c r="I25" i="31" s="1"/>
  <c r="U56" i="17" a="1"/>
  <c r="U56" i="17" s="1"/>
  <c r="R25" i="31" s="1"/>
  <c r="P5" i="33"/>
  <c r="R1" i="36"/>
  <c r="K5" i="33"/>
  <c r="M1" i="36"/>
  <c r="Z25" i="19"/>
  <c r="S50" i="17" a="1"/>
  <c r="S50" i="17" s="1"/>
  <c r="P19" i="31" s="1"/>
  <c r="J50" i="17" a="1"/>
  <c r="J50" i="17" s="1"/>
  <c r="G19" i="31" s="1"/>
  <c r="O50" i="17" a="1"/>
  <c r="O50" i="17" s="1"/>
  <c r="L19" i="31" s="1"/>
  <c r="Y50" i="17" a="1"/>
  <c r="Y50" i="17" s="1"/>
  <c r="V19" i="31" s="1"/>
  <c r="N50" i="17" a="1"/>
  <c r="N50" i="17" s="1"/>
  <c r="K19" i="31" s="1"/>
  <c r="X50" i="17" a="1"/>
  <c r="X50" i="17" s="1"/>
  <c r="U19" i="31" s="1"/>
  <c r="U50" i="17" a="1"/>
  <c r="U50" i="17" s="1"/>
  <c r="R19" i="31" s="1"/>
  <c r="M50" i="17" a="1"/>
  <c r="M50" i="17" s="1"/>
  <c r="J19" i="31" s="1"/>
  <c r="L50" i="17" a="1"/>
  <c r="L50" i="17" s="1"/>
  <c r="I19" i="31" s="1"/>
  <c r="W50" i="17" a="1"/>
  <c r="W50" i="17" s="1"/>
  <c r="T19" i="31" s="1"/>
  <c r="R50" i="17" a="1"/>
  <c r="R50" i="17" s="1"/>
  <c r="O19" i="31" s="1"/>
  <c r="I50" i="17" a="1"/>
  <c r="I50" i="17" s="1"/>
  <c r="F19" i="31" s="1"/>
  <c r="V50" i="17" a="1"/>
  <c r="V50" i="17" s="1"/>
  <c r="S19" i="31" s="1"/>
  <c r="K50" i="17" a="1"/>
  <c r="K50" i="17" s="1"/>
  <c r="H19" i="31" s="1"/>
  <c r="G50" i="17" a="1"/>
  <c r="G50" i="17" s="1"/>
  <c r="D19" i="31" s="1"/>
  <c r="T50" i="17" a="1"/>
  <c r="T50" i="17" s="1"/>
  <c r="Q19" i="31" s="1"/>
  <c r="H50" i="17" a="1"/>
  <c r="H50" i="17" s="1"/>
  <c r="E19" i="31" s="1"/>
  <c r="Z50" i="17" a="1"/>
  <c r="Z50" i="17" s="1"/>
  <c r="W19" i="31" s="1"/>
  <c r="P50" i="17" a="1"/>
  <c r="P50" i="17" s="1"/>
  <c r="M19" i="31" s="1"/>
  <c r="Q50" i="17" a="1"/>
  <c r="Q50" i="17" s="1"/>
  <c r="N19" i="31" s="1"/>
  <c r="J55" i="17" a="1"/>
  <c r="J55" i="17" s="1"/>
  <c r="G24" i="31" s="1"/>
  <c r="K55" i="17" a="1"/>
  <c r="K55" i="17" s="1"/>
  <c r="H24" i="31" s="1"/>
  <c r="Q55" i="17" a="1"/>
  <c r="Q55" i="17" s="1"/>
  <c r="N24" i="31" s="1"/>
  <c r="H55" i="17" a="1"/>
  <c r="H55" i="17" s="1"/>
  <c r="E24" i="31" s="1"/>
  <c r="S55" i="17" a="1"/>
  <c r="S55" i="17" s="1"/>
  <c r="P24" i="31" s="1"/>
  <c r="W55" i="17" a="1"/>
  <c r="W55" i="17" s="1"/>
  <c r="T24" i="31" s="1"/>
  <c r="P55" i="17" a="1"/>
  <c r="P55" i="17" s="1"/>
  <c r="M24" i="31" s="1"/>
  <c r="Z55" i="17" a="1"/>
  <c r="Z55" i="17" s="1"/>
  <c r="W24" i="31" s="1"/>
  <c r="T55" i="17" a="1"/>
  <c r="T55" i="17" s="1"/>
  <c r="Q24" i="31" s="1"/>
  <c r="R55" i="17" a="1"/>
  <c r="R55" i="17" s="1"/>
  <c r="O24" i="31" s="1"/>
  <c r="L55" i="17" a="1"/>
  <c r="L55" i="17" s="1"/>
  <c r="I24" i="31" s="1"/>
  <c r="N55" i="17" a="1"/>
  <c r="N55" i="17" s="1"/>
  <c r="K24" i="31" s="1"/>
  <c r="O55" i="17" a="1"/>
  <c r="O55" i="17" s="1"/>
  <c r="L24" i="31" s="1"/>
  <c r="Y55" i="17" a="1"/>
  <c r="Y55" i="17" s="1"/>
  <c r="V24" i="31" s="1"/>
  <c r="M55" i="17" a="1"/>
  <c r="M55" i="17" s="1"/>
  <c r="J24" i="31" s="1"/>
  <c r="V55" i="17" a="1"/>
  <c r="V55" i="17" s="1"/>
  <c r="S24" i="31" s="1"/>
  <c r="G55" i="17" a="1"/>
  <c r="G55" i="17" s="1"/>
  <c r="D24" i="31" s="1"/>
  <c r="X55" i="17" a="1"/>
  <c r="X55" i="17" s="1"/>
  <c r="U24" i="31" s="1"/>
  <c r="U55" i="17" a="1"/>
  <c r="U55" i="17" s="1"/>
  <c r="R24" i="31" s="1"/>
  <c r="I55" i="17" a="1"/>
  <c r="I55" i="17" s="1"/>
  <c r="F24" i="31" s="1"/>
  <c r="G5" i="33"/>
  <c r="I1" i="36"/>
  <c r="W1" i="36"/>
  <c r="U5" i="33"/>
  <c r="Z12" i="19"/>
  <c r="J37" i="17" a="1"/>
  <c r="J37" i="17" s="1"/>
  <c r="G6" i="31" s="1"/>
  <c r="I37" i="17" a="1"/>
  <c r="I37" i="17" s="1"/>
  <c r="F6" i="31" s="1"/>
  <c r="U37" i="17" a="1"/>
  <c r="U37" i="17" s="1"/>
  <c r="R6" i="31" s="1"/>
  <c r="K37" i="17" a="1"/>
  <c r="K37" i="17" s="1"/>
  <c r="H6" i="31" s="1"/>
  <c r="T37" i="17" a="1"/>
  <c r="T37" i="17" s="1"/>
  <c r="Q6" i="31" s="1"/>
  <c r="H37" i="17" a="1"/>
  <c r="H37" i="17" s="1"/>
  <c r="E6" i="31" s="1"/>
  <c r="V37" i="17" a="1"/>
  <c r="V37" i="17" s="1"/>
  <c r="S6" i="31" s="1"/>
  <c r="Q37" i="17" a="1"/>
  <c r="Q37" i="17" s="1"/>
  <c r="N6" i="31" s="1"/>
  <c r="X37" i="17" a="1"/>
  <c r="X37" i="17" s="1"/>
  <c r="U6" i="31" s="1"/>
  <c r="O37" i="17" a="1"/>
  <c r="O37" i="17" s="1"/>
  <c r="L6" i="31" s="1"/>
  <c r="Y37" i="17" a="1"/>
  <c r="Y37" i="17" s="1"/>
  <c r="V6" i="31" s="1"/>
  <c r="P37" i="17" a="1"/>
  <c r="P37" i="17" s="1"/>
  <c r="M6" i="31" s="1"/>
  <c r="N37" i="17" a="1"/>
  <c r="N37" i="17" s="1"/>
  <c r="K6" i="31" s="1"/>
  <c r="L37" i="17" a="1"/>
  <c r="L37" i="17" s="1"/>
  <c r="I6" i="31" s="1"/>
  <c r="G37" i="17" a="1"/>
  <c r="G37" i="17" s="1"/>
  <c r="D6" i="31" s="1"/>
  <c r="S37" i="17" a="1"/>
  <c r="S37" i="17" s="1"/>
  <c r="P6" i="31" s="1"/>
  <c r="W37" i="17" a="1"/>
  <c r="W37" i="17" s="1"/>
  <c r="T6" i="31" s="1"/>
  <c r="Z37" i="17" a="1"/>
  <c r="Z37" i="17" s="1"/>
  <c r="W6" i="31" s="1"/>
  <c r="M37" i="17" a="1"/>
  <c r="M37" i="17" s="1"/>
  <c r="J6" i="31" s="1"/>
  <c r="R37" i="17" a="1"/>
  <c r="R37" i="17" s="1"/>
  <c r="O6" i="31" s="1"/>
  <c r="U1" i="36"/>
  <c r="S5" i="33"/>
  <c r="W5" i="33"/>
  <c r="Y1" i="36"/>
  <c r="Z32" i="19"/>
  <c r="I54" i="17" a="1"/>
  <c r="I54" i="17" s="1"/>
  <c r="F23" i="31" s="1"/>
  <c r="W54" i="17" a="1"/>
  <c r="W54" i="17" s="1"/>
  <c r="T23" i="31" s="1"/>
  <c r="T54" i="17" a="1"/>
  <c r="T54" i="17" s="1"/>
  <c r="Q23" i="31" s="1"/>
  <c r="Z54" i="17" a="1"/>
  <c r="Z54" i="17" s="1"/>
  <c r="W23" i="31" s="1"/>
  <c r="Y54" i="17" a="1"/>
  <c r="Y54" i="17" s="1"/>
  <c r="V23" i="31" s="1"/>
  <c r="H54" i="17" a="1"/>
  <c r="H54" i="17" s="1"/>
  <c r="E23" i="31" s="1"/>
  <c r="O54" i="17" a="1"/>
  <c r="O54" i="17" s="1"/>
  <c r="L23" i="31" s="1"/>
  <c r="G54" i="17" a="1"/>
  <c r="G54" i="17" s="1"/>
  <c r="D23" i="31" s="1"/>
  <c r="Q54" i="17" a="1"/>
  <c r="Q54" i="17" s="1"/>
  <c r="N23" i="31" s="1"/>
  <c r="V54" i="17" a="1"/>
  <c r="V54" i="17" s="1"/>
  <c r="S23" i="31" s="1"/>
  <c r="R54" i="17" a="1"/>
  <c r="R54" i="17" s="1"/>
  <c r="O23" i="31" s="1"/>
  <c r="J54" i="17" a="1"/>
  <c r="J54" i="17" s="1"/>
  <c r="G23" i="31" s="1"/>
  <c r="U54" i="17" a="1"/>
  <c r="U54" i="17" s="1"/>
  <c r="R23" i="31" s="1"/>
  <c r="L54" i="17" a="1"/>
  <c r="L54" i="17" s="1"/>
  <c r="I23" i="31" s="1"/>
  <c r="S54" i="17" a="1"/>
  <c r="S54" i="17" s="1"/>
  <c r="P23" i="31" s="1"/>
  <c r="P54" i="17" a="1"/>
  <c r="P54" i="17" s="1"/>
  <c r="M23" i="31" s="1"/>
  <c r="X54" i="17" a="1"/>
  <c r="X54" i="17" s="1"/>
  <c r="U23" i="31" s="1"/>
  <c r="K54" i="17" a="1"/>
  <c r="K54" i="17" s="1"/>
  <c r="H23" i="31" s="1"/>
  <c r="N54" i="17" a="1"/>
  <c r="N54" i="17" s="1"/>
  <c r="K23" i="31" s="1"/>
  <c r="M54" i="17" a="1"/>
  <c r="M54" i="17" s="1"/>
  <c r="J23" i="31" s="1"/>
  <c r="X45" i="17" a="1"/>
  <c r="X45" i="17" s="1"/>
  <c r="U14" i="31" s="1"/>
  <c r="S45" i="17" a="1"/>
  <c r="S45" i="17" s="1"/>
  <c r="P14" i="31" s="1"/>
  <c r="L45" i="17" a="1"/>
  <c r="L45" i="17" s="1"/>
  <c r="I14" i="31" s="1"/>
  <c r="W45" i="17" a="1"/>
  <c r="W45" i="17" s="1"/>
  <c r="T14" i="31" s="1"/>
  <c r="O45" i="17" a="1"/>
  <c r="O45" i="17" s="1"/>
  <c r="L14" i="31" s="1"/>
  <c r="R45" i="17" a="1"/>
  <c r="R45" i="17" s="1"/>
  <c r="O14" i="31" s="1"/>
  <c r="Z45" i="17" a="1"/>
  <c r="Z45" i="17" s="1"/>
  <c r="W14" i="31" s="1"/>
  <c r="V45" i="17" a="1"/>
  <c r="V45" i="17" s="1"/>
  <c r="S14" i="31" s="1"/>
  <c r="G45" i="17" a="1"/>
  <c r="G45" i="17" s="1"/>
  <c r="D14" i="31" s="1"/>
  <c r="I45" i="17" a="1"/>
  <c r="I45" i="17" s="1"/>
  <c r="F14" i="31" s="1"/>
  <c r="M45" i="17" a="1"/>
  <c r="M45" i="17" s="1"/>
  <c r="J14" i="31" s="1"/>
  <c r="P45" i="17" a="1"/>
  <c r="P45" i="17" s="1"/>
  <c r="M14" i="31" s="1"/>
  <c r="U45" i="17" a="1"/>
  <c r="U45" i="17" s="1"/>
  <c r="R14" i="31" s="1"/>
  <c r="J45" i="17" a="1"/>
  <c r="J45" i="17" s="1"/>
  <c r="G14" i="31" s="1"/>
  <c r="N45" i="17" a="1"/>
  <c r="N45" i="17" s="1"/>
  <c r="K14" i="31" s="1"/>
  <c r="Q45" i="17" a="1"/>
  <c r="Q45" i="17" s="1"/>
  <c r="N14" i="31" s="1"/>
  <c r="K45" i="17" a="1"/>
  <c r="K45" i="17" s="1"/>
  <c r="H14" i="31" s="1"/>
  <c r="Y45" i="17" a="1"/>
  <c r="Y45" i="17" s="1"/>
  <c r="V14" i="31" s="1"/>
  <c r="H45" i="17" a="1"/>
  <c r="H45" i="17" s="1"/>
  <c r="E14" i="31" s="1"/>
  <c r="T45" i="17" a="1"/>
  <c r="T45" i="17" s="1"/>
  <c r="Q14" i="31" s="1"/>
  <c r="L1" i="36"/>
  <c r="J5" i="33"/>
  <c r="F5" i="33"/>
  <c r="H1" i="36"/>
  <c r="G1" i="36"/>
  <c r="E5" i="33"/>
  <c r="T5" i="33"/>
  <c r="V1" i="36"/>
  <c r="F1" i="36"/>
  <c r="D5" i="33"/>
  <c r="Z20" i="19"/>
  <c r="O41" i="17" a="1"/>
  <c r="O41" i="17" s="1"/>
  <c r="L10" i="31" s="1"/>
  <c r="V41" i="17" a="1"/>
  <c r="V41" i="17" s="1"/>
  <c r="S10" i="31" s="1"/>
  <c r="L41" i="17" a="1"/>
  <c r="L41" i="17" s="1"/>
  <c r="I10" i="31" s="1"/>
  <c r="I41" i="17" a="1"/>
  <c r="I41" i="17" s="1"/>
  <c r="F10" i="31" s="1"/>
  <c r="W41" i="17" a="1"/>
  <c r="W41" i="17" s="1"/>
  <c r="T10" i="31" s="1"/>
  <c r="S41" i="17" a="1"/>
  <c r="S41" i="17" s="1"/>
  <c r="P10" i="31" s="1"/>
  <c r="H41" i="17" a="1"/>
  <c r="H41" i="17" s="1"/>
  <c r="E10" i="31" s="1"/>
  <c r="R41" i="17" a="1"/>
  <c r="R41" i="17" s="1"/>
  <c r="O10" i="31" s="1"/>
  <c r="Q41" i="17" a="1"/>
  <c r="Q41" i="17" s="1"/>
  <c r="N10" i="31" s="1"/>
  <c r="U41" i="17" a="1"/>
  <c r="U41" i="17" s="1"/>
  <c r="R10" i="31" s="1"/>
  <c r="N41" i="17" a="1"/>
  <c r="N41" i="17" s="1"/>
  <c r="K10" i="31" s="1"/>
  <c r="K41" i="17" a="1"/>
  <c r="K41" i="17" s="1"/>
  <c r="H10" i="31" s="1"/>
  <c r="X41" i="17" a="1"/>
  <c r="X41" i="17" s="1"/>
  <c r="U10" i="31" s="1"/>
  <c r="T41" i="17" a="1"/>
  <c r="T41" i="17" s="1"/>
  <c r="Q10" i="31" s="1"/>
  <c r="Z41" i="17" a="1"/>
  <c r="Z41" i="17" s="1"/>
  <c r="W10" i="31" s="1"/>
  <c r="J41" i="17" a="1"/>
  <c r="J41" i="17" s="1"/>
  <c r="G10" i="31" s="1"/>
  <c r="G41" i="17" a="1"/>
  <c r="G41" i="17" s="1"/>
  <c r="D10" i="31" s="1"/>
  <c r="M41" i="17" a="1"/>
  <c r="M41" i="17" s="1"/>
  <c r="J10" i="31" s="1"/>
  <c r="Y41" i="17" a="1"/>
  <c r="Y41" i="17" s="1"/>
  <c r="V10" i="31" s="1"/>
  <c r="P41" i="17" a="1"/>
  <c r="P41" i="17" s="1"/>
  <c r="M10" i="31" s="1"/>
  <c r="S51" i="17" a="1"/>
  <c r="S51" i="17" s="1"/>
  <c r="P20" i="31" s="1"/>
  <c r="M51" i="17" a="1"/>
  <c r="M51" i="17" s="1"/>
  <c r="J20" i="31" s="1"/>
  <c r="G51" i="17" a="1"/>
  <c r="G51" i="17" s="1"/>
  <c r="D20" i="31" s="1"/>
  <c r="J51" i="17" a="1"/>
  <c r="J51" i="17" s="1"/>
  <c r="G20" i="31" s="1"/>
  <c r="Q51" i="17" a="1"/>
  <c r="Q51" i="17" s="1"/>
  <c r="N20" i="31" s="1"/>
  <c r="Y51" i="17" a="1"/>
  <c r="Y51" i="17" s="1"/>
  <c r="V20" i="31" s="1"/>
  <c r="L51" i="17" a="1"/>
  <c r="L51" i="17" s="1"/>
  <c r="I20" i="31" s="1"/>
  <c r="X51" i="17" a="1"/>
  <c r="X51" i="17" s="1"/>
  <c r="U20" i="31" s="1"/>
  <c r="K51" i="17" a="1"/>
  <c r="K51" i="17" s="1"/>
  <c r="H20" i="31" s="1"/>
  <c r="R51" i="17" a="1"/>
  <c r="R51" i="17" s="1"/>
  <c r="O20" i="31" s="1"/>
  <c r="H51" i="17" a="1"/>
  <c r="H51" i="17" s="1"/>
  <c r="E20" i="31" s="1"/>
  <c r="P51" i="17" a="1"/>
  <c r="P51" i="17" s="1"/>
  <c r="M20" i="31" s="1"/>
  <c r="I51" i="17" a="1"/>
  <c r="I51" i="17" s="1"/>
  <c r="F20" i="31" s="1"/>
  <c r="V51" i="17" a="1"/>
  <c r="V51" i="17" s="1"/>
  <c r="S20" i="31" s="1"/>
  <c r="Z51" i="17" a="1"/>
  <c r="Z51" i="17" s="1"/>
  <c r="W20" i="31" s="1"/>
  <c r="T51" i="17" a="1"/>
  <c r="T51" i="17" s="1"/>
  <c r="Q20" i="31" s="1"/>
  <c r="W51" i="17" a="1"/>
  <c r="W51" i="17" s="1"/>
  <c r="T20" i="31" s="1"/>
  <c r="N51" i="17" a="1"/>
  <c r="N51" i="17" s="1"/>
  <c r="K20" i="31" s="1"/>
  <c r="U51" i="17" a="1"/>
  <c r="U51" i="17" s="1"/>
  <c r="R20" i="31" s="1"/>
  <c r="O51" i="17" a="1"/>
  <c r="O51" i="17" s="1"/>
  <c r="L20" i="31" s="1"/>
  <c r="H5" i="33"/>
  <c r="J1" i="36"/>
  <c r="O1" i="36"/>
  <c r="M5" i="33"/>
  <c r="N38" i="17" a="1"/>
  <c r="N38" i="17" s="1"/>
  <c r="K7" i="31" s="1"/>
  <c r="R38" i="17" a="1"/>
  <c r="R38" i="17" s="1"/>
  <c r="O7" i="31" s="1"/>
  <c r="H38" i="17" a="1"/>
  <c r="H38" i="17" s="1"/>
  <c r="E7" i="31" s="1"/>
  <c r="U38" i="17" a="1"/>
  <c r="U38" i="17" s="1"/>
  <c r="R7" i="31" s="1"/>
  <c r="Y38" i="17" a="1"/>
  <c r="Y38" i="17" s="1"/>
  <c r="V7" i="31" s="1"/>
  <c r="Q38" i="17" a="1"/>
  <c r="Q38" i="17" s="1"/>
  <c r="N7" i="31" s="1"/>
  <c r="G38" i="17" a="1"/>
  <c r="G38" i="17" s="1"/>
  <c r="D7" i="31" s="1"/>
  <c r="I38" i="17" a="1"/>
  <c r="I38" i="17" s="1"/>
  <c r="F7" i="31" s="1"/>
  <c r="K38" i="17" a="1"/>
  <c r="K38" i="17" s="1"/>
  <c r="H7" i="31" s="1"/>
  <c r="T38" i="17" a="1"/>
  <c r="T38" i="17" s="1"/>
  <c r="Q7" i="31" s="1"/>
  <c r="V38" i="17" a="1"/>
  <c r="V38" i="17" s="1"/>
  <c r="S7" i="31" s="1"/>
  <c r="P38" i="17" a="1"/>
  <c r="P38" i="17" s="1"/>
  <c r="M7" i="31" s="1"/>
  <c r="W38" i="17" a="1"/>
  <c r="W38" i="17" s="1"/>
  <c r="T7" i="31" s="1"/>
  <c r="Z38" i="17" a="1"/>
  <c r="Z38" i="17" s="1"/>
  <c r="W7" i="31" s="1"/>
  <c r="O38" i="17" a="1"/>
  <c r="O38" i="17" s="1"/>
  <c r="L7" i="31" s="1"/>
  <c r="S38" i="17" a="1"/>
  <c r="S38" i="17" s="1"/>
  <c r="P7" i="31" s="1"/>
  <c r="L38" i="17" a="1"/>
  <c r="L38" i="17" s="1"/>
  <c r="I7" i="31" s="1"/>
  <c r="J38" i="17" a="1"/>
  <c r="J38" i="17" s="1"/>
  <c r="G7" i="31" s="1"/>
  <c r="M38" i="17" a="1"/>
  <c r="M38" i="17" s="1"/>
  <c r="J7" i="31" s="1"/>
  <c r="X38" i="17" a="1"/>
  <c r="X38" i="17" s="1"/>
  <c r="U7" i="31" s="1"/>
  <c r="V5" i="33"/>
  <c r="X1" i="36"/>
  <c r="N5" i="33"/>
  <c r="P1" i="36"/>
  <c r="I5" i="33"/>
  <c r="K1" i="36"/>
  <c r="P43" i="17" a="1"/>
  <c r="P43" i="17" s="1"/>
  <c r="M12" i="31" s="1"/>
  <c r="H43" i="17" a="1"/>
  <c r="H43" i="17" s="1"/>
  <c r="E12" i="31" s="1"/>
  <c r="U43" i="17" a="1"/>
  <c r="U43" i="17" s="1"/>
  <c r="R12" i="31" s="1"/>
  <c r="W43" i="17" a="1"/>
  <c r="W43" i="17" s="1"/>
  <c r="T12" i="31" s="1"/>
  <c r="I43" i="17" a="1"/>
  <c r="I43" i="17" s="1"/>
  <c r="F12" i="31" s="1"/>
  <c r="V43" i="17" a="1"/>
  <c r="V43" i="17" s="1"/>
  <c r="S12" i="31" s="1"/>
  <c r="J43" i="17" a="1"/>
  <c r="J43" i="17" s="1"/>
  <c r="G12" i="31" s="1"/>
  <c r="N43" i="17" a="1"/>
  <c r="N43" i="17" s="1"/>
  <c r="K12" i="31" s="1"/>
  <c r="G43" i="17" a="1"/>
  <c r="G43" i="17" s="1"/>
  <c r="D12" i="31" s="1"/>
  <c r="Q43" i="17" a="1"/>
  <c r="Q43" i="17" s="1"/>
  <c r="N12" i="31" s="1"/>
  <c r="L43" i="17" a="1"/>
  <c r="L43" i="17" s="1"/>
  <c r="I12" i="31" s="1"/>
  <c r="S43" i="17" a="1"/>
  <c r="S43" i="17" s="1"/>
  <c r="P12" i="31" s="1"/>
  <c r="O43" i="17" a="1"/>
  <c r="O43" i="17" s="1"/>
  <c r="L12" i="31" s="1"/>
  <c r="R43" i="17" a="1"/>
  <c r="R43" i="17" s="1"/>
  <c r="O12" i="31" s="1"/>
  <c r="Y43" i="17" a="1"/>
  <c r="Y43" i="17" s="1"/>
  <c r="V12" i="31" s="1"/>
  <c r="M43" i="17" a="1"/>
  <c r="M43" i="17" s="1"/>
  <c r="J12" i="31" s="1"/>
  <c r="Z43" i="17" a="1"/>
  <c r="Z43" i="17" s="1"/>
  <c r="W12" i="31" s="1"/>
  <c r="T43" i="17" a="1"/>
  <c r="T43" i="17" s="1"/>
  <c r="Q12" i="31" s="1"/>
  <c r="X43" i="17" a="1"/>
  <c r="X43" i="17" s="1"/>
  <c r="U12" i="31" s="1"/>
  <c r="K43" i="17" a="1"/>
  <c r="K43" i="17" s="1"/>
  <c r="H12" i="31" s="1"/>
  <c r="J46" i="17" a="1"/>
  <c r="J46" i="17" s="1"/>
  <c r="G15" i="31" s="1"/>
  <c r="O46" i="17" a="1"/>
  <c r="O46" i="17" s="1"/>
  <c r="L15" i="31" s="1"/>
  <c r="Q46" i="17" a="1"/>
  <c r="Q46" i="17" s="1"/>
  <c r="N15" i="31" s="1"/>
  <c r="S46" i="17" a="1"/>
  <c r="S46" i="17" s="1"/>
  <c r="P15" i="31" s="1"/>
  <c r="Y46" i="17" a="1"/>
  <c r="Y46" i="17" s="1"/>
  <c r="V15" i="31" s="1"/>
  <c r="I46" i="17" a="1"/>
  <c r="I46" i="17" s="1"/>
  <c r="F15" i="31" s="1"/>
  <c r="H46" i="17" a="1"/>
  <c r="H46" i="17" s="1"/>
  <c r="E15" i="31" s="1"/>
  <c r="W46" i="17" a="1"/>
  <c r="W46" i="17" s="1"/>
  <c r="T15" i="31" s="1"/>
  <c r="M46" i="17" a="1"/>
  <c r="M46" i="17" s="1"/>
  <c r="J15" i="31" s="1"/>
  <c r="U46" i="17" a="1"/>
  <c r="U46" i="17" s="1"/>
  <c r="R15" i="31" s="1"/>
  <c r="G46" i="17" a="1"/>
  <c r="G46" i="17" s="1"/>
  <c r="D15" i="31" s="1"/>
  <c r="Z46" i="17" a="1"/>
  <c r="Z46" i="17" s="1"/>
  <c r="W15" i="31" s="1"/>
  <c r="L46" i="17" a="1"/>
  <c r="L46" i="17" s="1"/>
  <c r="I15" i="31" s="1"/>
  <c r="X46" i="17" a="1"/>
  <c r="X46" i="17" s="1"/>
  <c r="U15" i="31" s="1"/>
  <c r="N46" i="17" a="1"/>
  <c r="N46" i="17" s="1"/>
  <c r="K15" i="31" s="1"/>
  <c r="P46" i="17" a="1"/>
  <c r="P46" i="17" s="1"/>
  <c r="M15" i="31" s="1"/>
  <c r="R46" i="17" a="1"/>
  <c r="R46" i="17" s="1"/>
  <c r="O15" i="31" s="1"/>
  <c r="V46" i="17" a="1"/>
  <c r="V46" i="17" s="1"/>
  <c r="S15" i="31" s="1"/>
  <c r="T46" i="17" a="1"/>
  <c r="T46" i="17" s="1"/>
  <c r="Q15" i="31" s="1"/>
  <c r="K46" i="17" a="1"/>
  <c r="K46" i="17" s="1"/>
  <c r="H15" i="31" s="1"/>
  <c r="S28" i="31" l="1"/>
  <c r="S11" i="33" s="1"/>
  <c r="S12" i="33" s="1"/>
  <c r="N28" i="31"/>
  <c r="N11" i="33" s="1"/>
  <c r="N12" i="33" s="1"/>
  <c r="G28" i="31"/>
  <c r="G11" i="33" s="1"/>
  <c r="G12" i="33" s="1"/>
  <c r="U28" i="31"/>
  <c r="U11" i="33" s="1"/>
  <c r="U12" i="33" s="1"/>
  <c r="E28" i="31"/>
  <c r="E11" i="33" s="1"/>
  <c r="E12" i="33" s="1"/>
  <c r="H28" i="31"/>
  <c r="H11" i="33" s="1"/>
  <c r="H12" i="33" s="1"/>
  <c r="D28" i="31"/>
  <c r="D11" i="33" s="1"/>
  <c r="D12" i="33" s="1"/>
  <c r="P28" i="31"/>
  <c r="P11" i="33" s="1"/>
  <c r="P12" i="33" s="1"/>
  <c r="L28" i="31"/>
  <c r="L11" i="33" s="1"/>
  <c r="L12" i="33" s="1"/>
  <c r="I28" i="31"/>
  <c r="I11" i="33" s="1"/>
  <c r="I12" i="33" s="1"/>
  <c r="K8" i="31"/>
  <c r="Q8" i="31"/>
  <c r="O8" i="31"/>
  <c r="H8" i="31"/>
  <c r="I21" i="31"/>
  <c r="I7" i="33" s="1"/>
  <c r="I8" i="33" s="1"/>
  <c r="P21" i="31"/>
  <c r="P7" i="33" s="1"/>
  <c r="P8" i="33" s="1"/>
  <c r="W16" i="31"/>
  <c r="E16" i="31"/>
  <c r="T28" i="31"/>
  <c r="T11" i="33" s="1"/>
  <c r="T12" i="33" s="1"/>
  <c r="F28" i="31"/>
  <c r="F11" i="33" s="1"/>
  <c r="F12" i="33" s="1"/>
  <c r="W8" i="31"/>
  <c r="L8" i="31"/>
  <c r="F8" i="31"/>
  <c r="N21" i="31"/>
  <c r="N7" i="33" s="1"/>
  <c r="N8" i="33" s="1"/>
  <c r="F21" i="31"/>
  <c r="F7" i="33" s="1"/>
  <c r="F8" i="33" s="1"/>
  <c r="J16" i="31"/>
  <c r="R16" i="31"/>
  <c r="S16" i="31"/>
  <c r="R28" i="31"/>
  <c r="R11" i="33" s="1"/>
  <c r="R12" i="33" s="1"/>
  <c r="V28" i="31"/>
  <c r="V11" i="33" s="1"/>
  <c r="V12" i="33" s="1"/>
  <c r="M21" i="31"/>
  <c r="M7" i="33" s="1"/>
  <c r="M8" i="33" s="1"/>
  <c r="O21" i="31"/>
  <c r="O7" i="33" s="1"/>
  <c r="O8" i="33" s="1"/>
  <c r="L21" i="31"/>
  <c r="L7" i="33" s="1"/>
  <c r="L8" i="33" s="1"/>
  <c r="I26" i="33"/>
  <c r="I22" i="33"/>
  <c r="I18" i="33"/>
  <c r="I6" i="33"/>
  <c r="I14" i="33"/>
  <c r="M8" i="31"/>
  <c r="O22" i="33"/>
  <c r="O26" i="33"/>
  <c r="O14" i="33"/>
  <c r="O18" i="33"/>
  <c r="O6" i="33"/>
  <c r="P7" i="36"/>
  <c r="P15" i="36"/>
  <c r="P8" i="36"/>
  <c r="P9" i="36"/>
  <c r="P16" i="36"/>
  <c r="P17" i="36"/>
  <c r="G16" i="31"/>
  <c r="O16" i="31"/>
  <c r="O47" i="17" a="1"/>
  <c r="O47" i="17" s="1"/>
  <c r="H47" i="17" a="1"/>
  <c r="H47" i="17" s="1"/>
  <c r="Z47" i="17" a="1"/>
  <c r="Z47" i="17" s="1"/>
  <c r="I47" i="17" a="1"/>
  <c r="I47" i="17" s="1"/>
  <c r="K47" i="17" a="1"/>
  <c r="K47" i="17" s="1"/>
  <c r="U47" i="17" a="1"/>
  <c r="U47" i="17" s="1"/>
  <c r="T47" i="17" a="1"/>
  <c r="T47" i="17" s="1"/>
  <c r="N47" i="17" a="1"/>
  <c r="N47" i="17" s="1"/>
  <c r="P47" i="17" a="1"/>
  <c r="P47" i="17" s="1"/>
  <c r="M47" i="17" a="1"/>
  <c r="M47" i="17" s="1"/>
  <c r="W47" i="17" a="1"/>
  <c r="W47" i="17" s="1"/>
  <c r="X47" i="17" a="1"/>
  <c r="X47" i="17" s="1"/>
  <c r="V47" i="17" a="1"/>
  <c r="V47" i="17" s="1"/>
  <c r="J47" i="17" a="1"/>
  <c r="J47" i="17" s="1"/>
  <c r="Q47" i="17" a="1"/>
  <c r="Q47" i="17" s="1"/>
  <c r="G47" i="17" a="1"/>
  <c r="G47" i="17" s="1"/>
  <c r="Y47" i="17" a="1"/>
  <c r="Y47" i="17" s="1"/>
  <c r="S47" i="17" a="1"/>
  <c r="S47" i="17" s="1"/>
  <c r="R47" i="17" a="1"/>
  <c r="R47" i="17" s="1"/>
  <c r="L47" i="17" a="1"/>
  <c r="L47" i="17" s="1"/>
  <c r="G9" i="36"/>
  <c r="G17" i="36"/>
  <c r="G7" i="36"/>
  <c r="G15" i="36"/>
  <c r="G16" i="36"/>
  <c r="G8" i="36"/>
  <c r="M28" i="31"/>
  <c r="M11" i="33" s="1"/>
  <c r="M12" i="33" s="1"/>
  <c r="M59" i="17" a="1"/>
  <c r="M59" i="17" s="1"/>
  <c r="S59" i="17" a="1"/>
  <c r="S59" i="17" s="1"/>
  <c r="Y59" i="17" a="1"/>
  <c r="Y59" i="17" s="1"/>
  <c r="X59" i="17" a="1"/>
  <c r="X59" i="17" s="1"/>
  <c r="J59" i="17" a="1"/>
  <c r="J59" i="17" s="1"/>
  <c r="T59" i="17" a="1"/>
  <c r="T59" i="17" s="1"/>
  <c r="R59" i="17" a="1"/>
  <c r="R59" i="17" s="1"/>
  <c r="O59" i="17" a="1"/>
  <c r="O59" i="17" s="1"/>
  <c r="U59" i="17" a="1"/>
  <c r="U59" i="17" s="1"/>
  <c r="W59" i="17" a="1"/>
  <c r="W59" i="17" s="1"/>
  <c r="I59" i="17" a="1"/>
  <c r="I59" i="17" s="1"/>
  <c r="Q59" i="17" a="1"/>
  <c r="Q59" i="17" s="1"/>
  <c r="Z59" i="17" a="1"/>
  <c r="Z59" i="17" s="1"/>
  <c r="V59" i="17" a="1"/>
  <c r="V59" i="17" s="1"/>
  <c r="K59" i="17" a="1"/>
  <c r="K59" i="17" s="1"/>
  <c r="N59" i="17" a="1"/>
  <c r="N59" i="17" s="1"/>
  <c r="G59" i="17" a="1"/>
  <c r="G59" i="17" s="1"/>
  <c r="P59" i="17" a="1"/>
  <c r="P59" i="17" s="1"/>
  <c r="H59" i="17" a="1"/>
  <c r="H59" i="17" s="1"/>
  <c r="L59" i="17" a="1"/>
  <c r="L59" i="17" s="1"/>
  <c r="J8" i="31"/>
  <c r="V8" i="31"/>
  <c r="R8" i="31"/>
  <c r="G14" i="33"/>
  <c r="G26" i="33"/>
  <c r="G18" i="33"/>
  <c r="G22" i="33"/>
  <c r="G6" i="33"/>
  <c r="W21" i="31"/>
  <c r="W7" i="33" s="1"/>
  <c r="W8" i="33" s="1"/>
  <c r="T21" i="31"/>
  <c r="T7" i="33" s="1"/>
  <c r="G21" i="31"/>
  <c r="G7" i="33" s="1"/>
  <c r="G8" i="33" s="1"/>
  <c r="P22" i="33"/>
  <c r="P14" i="33"/>
  <c r="P18" i="33"/>
  <c r="P6" i="33"/>
  <c r="P26" i="33"/>
  <c r="AC5" i="33"/>
  <c r="H26" i="33"/>
  <c r="H18" i="33"/>
  <c r="H6" i="33"/>
  <c r="H22" i="33"/>
  <c r="H14" i="33"/>
  <c r="AA5" i="33"/>
  <c r="T18" i="33"/>
  <c r="T6" i="33"/>
  <c r="T22" i="33"/>
  <c r="T26" i="33"/>
  <c r="T14" i="33"/>
  <c r="AD5" i="33"/>
  <c r="J22" i="33"/>
  <c r="J14" i="33"/>
  <c r="J6" i="33"/>
  <c r="J26" i="33"/>
  <c r="J18" i="33"/>
  <c r="W8" i="36"/>
  <c r="W7" i="36"/>
  <c r="W9" i="36"/>
  <c r="W15" i="36"/>
  <c r="W16" i="36"/>
  <c r="W17" i="36"/>
  <c r="D16" i="31"/>
  <c r="N18" i="33"/>
  <c r="N22" i="33"/>
  <c r="N6" i="33"/>
  <c r="N14" i="33"/>
  <c r="N26" i="33"/>
  <c r="D18" i="33"/>
  <c r="D14" i="33"/>
  <c r="D26" i="33"/>
  <c r="D6" i="33"/>
  <c r="D22" i="33"/>
  <c r="Z5" i="33"/>
  <c r="Y9" i="36"/>
  <c r="AF9" i="36" s="1"/>
  <c r="G40" i="38" s="1"/>
  <c r="Y17" i="36"/>
  <c r="Y7" i="36"/>
  <c r="AF7" i="36" s="1"/>
  <c r="G38" i="38" s="1"/>
  <c r="Y8" i="36"/>
  <c r="AF8" i="36" s="1"/>
  <c r="G39" i="38" s="1"/>
  <c r="Y16" i="36"/>
  <c r="Y15" i="36"/>
  <c r="M18" i="33"/>
  <c r="M14" i="33"/>
  <c r="M22" i="33"/>
  <c r="M26" i="33"/>
  <c r="M6" i="33"/>
  <c r="Q16" i="31"/>
  <c r="P16" i="31"/>
  <c r="F7" i="36"/>
  <c r="F8" i="36"/>
  <c r="F16" i="36"/>
  <c r="D15" i="37" s="1"/>
  <c r="F17" i="36"/>
  <c r="D16" i="37" s="1"/>
  <c r="F9" i="36"/>
  <c r="F15" i="36"/>
  <c r="H16" i="36"/>
  <c r="H9" i="36"/>
  <c r="H17" i="36"/>
  <c r="H7" i="36"/>
  <c r="H15" i="36"/>
  <c r="H8" i="36"/>
  <c r="W6" i="33"/>
  <c r="W14" i="33"/>
  <c r="W22" i="33"/>
  <c r="W26" i="33"/>
  <c r="W18" i="33"/>
  <c r="T8" i="31"/>
  <c r="U8" i="31"/>
  <c r="G8" i="31"/>
  <c r="Q21" i="31"/>
  <c r="Q7" i="33" s="1"/>
  <c r="Q8" i="33" s="1"/>
  <c r="J21" i="31"/>
  <c r="J7" i="33" s="1"/>
  <c r="J8" i="33" s="1"/>
  <c r="U52" i="17" a="1"/>
  <c r="U52" i="17" s="1"/>
  <c r="M52" i="17" a="1"/>
  <c r="M52" i="17" s="1"/>
  <c r="V52" i="17" a="1"/>
  <c r="V52" i="17" s="1"/>
  <c r="W52" i="17" a="1"/>
  <c r="W52" i="17" s="1"/>
  <c r="S52" i="17" a="1"/>
  <c r="S52" i="17" s="1"/>
  <c r="R52" i="17" a="1"/>
  <c r="R52" i="17" s="1"/>
  <c r="Y52" i="17" a="1"/>
  <c r="Y52" i="17" s="1"/>
  <c r="Q52" i="17" a="1"/>
  <c r="Q52" i="17" s="1"/>
  <c r="N52" i="17" a="1"/>
  <c r="N52" i="17" s="1"/>
  <c r="H52" i="17" a="1"/>
  <c r="H52" i="17" s="1"/>
  <c r="X52" i="17" a="1"/>
  <c r="X52" i="17" s="1"/>
  <c r="J52" i="17" a="1"/>
  <c r="J52" i="17" s="1"/>
  <c r="K52" i="17" a="1"/>
  <c r="K52" i="17" s="1"/>
  <c r="O52" i="17" a="1"/>
  <c r="O52" i="17" s="1"/>
  <c r="P52" i="17" a="1"/>
  <c r="P52" i="17" s="1"/>
  <c r="T52" i="17" a="1"/>
  <c r="T52" i="17" s="1"/>
  <c r="I52" i="17" a="1"/>
  <c r="I52" i="17" s="1"/>
  <c r="G52" i="17" a="1"/>
  <c r="G52" i="17" s="1"/>
  <c r="L52" i="17" a="1"/>
  <c r="L52" i="17" s="1"/>
  <c r="Z52" i="17" a="1"/>
  <c r="Z52" i="17" s="1"/>
  <c r="T16" i="36"/>
  <c r="T15" i="36"/>
  <c r="T7" i="36"/>
  <c r="T8" i="36"/>
  <c r="T17" i="36"/>
  <c r="T9" i="36"/>
  <c r="I8" i="36"/>
  <c r="I16" i="36"/>
  <c r="I17" i="36"/>
  <c r="I15" i="36"/>
  <c r="I7" i="36"/>
  <c r="I9" i="36"/>
  <c r="E21" i="31"/>
  <c r="E7" i="33" s="1"/>
  <c r="E8" i="33" s="1"/>
  <c r="R22" i="33"/>
  <c r="R26" i="33"/>
  <c r="R18" i="33"/>
  <c r="R6" i="33"/>
  <c r="R14" i="33"/>
  <c r="X9" i="36"/>
  <c r="X17" i="36"/>
  <c r="X7" i="36"/>
  <c r="X8" i="36"/>
  <c r="X16" i="36"/>
  <c r="X15" i="36"/>
  <c r="O7" i="36"/>
  <c r="O9" i="36"/>
  <c r="O8" i="36"/>
  <c r="O17" i="36"/>
  <c r="O16" i="36"/>
  <c r="O15" i="36"/>
  <c r="U16" i="31"/>
  <c r="T16" i="31"/>
  <c r="F26" i="33"/>
  <c r="F14" i="33"/>
  <c r="F18" i="33"/>
  <c r="F6" i="33"/>
  <c r="F22" i="33"/>
  <c r="P8" i="31"/>
  <c r="N8" i="31"/>
  <c r="Z21" i="19"/>
  <c r="U39" i="17" a="1"/>
  <c r="U39" i="17" s="1"/>
  <c r="M39" i="17" a="1"/>
  <c r="M39" i="17" s="1"/>
  <c r="V39" i="17" a="1"/>
  <c r="V39" i="17" s="1"/>
  <c r="H39" i="17" a="1"/>
  <c r="H39" i="17" s="1"/>
  <c r="T39" i="17" a="1"/>
  <c r="T39" i="17" s="1"/>
  <c r="Q39" i="17" a="1"/>
  <c r="Q39" i="17" s="1"/>
  <c r="Y39" i="17" a="1"/>
  <c r="Y39" i="17" s="1"/>
  <c r="N39" i="17" a="1"/>
  <c r="N39" i="17" s="1"/>
  <c r="I39" i="17" a="1"/>
  <c r="I39" i="17" s="1"/>
  <c r="P39" i="17" a="1"/>
  <c r="P39" i="17" s="1"/>
  <c r="L39" i="17" a="1"/>
  <c r="L39" i="17" s="1"/>
  <c r="O39" i="17" a="1"/>
  <c r="O39" i="17" s="1"/>
  <c r="R39" i="17" a="1"/>
  <c r="R39" i="17" s="1"/>
  <c r="J39" i="17" a="1"/>
  <c r="J39" i="17" s="1"/>
  <c r="W39" i="17" a="1"/>
  <c r="W39" i="17" s="1"/>
  <c r="Z39" i="17" a="1"/>
  <c r="Z39" i="17" s="1"/>
  <c r="G39" i="17" a="1"/>
  <c r="G39" i="17" s="1"/>
  <c r="S39" i="17" a="1"/>
  <c r="S39" i="17" s="1"/>
  <c r="X39" i="17" a="1"/>
  <c r="X39" i="17" s="1"/>
  <c r="K39" i="17" a="1"/>
  <c r="K39" i="17" s="1"/>
  <c r="D21" i="31"/>
  <c r="D7" i="33" s="1"/>
  <c r="R21" i="31"/>
  <c r="R7" i="33" s="1"/>
  <c r="R8" i="33" s="1"/>
  <c r="M8" i="36"/>
  <c r="M16" i="36"/>
  <c r="M15" i="36"/>
  <c r="M7" i="36"/>
  <c r="M9" i="36"/>
  <c r="M17" i="36"/>
  <c r="S8" i="36"/>
  <c r="S9" i="36"/>
  <c r="S16" i="36"/>
  <c r="S7" i="36"/>
  <c r="S15" i="36"/>
  <c r="S17" i="36"/>
  <c r="Q16" i="36"/>
  <c r="Q17" i="36"/>
  <c r="Q7" i="36"/>
  <c r="Q9" i="36"/>
  <c r="Q15" i="36"/>
  <c r="Q8" i="36"/>
  <c r="L16" i="31"/>
  <c r="E26" i="33"/>
  <c r="E18" i="33"/>
  <c r="E22" i="33"/>
  <c r="E14" i="33"/>
  <c r="E6" i="33"/>
  <c r="L8" i="36"/>
  <c r="L9" i="36"/>
  <c r="L17" i="36"/>
  <c r="L7" i="36"/>
  <c r="L16" i="36"/>
  <c r="L15" i="36"/>
  <c r="R8" i="36"/>
  <c r="R7" i="36"/>
  <c r="R17" i="36"/>
  <c r="R9" i="36"/>
  <c r="R16" i="36"/>
  <c r="R15" i="36"/>
  <c r="V26" i="33"/>
  <c r="V6" i="33"/>
  <c r="V14" i="33"/>
  <c r="V22" i="33"/>
  <c r="V18" i="33"/>
  <c r="M16" i="31"/>
  <c r="H16" i="31"/>
  <c r="F16" i="31"/>
  <c r="V9" i="36"/>
  <c r="V7" i="36"/>
  <c r="V8" i="36"/>
  <c r="V16" i="36"/>
  <c r="V15" i="36"/>
  <c r="V17" i="36"/>
  <c r="J28" i="31"/>
  <c r="J11" i="33" s="1"/>
  <c r="J12" i="33" s="1"/>
  <c r="W28" i="31"/>
  <c r="W11" i="33" s="1"/>
  <c r="W12" i="33" s="1"/>
  <c r="S26" i="33"/>
  <c r="S14" i="33"/>
  <c r="S22" i="33"/>
  <c r="S6" i="33"/>
  <c r="S18" i="33"/>
  <c r="D8" i="31"/>
  <c r="S8" i="31"/>
  <c r="U14" i="33"/>
  <c r="U26" i="33"/>
  <c r="U18" i="33"/>
  <c r="U22" i="33"/>
  <c r="U6" i="33"/>
  <c r="H21" i="31"/>
  <c r="H7" i="33" s="1"/>
  <c r="U21" i="31"/>
  <c r="U7" i="33" s="1"/>
  <c r="U8" i="33" s="1"/>
  <c r="N7" i="36"/>
  <c r="N8" i="36"/>
  <c r="N9" i="36"/>
  <c r="N15" i="36"/>
  <c r="N17" i="36"/>
  <c r="N16" i="36"/>
  <c r="Q26" i="33"/>
  <c r="Q22" i="33"/>
  <c r="Q6" i="33"/>
  <c r="Q14" i="33"/>
  <c r="Q18" i="33"/>
  <c r="V21" i="31"/>
  <c r="V7" i="33" s="1"/>
  <c r="V8" i="33" s="1"/>
  <c r="N16" i="31"/>
  <c r="K8" i="36"/>
  <c r="K7" i="36"/>
  <c r="K9" i="36"/>
  <c r="K17" i="36"/>
  <c r="K16" i="36"/>
  <c r="K15" i="36"/>
  <c r="J8" i="36"/>
  <c r="J15" i="36"/>
  <c r="J7" i="36"/>
  <c r="J9" i="36"/>
  <c r="J17" i="36"/>
  <c r="J16" i="36"/>
  <c r="V16" i="31"/>
  <c r="K16" i="31"/>
  <c r="I16" i="31"/>
  <c r="K28" i="31"/>
  <c r="K11" i="33" s="1"/>
  <c r="K12" i="33" s="1"/>
  <c r="O28" i="31"/>
  <c r="O11" i="33" s="1"/>
  <c r="O12" i="33" s="1"/>
  <c r="Q28" i="31"/>
  <c r="Q11" i="33" s="1"/>
  <c r="Q12" i="33" s="1"/>
  <c r="U17" i="36"/>
  <c r="U7" i="36"/>
  <c r="U15" i="36"/>
  <c r="U8" i="36"/>
  <c r="U16" i="36"/>
  <c r="U9" i="36"/>
  <c r="I8" i="31"/>
  <c r="E8" i="31"/>
  <c r="S21" i="31"/>
  <c r="S7" i="33" s="1"/>
  <c r="S8" i="33" s="1"/>
  <c r="K21" i="31"/>
  <c r="K7" i="33" s="1"/>
  <c r="K8" i="33" s="1"/>
  <c r="K18" i="33"/>
  <c r="K26" i="33"/>
  <c r="K6" i="33"/>
  <c r="K22" i="33"/>
  <c r="K14" i="33"/>
  <c r="L18" i="33"/>
  <c r="L6" i="33"/>
  <c r="L22" i="33"/>
  <c r="L14" i="33"/>
  <c r="L26" i="33"/>
  <c r="AB5" i="33"/>
  <c r="V15" i="37" l="1"/>
  <c r="F16" i="37"/>
  <c r="F17" i="31"/>
  <c r="F9" i="33" s="1"/>
  <c r="M10" i="37"/>
  <c r="W17" i="31"/>
  <c r="W9" i="33" s="1"/>
  <c r="H17" i="31"/>
  <c r="H9" i="33" s="1"/>
  <c r="L17" i="31"/>
  <c r="L9" i="33" s="1"/>
  <c r="R11" i="37"/>
  <c r="W10" i="37"/>
  <c r="E17" i="31"/>
  <c r="E9" i="33" s="1"/>
  <c r="N11" i="37"/>
  <c r="AB7" i="33"/>
  <c r="E11" i="38" s="1"/>
  <c r="I17" i="31"/>
  <c r="I9" i="33" s="1"/>
  <c r="J11" i="37"/>
  <c r="Q12" i="37"/>
  <c r="K17" i="31"/>
  <c r="K9" i="33" s="1"/>
  <c r="U10" i="37"/>
  <c r="J17" i="31"/>
  <c r="J9" i="33" s="1"/>
  <c r="J10" i="33" s="1"/>
  <c r="O17" i="31"/>
  <c r="O9" i="33" s="1"/>
  <c r="Z11" i="33"/>
  <c r="C15" i="38" s="1"/>
  <c r="U12" i="37"/>
  <c r="Q17" i="31"/>
  <c r="Q9" i="33" s="1"/>
  <c r="R12" i="37"/>
  <c r="S17" i="31"/>
  <c r="S34" i="31" s="1"/>
  <c r="K10" i="37"/>
  <c r="AD11" i="33"/>
  <c r="AD12" i="33" s="1"/>
  <c r="G16" i="38" s="1"/>
  <c r="I16" i="37"/>
  <c r="S10" i="37"/>
  <c r="J16" i="37"/>
  <c r="P16" i="37"/>
  <c r="I15" i="37"/>
  <c r="R17" i="31"/>
  <c r="R34" i="31" s="1"/>
  <c r="U16" i="37"/>
  <c r="AA11" i="33"/>
  <c r="AA12" i="33" s="1"/>
  <c r="D16" i="38" s="1"/>
  <c r="T15" i="37"/>
  <c r="E15" i="37"/>
  <c r="O10" i="37"/>
  <c r="K12" i="37"/>
  <c r="R10" i="37"/>
  <c r="G10" i="37"/>
  <c r="H15" i="37"/>
  <c r="N17" i="31"/>
  <c r="N9" i="33" s="1"/>
  <c r="R16" i="37"/>
  <c r="U11" i="37"/>
  <c r="H16" i="37"/>
  <c r="M11" i="37"/>
  <c r="I12" i="37"/>
  <c r="J10" i="37"/>
  <c r="S11" i="37"/>
  <c r="D11" i="37"/>
  <c r="E11" i="37"/>
  <c r="P15" i="37"/>
  <c r="AB11" i="33"/>
  <c r="AC9" i="36"/>
  <c r="D40" i="38" s="1"/>
  <c r="L12" i="37"/>
  <c r="W11" i="37"/>
  <c r="AB15" i="36"/>
  <c r="C46" i="38" s="1"/>
  <c r="I18" i="36"/>
  <c r="G14" i="37"/>
  <c r="S15" i="37"/>
  <c r="AE16" i="36"/>
  <c r="F47" i="38" s="1"/>
  <c r="AA7" i="33"/>
  <c r="H8" i="33"/>
  <c r="AD8" i="36"/>
  <c r="E39" i="38" s="1"/>
  <c r="P11" i="37"/>
  <c r="M15" i="37"/>
  <c r="G16" i="37"/>
  <c r="AB17" i="36"/>
  <c r="C48" i="38" s="1"/>
  <c r="T18" i="36"/>
  <c r="T21" i="36" s="1"/>
  <c r="R14" i="37"/>
  <c r="G17" i="31"/>
  <c r="F15" i="37"/>
  <c r="AF15" i="36"/>
  <c r="G46" i="38" s="1"/>
  <c r="W14" i="37"/>
  <c r="Y18" i="36"/>
  <c r="Z26" i="33"/>
  <c r="C30" i="38" s="1"/>
  <c r="Z22" i="33"/>
  <c r="C26" i="38" s="1"/>
  <c r="Z14" i="33"/>
  <c r="C18" i="38" s="1"/>
  <c r="Z6" i="33"/>
  <c r="C10" i="38" s="1"/>
  <c r="C9" i="38"/>
  <c r="Z18" i="33"/>
  <c r="C22" i="38" s="1"/>
  <c r="U15" i="37"/>
  <c r="E16" i="37"/>
  <c r="N16" i="37"/>
  <c r="AB6" i="33"/>
  <c r="E10" i="38" s="1"/>
  <c r="AB14" i="33"/>
  <c r="E18" i="38" s="1"/>
  <c r="AB18" i="33"/>
  <c r="E22" i="38" s="1"/>
  <c r="AB22" i="33"/>
  <c r="E26" i="38" s="1"/>
  <c r="AB26" i="33"/>
  <c r="E30" i="38" s="1"/>
  <c r="E9" i="38"/>
  <c r="AB7" i="36"/>
  <c r="C38" i="38" s="1"/>
  <c r="H10" i="37"/>
  <c r="E10" i="37"/>
  <c r="D10" i="37"/>
  <c r="E14" i="37"/>
  <c r="G18" i="36"/>
  <c r="G21" i="36" s="1"/>
  <c r="AE9" i="36"/>
  <c r="F40" i="38" s="1"/>
  <c r="T12" i="37"/>
  <c r="J18" i="36"/>
  <c r="J21" i="36" s="1"/>
  <c r="H14" i="37"/>
  <c r="M14" i="37"/>
  <c r="O18" i="36"/>
  <c r="O21" i="36" s="1"/>
  <c r="G12" i="37"/>
  <c r="F10" i="37"/>
  <c r="I11" i="37"/>
  <c r="D17" i="31"/>
  <c r="AC7" i="33"/>
  <c r="K11" i="37"/>
  <c r="Q16" i="37"/>
  <c r="L10" i="37"/>
  <c r="AC7" i="36"/>
  <c r="D38" i="38" s="1"/>
  <c r="AE8" i="36"/>
  <c r="F39" i="38" s="1"/>
  <c r="T11" i="37"/>
  <c r="K18" i="36"/>
  <c r="K21" i="36" s="1"/>
  <c r="I14" i="37"/>
  <c r="L15" i="37"/>
  <c r="T16" i="37"/>
  <c r="Q10" i="37"/>
  <c r="AD15" i="36"/>
  <c r="E46" i="38" s="1"/>
  <c r="O14" i="37"/>
  <c r="Q18" i="36"/>
  <c r="Q14" i="37"/>
  <c r="S18" i="36"/>
  <c r="S21" i="36" s="1"/>
  <c r="AC15" i="36"/>
  <c r="D46" i="38" s="1"/>
  <c r="M18" i="36"/>
  <c r="K14" i="37"/>
  <c r="M16" i="37"/>
  <c r="V16" i="37"/>
  <c r="G15" i="37"/>
  <c r="AB16" i="36"/>
  <c r="C47" i="38" s="1"/>
  <c r="R15" i="37"/>
  <c r="U17" i="31"/>
  <c r="F18" i="36"/>
  <c r="F21" i="36" s="1"/>
  <c r="D14" i="37"/>
  <c r="W15" i="37"/>
  <c r="AF16" i="36"/>
  <c r="G47" i="38" s="1"/>
  <c r="W18" i="36"/>
  <c r="W21" i="36" s="1"/>
  <c r="U14" i="37"/>
  <c r="F12" i="37"/>
  <c r="N15" i="37"/>
  <c r="R18" i="36"/>
  <c r="R21" i="36" s="1"/>
  <c r="P14" i="37"/>
  <c r="O15" i="37"/>
  <c r="AD16" i="36"/>
  <c r="E47" i="38" s="1"/>
  <c r="D8" i="33"/>
  <c r="Z7" i="33"/>
  <c r="X18" i="36"/>
  <c r="X21" i="36" s="1"/>
  <c r="V14" i="37"/>
  <c r="U18" i="36"/>
  <c r="AE15" i="36"/>
  <c r="F46" i="38" s="1"/>
  <c r="S14" i="37"/>
  <c r="V18" i="36"/>
  <c r="V21" i="36" s="1"/>
  <c r="T14" i="37"/>
  <c r="AD9" i="36"/>
  <c r="E40" i="38" s="1"/>
  <c r="P12" i="37"/>
  <c r="K15" i="37"/>
  <c r="AC16" i="36"/>
  <c r="D47" i="38" s="1"/>
  <c r="W12" i="37"/>
  <c r="V12" i="37"/>
  <c r="N18" i="36"/>
  <c r="N21" i="36" s="1"/>
  <c r="L14" i="37"/>
  <c r="L18" i="36"/>
  <c r="L21" i="36" s="1"/>
  <c r="J14" i="37"/>
  <c r="Q15" i="37"/>
  <c r="AC8" i="36"/>
  <c r="D39" i="38" s="1"/>
  <c r="L11" i="37"/>
  <c r="N12" i="37"/>
  <c r="G11" i="37"/>
  <c r="V10" i="37"/>
  <c r="V17" i="31"/>
  <c r="O11" i="37"/>
  <c r="AB9" i="36"/>
  <c r="C40" i="38" s="1"/>
  <c r="H12" i="37"/>
  <c r="I10" i="37"/>
  <c r="K16" i="37"/>
  <c r="AC17" i="36"/>
  <c r="D48" i="38" s="1"/>
  <c r="L16" i="37"/>
  <c r="Q11" i="37"/>
  <c r="J48" i="17" a="1"/>
  <c r="J48" i="17" s="1"/>
  <c r="Q48" i="17" a="1"/>
  <c r="Q48" i="17" s="1"/>
  <c r="M48" i="17" a="1"/>
  <c r="M48" i="17" s="1"/>
  <c r="R48" i="17" a="1"/>
  <c r="R48" i="17" s="1"/>
  <c r="W48" i="17" a="1"/>
  <c r="W48" i="17" s="1"/>
  <c r="V48" i="17" a="1"/>
  <c r="V48" i="17" s="1"/>
  <c r="P48" i="17" a="1"/>
  <c r="P48" i="17" s="1"/>
  <c r="S48" i="17" a="1"/>
  <c r="S48" i="17" s="1"/>
  <c r="G48" i="17" a="1"/>
  <c r="G48" i="17" s="1"/>
  <c r="N48" i="17" a="1"/>
  <c r="N48" i="17" s="1"/>
  <c r="T48" i="17" a="1"/>
  <c r="T48" i="17" s="1"/>
  <c r="U48" i="17" a="1"/>
  <c r="U48" i="17" s="1"/>
  <c r="Y48" i="17" a="1"/>
  <c r="Y48" i="17" s="1"/>
  <c r="H48" i="17" a="1"/>
  <c r="H48" i="17" s="1"/>
  <c r="L48" i="17" a="1"/>
  <c r="L48" i="17" s="1"/>
  <c r="Z48" i="17" a="1"/>
  <c r="Z48" i="17" s="1"/>
  <c r="K48" i="17" a="1"/>
  <c r="K48" i="17" s="1"/>
  <c r="X48" i="17" a="1"/>
  <c r="X48" i="17" s="1"/>
  <c r="I48" i="17" a="1"/>
  <c r="I48" i="17" s="1"/>
  <c r="O48" i="17" a="1"/>
  <c r="O48" i="17" s="1"/>
  <c r="Z38" i="19"/>
  <c r="AB8" i="36"/>
  <c r="C39" i="38" s="1"/>
  <c r="H11" i="37"/>
  <c r="T17" i="31"/>
  <c r="E12" i="37"/>
  <c r="D12" i="37"/>
  <c r="AC22" i="33"/>
  <c r="F26" i="38" s="1"/>
  <c r="AC6" i="33"/>
  <c r="F10" i="38" s="1"/>
  <c r="AC14" i="33"/>
  <c r="F18" i="38" s="1"/>
  <c r="AC26" i="33"/>
  <c r="F30" i="38" s="1"/>
  <c r="F9" i="38"/>
  <c r="AC18" i="33"/>
  <c r="F22" i="38" s="1"/>
  <c r="T8" i="33"/>
  <c r="AD7" i="33"/>
  <c r="O12" i="37"/>
  <c r="T10" i="37"/>
  <c r="AE7" i="36"/>
  <c r="F38" i="38" s="1"/>
  <c r="P10" i="37"/>
  <c r="AD7" i="36"/>
  <c r="E38" i="38" s="1"/>
  <c r="S16" i="37"/>
  <c r="AE17" i="36"/>
  <c r="F48" i="38" s="1"/>
  <c r="J12" i="37"/>
  <c r="M12" i="37"/>
  <c r="AC11" i="33"/>
  <c r="J15" i="37"/>
  <c r="O16" i="37"/>
  <c r="AD17" i="36"/>
  <c r="E48" i="38" s="1"/>
  <c r="P17" i="31"/>
  <c r="N10" i="37"/>
  <c r="S12" i="37"/>
  <c r="H18" i="36"/>
  <c r="H21" i="36" s="1"/>
  <c r="F14" i="37"/>
  <c r="W16" i="37"/>
  <c r="AF17" i="36"/>
  <c r="G48" i="38" s="1"/>
  <c r="V11" i="37"/>
  <c r="AD6" i="33"/>
  <c r="G10" i="38" s="1"/>
  <c r="AD18" i="33"/>
  <c r="G22" i="38" s="1"/>
  <c r="AD22" i="33"/>
  <c r="G26" i="38" s="1"/>
  <c r="AD14" i="33"/>
  <c r="G18" i="38" s="1"/>
  <c r="AD26" i="33"/>
  <c r="G30" i="38" s="1"/>
  <c r="G9" i="38"/>
  <c r="AA14" i="33"/>
  <c r="D18" i="38" s="1"/>
  <c r="AA22" i="33"/>
  <c r="D26" i="38" s="1"/>
  <c r="D9" i="38"/>
  <c r="AA6" i="33"/>
  <c r="D10" i="38" s="1"/>
  <c r="AA26" i="33"/>
  <c r="D30" i="38" s="1"/>
  <c r="AA18" i="33"/>
  <c r="D22" i="38" s="1"/>
  <c r="F11" i="37"/>
  <c r="P18" i="36"/>
  <c r="P21" i="36" s="1"/>
  <c r="N14" i="37"/>
  <c r="M17" i="31"/>
  <c r="Z16" i="37" l="1"/>
  <c r="C73" i="38" s="1"/>
  <c r="W34" i="31"/>
  <c r="F34" i="31"/>
  <c r="L34" i="31"/>
  <c r="H34" i="31"/>
  <c r="G15" i="38"/>
  <c r="D15" i="38"/>
  <c r="E34" i="31"/>
  <c r="J34" i="31"/>
  <c r="N34" i="31"/>
  <c r="AB8" i="33"/>
  <c r="E12" i="38" s="1"/>
  <c r="I34" i="31"/>
  <c r="K34" i="31"/>
  <c r="R9" i="33"/>
  <c r="R15" i="33" s="1"/>
  <c r="S9" i="33"/>
  <c r="S10" i="33" s="1"/>
  <c r="AA15" i="37"/>
  <c r="D72" i="38" s="1"/>
  <c r="Z12" i="33"/>
  <c r="C16" i="38" s="1"/>
  <c r="O34" i="31"/>
  <c r="AA11" i="37"/>
  <c r="D68" i="38" s="1"/>
  <c r="Q10" i="33"/>
  <c r="Q15" i="33"/>
  <c r="Q19" i="33" s="1"/>
  <c r="Q34" i="31"/>
  <c r="AD15" i="37"/>
  <c r="G72" i="38" s="1"/>
  <c r="AA16" i="37"/>
  <c r="D73" i="38" s="1"/>
  <c r="G17" i="37"/>
  <c r="Z12" i="37"/>
  <c r="C69" i="38" s="1"/>
  <c r="AB10" i="37"/>
  <c r="E67" i="38" s="1"/>
  <c r="Z10" i="37"/>
  <c r="C67" i="38" s="1"/>
  <c r="W17" i="37"/>
  <c r="AC16" i="37"/>
  <c r="F73" i="38" s="1"/>
  <c r="AC11" i="37"/>
  <c r="F68" i="38" s="1"/>
  <c r="F17" i="37"/>
  <c r="AB11" i="37"/>
  <c r="E68" i="38" s="1"/>
  <c r="Z15" i="37"/>
  <c r="C72" i="38" s="1"/>
  <c r="AB16" i="37"/>
  <c r="E73" i="38" s="1"/>
  <c r="AC10" i="37"/>
  <c r="F67" i="38" s="1"/>
  <c r="N17" i="37"/>
  <c r="F10" i="33"/>
  <c r="F15" i="33"/>
  <c r="P17" i="37"/>
  <c r="AC14" i="37"/>
  <c r="F71" i="38" s="1"/>
  <c r="U17" i="37"/>
  <c r="Q17" i="37"/>
  <c r="AB15" i="37"/>
  <c r="E72" i="38" s="1"/>
  <c r="AA14" i="37"/>
  <c r="D71" i="38" s="1"/>
  <c r="H17" i="37"/>
  <c r="AA10" i="37"/>
  <c r="D67" i="38" s="1"/>
  <c r="E54" i="39"/>
  <c r="J15" i="33"/>
  <c r="AA12" i="37"/>
  <c r="D69" i="38" s="1"/>
  <c r="F11" i="38"/>
  <c r="AC8" i="33"/>
  <c r="F12" i="38" s="1"/>
  <c r="G9" i="33"/>
  <c r="G34" i="31"/>
  <c r="E15" i="38"/>
  <c r="AB12" i="33"/>
  <c r="E16" i="38" s="1"/>
  <c r="AC12" i="33"/>
  <c r="F16" i="38" s="1"/>
  <c r="F15" i="38"/>
  <c r="M17" i="37"/>
  <c r="I21" i="36"/>
  <c r="AB21" i="36" s="1"/>
  <c r="C52" i="38" s="1"/>
  <c r="AB18" i="36"/>
  <c r="C49" i="38" s="1"/>
  <c r="F54" i="39"/>
  <c r="AD14" i="37"/>
  <c r="G71" i="38" s="1"/>
  <c r="T17" i="37"/>
  <c r="L10" i="33"/>
  <c r="L15" i="33"/>
  <c r="H10" i="33"/>
  <c r="AA9" i="33"/>
  <c r="V17" i="37"/>
  <c r="O17" i="37"/>
  <c r="D9" i="33"/>
  <c r="D34" i="31"/>
  <c r="AD12" i="37"/>
  <c r="G69" i="38" s="1"/>
  <c r="G54" i="39"/>
  <c r="R17" i="37"/>
  <c r="AB12" i="37"/>
  <c r="E69" i="38" s="1"/>
  <c r="AC15" i="37"/>
  <c r="F72" i="38" s="1"/>
  <c r="J17" i="37"/>
  <c r="E10" i="33"/>
  <c r="E15" i="33"/>
  <c r="AD11" i="37"/>
  <c r="G68" i="38" s="1"/>
  <c r="O10" i="33"/>
  <c r="O15" i="33"/>
  <c r="D11" i="38"/>
  <c r="AA8" i="33"/>
  <c r="D12" i="38" s="1"/>
  <c r="T9" i="33"/>
  <c r="T34" i="31"/>
  <c r="I17" i="37"/>
  <c r="Q65" i="17" a="1"/>
  <c r="Q65" i="17" s="1"/>
  <c r="W65" i="17" a="1"/>
  <c r="W65" i="17" s="1"/>
  <c r="L65" i="17" a="1"/>
  <c r="L65" i="17" s="1"/>
  <c r="H65" i="17" a="1"/>
  <c r="H65" i="17" s="1"/>
  <c r="U65" i="17" a="1"/>
  <c r="U65" i="17" s="1"/>
  <c r="I65" i="17" a="1"/>
  <c r="I65" i="17" s="1"/>
  <c r="O65" i="17" a="1"/>
  <c r="O65" i="17" s="1"/>
  <c r="K65" i="17" a="1"/>
  <c r="K65" i="17" s="1"/>
  <c r="G65" i="17" a="1"/>
  <c r="G65" i="17" s="1"/>
  <c r="R65" i="17" a="1"/>
  <c r="R65" i="17" s="1"/>
  <c r="N65" i="17" a="1"/>
  <c r="N65" i="17" s="1"/>
  <c r="V65" i="17" a="1"/>
  <c r="V65" i="17" s="1"/>
  <c r="M65" i="17" a="1"/>
  <c r="M65" i="17" s="1"/>
  <c r="X65" i="17" a="1"/>
  <c r="X65" i="17" s="1"/>
  <c r="Z65" i="17" a="1"/>
  <c r="Z65" i="17" s="1"/>
  <c r="T65" i="17" a="1"/>
  <c r="T65" i="17" s="1"/>
  <c r="Y65" i="17" a="1"/>
  <c r="Y65" i="17" s="1"/>
  <c r="J65" i="17" a="1"/>
  <c r="J65" i="17" s="1"/>
  <c r="S65" i="17" a="1"/>
  <c r="S65" i="17" s="1"/>
  <c r="P65" i="17" a="1"/>
  <c r="P65" i="17" s="1"/>
  <c r="V9" i="33"/>
  <c r="V34" i="31"/>
  <c r="K10" i="33"/>
  <c r="K15" i="33"/>
  <c r="C11" i="38"/>
  <c r="Z8" i="33"/>
  <c r="C12" i="38" s="1"/>
  <c r="D17" i="37"/>
  <c r="Z14" i="37"/>
  <c r="C71" i="38" s="1"/>
  <c r="K17" i="37"/>
  <c r="Z11" i="37"/>
  <c r="C68" i="38" s="1"/>
  <c r="U9" i="33"/>
  <c r="U34" i="31"/>
  <c r="M9" i="33"/>
  <c r="AB9" i="33" s="1"/>
  <c r="M34" i="31"/>
  <c r="H54" i="39"/>
  <c r="N10" i="33"/>
  <c r="N15" i="33"/>
  <c r="U21" i="36"/>
  <c r="AE21" i="36" s="1"/>
  <c r="F52" i="38" s="1"/>
  <c r="AE18" i="36"/>
  <c r="F49" i="38" s="1"/>
  <c r="W10" i="33"/>
  <c r="W15" i="33"/>
  <c r="AD10" i="37"/>
  <c r="G67" i="38" s="1"/>
  <c r="I10" i="33"/>
  <c r="I15" i="33"/>
  <c r="AD18" i="36"/>
  <c r="E49" i="38" s="1"/>
  <c r="Q21" i="36"/>
  <c r="AD21" i="36" s="1"/>
  <c r="E52" i="38" s="1"/>
  <c r="P9" i="33"/>
  <c r="P34" i="31"/>
  <c r="I54" i="39"/>
  <c r="G11" i="38"/>
  <c r="AD8" i="33"/>
  <c r="G12" i="38" s="1"/>
  <c r="H15" i="33"/>
  <c r="L17" i="37"/>
  <c r="AB14" i="37"/>
  <c r="E71" i="38" s="1"/>
  <c r="AC12" i="37"/>
  <c r="F69" i="38" s="1"/>
  <c r="S17" i="37"/>
  <c r="AC18" i="36"/>
  <c r="D49" i="38" s="1"/>
  <c r="M21" i="36"/>
  <c r="AC21" i="36" s="1"/>
  <c r="D52" i="38" s="1"/>
  <c r="AD16" i="37"/>
  <c r="G73" i="38" s="1"/>
  <c r="E17" i="37"/>
  <c r="AF18" i="36"/>
  <c r="G49" i="38" s="1"/>
  <c r="Y21" i="36"/>
  <c r="AF21" i="36" s="1"/>
  <c r="G52" i="38" s="1"/>
  <c r="R10" i="33" l="1"/>
  <c r="Q16" i="33"/>
  <c r="S15" i="33"/>
  <c r="S19" i="33" s="1"/>
  <c r="S23" i="33" s="1"/>
  <c r="AB17" i="37"/>
  <c r="E74" i="38" s="1"/>
  <c r="AD17" i="37"/>
  <c r="G74" i="38" s="1"/>
  <c r="W19" i="33"/>
  <c r="W16" i="33"/>
  <c r="T10" i="33"/>
  <c r="AD9" i="33"/>
  <c r="T15" i="33"/>
  <c r="Z9" i="33"/>
  <c r="D10" i="33"/>
  <c r="D15" i="33"/>
  <c r="Q20" i="33"/>
  <c r="Q23" i="33"/>
  <c r="M10" i="33"/>
  <c r="M15" i="33"/>
  <c r="Z17" i="37"/>
  <c r="C74" i="38" s="1"/>
  <c r="V10" i="33"/>
  <c r="V15" i="33"/>
  <c r="J16" i="33"/>
  <c r="J19" i="33"/>
  <c r="AA15" i="33"/>
  <c r="H16" i="33"/>
  <c r="H19" i="33"/>
  <c r="O16" i="33"/>
  <c r="O19" i="33"/>
  <c r="D13" i="38"/>
  <c r="AA10" i="33"/>
  <c r="D14" i="38" s="1"/>
  <c r="P10" i="33"/>
  <c r="AC9" i="33"/>
  <c r="P15" i="33"/>
  <c r="N16" i="33"/>
  <c r="N19" i="33"/>
  <c r="K16" i="33"/>
  <c r="K19" i="33"/>
  <c r="R16" i="33"/>
  <c r="R19" i="33"/>
  <c r="AC17" i="37"/>
  <c r="F74" i="38" s="1"/>
  <c r="I16" i="33"/>
  <c r="I19" i="33"/>
  <c r="U10" i="33"/>
  <c r="U15" i="33"/>
  <c r="L16" i="33"/>
  <c r="L19" i="33"/>
  <c r="F16" i="33"/>
  <c r="F19" i="33"/>
  <c r="AB10" i="33"/>
  <c r="E14" i="38" s="1"/>
  <c r="E13" i="38"/>
  <c r="E19" i="33"/>
  <c r="E16" i="33"/>
  <c r="G10" i="33"/>
  <c r="G15" i="33"/>
  <c r="AA17" i="37"/>
  <c r="D74" i="38" s="1"/>
  <c r="S20" i="33" l="1"/>
  <c r="S16" i="33"/>
  <c r="U16" i="33"/>
  <c r="U19" i="33"/>
  <c r="O20" i="33"/>
  <c r="O23" i="33"/>
  <c r="AD15" i="33"/>
  <c r="T16" i="33"/>
  <c r="T19" i="33"/>
  <c r="R20" i="33"/>
  <c r="R23" i="33"/>
  <c r="I20" i="33"/>
  <c r="I23" i="33"/>
  <c r="AA16" i="33"/>
  <c r="D20" i="38" s="1"/>
  <c r="D19" i="38"/>
  <c r="D16" i="33"/>
  <c r="D19" i="33"/>
  <c r="Z15" i="33"/>
  <c r="J20" i="33"/>
  <c r="J23" i="33"/>
  <c r="H20" i="33"/>
  <c r="AA19" i="33"/>
  <c r="H23" i="33"/>
  <c r="G16" i="33"/>
  <c r="G19" i="33"/>
  <c r="F13" i="38"/>
  <c r="AC10" i="33"/>
  <c r="F14" i="38" s="1"/>
  <c r="M16" i="33"/>
  <c r="M19" i="33"/>
  <c r="AB19" i="33" s="1"/>
  <c r="L20" i="33"/>
  <c r="L23" i="33"/>
  <c r="N20" i="33"/>
  <c r="N23" i="33"/>
  <c r="E20" i="33"/>
  <c r="E23" i="33"/>
  <c r="Q24" i="33"/>
  <c r="Q27" i="33"/>
  <c r="S24" i="33"/>
  <c r="S27" i="33"/>
  <c r="C13" i="38"/>
  <c r="Z10" i="33"/>
  <c r="C14" i="38" s="1"/>
  <c r="F20" i="33"/>
  <c r="F23" i="33"/>
  <c r="K23" i="33"/>
  <c r="K20" i="33"/>
  <c r="P16" i="33"/>
  <c r="AC15" i="33"/>
  <c r="P19" i="33"/>
  <c r="G13" i="38"/>
  <c r="AD10" i="33"/>
  <c r="G14" i="38" s="1"/>
  <c r="AB15" i="33"/>
  <c r="V16" i="33"/>
  <c r="V19" i="33"/>
  <c r="W23" i="33"/>
  <c r="W20" i="33"/>
  <c r="T20" i="33" l="1"/>
  <c r="AD19" i="33"/>
  <c r="T23" i="33"/>
  <c r="S28" i="33"/>
  <c r="S6" i="37"/>
  <c r="S18" i="37" s="1"/>
  <c r="S28" i="37" s="1"/>
  <c r="L24" i="33"/>
  <c r="L27" i="33"/>
  <c r="F19" i="38"/>
  <c r="AC16" i="33"/>
  <c r="F20" i="38" s="1"/>
  <c r="AB20" i="33"/>
  <c r="E24" i="38" s="1"/>
  <c r="E23" i="38"/>
  <c r="Z16" i="33"/>
  <c r="C20" i="38" s="1"/>
  <c r="C19" i="38"/>
  <c r="D20" i="33"/>
  <c r="Z19" i="33"/>
  <c r="D23" i="33"/>
  <c r="D23" i="38"/>
  <c r="AA20" i="33"/>
  <c r="D24" i="38" s="1"/>
  <c r="M20" i="33"/>
  <c r="M23" i="33"/>
  <c r="AB23" i="33" s="1"/>
  <c r="P20" i="33"/>
  <c r="AC19" i="33"/>
  <c r="P23" i="33"/>
  <c r="W24" i="33"/>
  <c r="W27" i="33"/>
  <c r="I24" i="33"/>
  <c r="I27" i="33"/>
  <c r="F24" i="33"/>
  <c r="F27" i="33"/>
  <c r="N27" i="33"/>
  <c r="N24" i="33"/>
  <c r="G20" i="33"/>
  <c r="G23" i="33"/>
  <c r="H24" i="33"/>
  <c r="AA23" i="33"/>
  <c r="H27" i="33"/>
  <c r="G19" i="38"/>
  <c r="AD16" i="33"/>
  <c r="G20" i="38" s="1"/>
  <c r="V23" i="33"/>
  <c r="V20" i="33"/>
  <c r="Q28" i="33"/>
  <c r="Q6" i="37"/>
  <c r="Q18" i="37" s="1"/>
  <c r="Q28" i="37" s="1"/>
  <c r="O24" i="33"/>
  <c r="O27" i="33"/>
  <c r="K24" i="33"/>
  <c r="K27" i="33"/>
  <c r="E19" i="38"/>
  <c r="AB16" i="33"/>
  <c r="E20" i="38" s="1"/>
  <c r="E24" i="33"/>
  <c r="E27" i="33"/>
  <c r="J24" i="33"/>
  <c r="J27" i="33"/>
  <c r="U20" i="33"/>
  <c r="U23" i="33"/>
  <c r="R24" i="33"/>
  <c r="R27" i="33"/>
  <c r="V24" i="33" l="1"/>
  <c r="V27" i="33"/>
  <c r="AC23" i="33"/>
  <c r="P27" i="33"/>
  <c r="P24" i="33"/>
  <c r="U24" i="33"/>
  <c r="U27" i="33"/>
  <c r="N28" i="33"/>
  <c r="N6" i="37"/>
  <c r="N18" i="37" s="1"/>
  <c r="N28" i="37" s="1"/>
  <c r="O28" i="33"/>
  <c r="O6" i="37"/>
  <c r="O18" i="37" s="1"/>
  <c r="O28" i="37" s="1"/>
  <c r="E27" i="38"/>
  <c r="E4" i="38" s="1"/>
  <c r="AB24" i="33"/>
  <c r="E28" i="38" s="1"/>
  <c r="L28" i="33"/>
  <c r="L6" i="37"/>
  <c r="K6" i="37"/>
  <c r="K18" i="37" s="1"/>
  <c r="K28" i="37" s="1"/>
  <c r="K28" i="33"/>
  <c r="J28" i="33"/>
  <c r="J6" i="37"/>
  <c r="J18" i="37" s="1"/>
  <c r="J28" i="37" s="1"/>
  <c r="T27" i="33"/>
  <c r="AD23" i="33"/>
  <c r="T24" i="33"/>
  <c r="C23" i="38"/>
  <c r="Z20" i="33"/>
  <c r="C24" i="38" s="1"/>
  <c r="F6" i="37"/>
  <c r="F18" i="37" s="1"/>
  <c r="F28" i="37" s="1"/>
  <c r="F28" i="33"/>
  <c r="AA27" i="33"/>
  <c r="H28" i="33"/>
  <c r="H6" i="37"/>
  <c r="M24" i="33"/>
  <c r="M27" i="33"/>
  <c r="G24" i="33"/>
  <c r="G27" i="33"/>
  <c r="AC20" i="33"/>
  <c r="F24" i="38" s="1"/>
  <c r="F23" i="38"/>
  <c r="D27" i="38"/>
  <c r="D4" i="38" s="1"/>
  <c r="AA24" i="33"/>
  <c r="D28" i="38" s="1"/>
  <c r="I28" i="33"/>
  <c r="I6" i="37"/>
  <c r="I18" i="37" s="1"/>
  <c r="I28" i="37" s="1"/>
  <c r="E28" i="33"/>
  <c r="E6" i="37"/>
  <c r="E18" i="37" s="1"/>
  <c r="E28" i="37" s="1"/>
  <c r="W28" i="33"/>
  <c r="W6" i="37"/>
  <c r="W18" i="37" s="1"/>
  <c r="W28" i="37" s="1"/>
  <c r="G23" i="38"/>
  <c r="AD20" i="33"/>
  <c r="G24" i="38" s="1"/>
  <c r="R6" i="37"/>
  <c r="R18" i="37" s="1"/>
  <c r="R28" i="37" s="1"/>
  <c r="R28" i="33"/>
  <c r="D24" i="33"/>
  <c r="Z23" i="33"/>
  <c r="D27" i="33"/>
  <c r="G27" i="38" l="1"/>
  <c r="G4" i="38" s="1"/>
  <c r="AD24" i="33"/>
  <c r="G28" i="38" s="1"/>
  <c r="T28" i="33"/>
  <c r="AD27" i="33"/>
  <c r="T6" i="37"/>
  <c r="M6" i="37"/>
  <c r="M18" i="37" s="1"/>
  <c r="M28" i="37" s="1"/>
  <c r="M28" i="33"/>
  <c r="L18" i="37"/>
  <c r="U28" i="33"/>
  <c r="U6" i="37"/>
  <c r="U18" i="37" s="1"/>
  <c r="U28" i="37" s="1"/>
  <c r="P28" i="33"/>
  <c r="P6" i="37"/>
  <c r="AC27" i="33"/>
  <c r="AB27" i="33"/>
  <c r="F27" i="38"/>
  <c r="F4" i="38" s="1"/>
  <c r="AC24" i="33"/>
  <c r="F28" i="38" s="1"/>
  <c r="D31" i="38"/>
  <c r="E77" i="39" s="1"/>
  <c r="AA28" i="33"/>
  <c r="D32" i="38" s="1"/>
  <c r="F55" i="39" s="1"/>
  <c r="G28" i="33"/>
  <c r="G6" i="37"/>
  <c r="G18" i="37" s="1"/>
  <c r="G28" i="37" s="1"/>
  <c r="H18" i="37"/>
  <c r="AA6" i="37"/>
  <c r="D63" i="38" s="1"/>
  <c r="D28" i="33"/>
  <c r="Z27" i="33"/>
  <c r="C31" i="38" s="1"/>
  <c r="D77" i="39" s="1"/>
  <c r="F24" i="36"/>
  <c r="D6" i="37"/>
  <c r="Z24" i="33"/>
  <c r="C28" i="38" s="1"/>
  <c r="C27" i="38"/>
  <c r="C4" i="38" s="1"/>
  <c r="V6" i="37"/>
  <c r="V18" i="37" s="1"/>
  <c r="V28" i="37" s="1"/>
  <c r="V28" i="33"/>
  <c r="F31" i="38" l="1"/>
  <c r="G77" i="39" s="1"/>
  <c r="AC28" i="33"/>
  <c r="F32" i="38" s="1"/>
  <c r="H55" i="39" s="1"/>
  <c r="AB28" i="33"/>
  <c r="E32" i="38" s="1"/>
  <c r="G55" i="39" s="1"/>
  <c r="E31" i="38"/>
  <c r="F77" i="39" s="1"/>
  <c r="T18" i="37"/>
  <c r="AD6" i="37"/>
  <c r="G63" i="38" s="1"/>
  <c r="H28" i="37"/>
  <c r="AA28" i="37" s="1"/>
  <c r="D85" i="38" s="1"/>
  <c r="AA18" i="37"/>
  <c r="D75" i="38" s="1"/>
  <c r="AC6" i="37"/>
  <c r="F63" i="38" s="1"/>
  <c r="P18" i="37"/>
  <c r="Z6" i="37"/>
  <c r="C63" i="38" s="1"/>
  <c r="D18" i="37"/>
  <c r="G24" i="36"/>
  <c r="F25" i="36"/>
  <c r="F27" i="36" s="1"/>
  <c r="AB18" i="37"/>
  <c r="E75" i="38" s="1"/>
  <c r="L28" i="37"/>
  <c r="AB28" i="37" s="1"/>
  <c r="E85" i="38" s="1"/>
  <c r="AD28" i="33"/>
  <c r="G32" i="38" s="1"/>
  <c r="I55" i="39" s="1"/>
  <c r="G31" i="38"/>
  <c r="H77" i="39" s="1"/>
  <c r="Z28" i="33"/>
  <c r="C32" i="38" s="1"/>
  <c r="E55" i="39" s="1"/>
  <c r="AB6" i="37"/>
  <c r="E63" i="38" s="1"/>
  <c r="Z18" i="37" l="1"/>
  <c r="C75" i="38" s="1"/>
  <c r="D28" i="37"/>
  <c r="AD18" i="37"/>
  <c r="G75" i="38" s="1"/>
  <c r="T28" i="37"/>
  <c r="AD28" i="37" s="1"/>
  <c r="G85" i="38" s="1"/>
  <c r="P28" i="37"/>
  <c r="AC28" i="37" s="1"/>
  <c r="F85" i="38" s="1"/>
  <c r="AC18" i="37"/>
  <c r="F75" i="38" s="1"/>
  <c r="H24" i="36"/>
  <c r="G25" i="36"/>
  <c r="G27" i="36" s="1"/>
  <c r="Z28" i="37" l="1"/>
  <c r="D31" i="37"/>
  <c r="H25" i="36"/>
  <c r="H27" i="36" s="1"/>
  <c r="I24" i="36"/>
  <c r="I25" i="36" l="1"/>
  <c r="AB24" i="36"/>
  <c r="C55" i="38" s="1"/>
  <c r="J24" i="36"/>
  <c r="E30" i="37"/>
  <c r="E31" i="37" s="1"/>
  <c r="F6" i="36"/>
  <c r="F10" i="36" s="1"/>
  <c r="F13" i="36" s="1"/>
  <c r="F29" i="36" s="1"/>
  <c r="C85" i="38"/>
  <c r="Z31" i="37"/>
  <c r="C88" i="38" l="1"/>
  <c r="D98" i="39" s="1"/>
  <c r="AA30" i="37"/>
  <c r="G6" i="36"/>
  <c r="G10" i="36" s="1"/>
  <c r="G13" i="36" s="1"/>
  <c r="G29" i="36" s="1"/>
  <c r="F30" i="37"/>
  <c r="F31" i="37" s="1"/>
  <c r="J25" i="36"/>
  <c r="J27" i="36" s="1"/>
  <c r="K24" i="36"/>
  <c r="I27" i="36"/>
  <c r="AB27" i="36" s="1"/>
  <c r="C58" i="38" s="1"/>
  <c r="AB25" i="36"/>
  <c r="C56" i="38" s="1"/>
  <c r="K25" i="36" l="1"/>
  <c r="K27" i="36" s="1"/>
  <c r="L24" i="36"/>
  <c r="H6" i="36"/>
  <c r="H10" i="36" s="1"/>
  <c r="H13" i="36" s="1"/>
  <c r="H29" i="36" s="1"/>
  <c r="G30" i="37"/>
  <c r="G31" i="37" s="1"/>
  <c r="D87" i="38"/>
  <c r="AA31" i="37"/>
  <c r="D88" i="38" l="1"/>
  <c r="E98" i="39" s="1"/>
  <c r="AB30" i="37"/>
  <c r="I6" i="36"/>
  <c r="H30" i="37"/>
  <c r="H31" i="37" s="1"/>
  <c r="L25" i="36"/>
  <c r="L27" i="36" s="1"/>
  <c r="M24" i="36"/>
  <c r="AC24" i="36" l="1"/>
  <c r="D55" i="38" s="1"/>
  <c r="M25" i="36"/>
  <c r="N24" i="36"/>
  <c r="J6" i="36"/>
  <c r="J10" i="36" s="1"/>
  <c r="J13" i="36" s="1"/>
  <c r="J29" i="36" s="1"/>
  <c r="I30" i="37"/>
  <c r="I31" i="37" s="1"/>
  <c r="AB6" i="36"/>
  <c r="C37" i="38" s="1"/>
  <c r="I10" i="36"/>
  <c r="E87" i="38"/>
  <c r="AB31" i="37"/>
  <c r="J30" i="37" l="1"/>
  <c r="J31" i="37" s="1"/>
  <c r="K6" i="36"/>
  <c r="K10" i="36" s="1"/>
  <c r="K13" i="36" s="1"/>
  <c r="K29" i="36" s="1"/>
  <c r="N25" i="36"/>
  <c r="N27" i="36" s="1"/>
  <c r="O24" i="36"/>
  <c r="AC25" i="36"/>
  <c r="D56" i="38" s="1"/>
  <c r="M27" i="36"/>
  <c r="AC27" i="36" s="1"/>
  <c r="D58" i="38" s="1"/>
  <c r="AB10" i="36"/>
  <c r="C41" i="38" s="1"/>
  <c r="I13" i="36"/>
  <c r="E88" i="38"/>
  <c r="F98" i="39" s="1"/>
  <c r="AC30" i="37"/>
  <c r="AB13" i="36" l="1"/>
  <c r="C44" i="38" s="1"/>
  <c r="E56" i="39" s="1"/>
  <c r="E57" i="39" s="1"/>
  <c r="E58" i="39" s="1"/>
  <c r="E59" i="39" s="1"/>
  <c r="E62" i="39" s="1"/>
  <c r="I29" i="36"/>
  <c r="AB29" i="36" s="1"/>
  <c r="O25" i="36"/>
  <c r="O27" i="36" s="1"/>
  <c r="P24" i="36"/>
  <c r="F87" i="38"/>
  <c r="AC31" i="37"/>
  <c r="L6" i="36"/>
  <c r="L10" i="36" s="1"/>
  <c r="L13" i="36" s="1"/>
  <c r="L29" i="36" s="1"/>
  <c r="K30" i="37"/>
  <c r="K31" i="37" s="1"/>
  <c r="M6" i="36" l="1"/>
  <c r="L30" i="37"/>
  <c r="L31" i="37" s="1"/>
  <c r="F88" i="38"/>
  <c r="G98" i="39" s="1"/>
  <c r="AD30" i="37"/>
  <c r="Q24" i="36"/>
  <c r="P25" i="36"/>
  <c r="P27" i="36" s="1"/>
  <c r="Q25" i="36" l="1"/>
  <c r="R24" i="36"/>
  <c r="AD24" i="36"/>
  <c r="E55" i="38" s="1"/>
  <c r="G87" i="38"/>
  <c r="AD31" i="37"/>
  <c r="G88" i="38" s="1"/>
  <c r="H98" i="39" s="1"/>
  <c r="M30" i="37"/>
  <c r="M31" i="37" s="1"/>
  <c r="N6" i="36"/>
  <c r="N10" i="36" s="1"/>
  <c r="N13" i="36" s="1"/>
  <c r="N29" i="36" s="1"/>
  <c r="M10" i="36"/>
  <c r="AC6" i="36"/>
  <c r="D37" i="38" s="1"/>
  <c r="O6" i="36" l="1"/>
  <c r="O10" i="36" s="1"/>
  <c r="O13" i="36" s="1"/>
  <c r="O29" i="36" s="1"/>
  <c r="N30" i="37"/>
  <c r="N31" i="37" s="1"/>
  <c r="R25" i="36"/>
  <c r="R27" i="36" s="1"/>
  <c r="S24" i="36"/>
  <c r="M13" i="36"/>
  <c r="AC10" i="36"/>
  <c r="D41" i="38" s="1"/>
  <c r="AD25" i="36"/>
  <c r="E56" i="38" s="1"/>
  <c r="Q27" i="36"/>
  <c r="AD27" i="36" s="1"/>
  <c r="E58" i="38" s="1"/>
  <c r="M29" i="36" l="1"/>
  <c r="AC29" i="36" s="1"/>
  <c r="AC13" i="36"/>
  <c r="D44" i="38" s="1"/>
  <c r="F56" i="39" s="1"/>
  <c r="F57" i="39" s="1"/>
  <c r="F58" i="39" s="1"/>
  <c r="F59" i="39" s="1"/>
  <c r="S25" i="36"/>
  <c r="S27" i="36" s="1"/>
  <c r="T24" i="36"/>
  <c r="P6" i="36"/>
  <c r="P10" i="36" s="1"/>
  <c r="P13" i="36" s="1"/>
  <c r="P29" i="36" s="1"/>
  <c r="O30" i="37"/>
  <c r="O31" i="37" s="1"/>
  <c r="Q6" i="36" l="1"/>
  <c r="P30" i="37"/>
  <c r="P31" i="37" s="1"/>
  <c r="F62" i="39"/>
  <c r="F60" i="39"/>
  <c r="U24" i="36"/>
  <c r="T25" i="36"/>
  <c r="T27" i="36" s="1"/>
  <c r="AE24" i="36" l="1"/>
  <c r="F55" i="38" s="1"/>
  <c r="U25" i="36"/>
  <c r="V24" i="36"/>
  <c r="Q30" i="37"/>
  <c r="Q31" i="37" s="1"/>
  <c r="R6" i="36"/>
  <c r="R10" i="36" s="1"/>
  <c r="R13" i="36" s="1"/>
  <c r="R29" i="36" s="1"/>
  <c r="Q10" i="36"/>
  <c r="AD6" i="36"/>
  <c r="E37" i="38" s="1"/>
  <c r="S6" i="36" l="1"/>
  <c r="S10" i="36" s="1"/>
  <c r="S13" i="36" s="1"/>
  <c r="S29" i="36" s="1"/>
  <c r="R30" i="37"/>
  <c r="R31" i="37" s="1"/>
  <c r="AD10" i="36"/>
  <c r="E41" i="38" s="1"/>
  <c r="Q13" i="36"/>
  <c r="V25" i="36"/>
  <c r="V27" i="36" s="1"/>
  <c r="W24" i="36"/>
  <c r="U27" i="36"/>
  <c r="AE27" i="36" s="1"/>
  <c r="F58" i="38" s="1"/>
  <c r="AE25" i="36"/>
  <c r="F56" i="38" s="1"/>
  <c r="W25" i="36" l="1"/>
  <c r="W27" i="36" s="1"/>
  <c r="X24" i="36"/>
  <c r="Q29" i="36"/>
  <c r="AD29" i="36" s="1"/>
  <c r="AD13" i="36"/>
  <c r="E44" i="38" s="1"/>
  <c r="G56" i="39" s="1"/>
  <c r="G57" i="39" s="1"/>
  <c r="G58" i="39" s="1"/>
  <c r="G59" i="39" s="1"/>
  <c r="S30" i="37"/>
  <c r="S31" i="37" s="1"/>
  <c r="T6" i="36"/>
  <c r="T10" i="36" s="1"/>
  <c r="T13" i="36" s="1"/>
  <c r="T29" i="36" s="1"/>
  <c r="G62" i="39" l="1"/>
  <c r="G60" i="39"/>
  <c r="T30" i="37"/>
  <c r="T31" i="37" s="1"/>
  <c r="U6" i="36"/>
  <c r="Y24" i="36"/>
  <c r="X25" i="36"/>
  <c r="X27" i="36" s="1"/>
  <c r="U10" i="36" l="1"/>
  <c r="AE6" i="36"/>
  <c r="F37" i="38" s="1"/>
  <c r="AF24" i="36"/>
  <c r="G55" i="38" s="1"/>
  <c r="Y25" i="36"/>
  <c r="V6" i="36"/>
  <c r="V10" i="36" s="1"/>
  <c r="V13" i="36" s="1"/>
  <c r="V29" i="36" s="1"/>
  <c r="U30" i="37"/>
  <c r="U31" i="37" s="1"/>
  <c r="W6" i="36" l="1"/>
  <c r="W10" i="36" s="1"/>
  <c r="W13" i="36" s="1"/>
  <c r="W29" i="36" s="1"/>
  <c r="V30" i="37"/>
  <c r="V31" i="37" s="1"/>
  <c r="AF25" i="36"/>
  <c r="G56" i="38" s="1"/>
  <c r="Y27" i="36"/>
  <c r="AF27" i="36" s="1"/>
  <c r="G58" i="38" s="1"/>
  <c r="U13" i="36"/>
  <c r="AE10" i="36"/>
  <c r="F41" i="38" s="1"/>
  <c r="U29" i="36" l="1"/>
  <c r="AE29" i="36" s="1"/>
  <c r="AE13" i="36"/>
  <c r="F44" i="38" s="1"/>
  <c r="H56" i="39" s="1"/>
  <c r="H57" i="39" s="1"/>
  <c r="H58" i="39" s="1"/>
  <c r="H59" i="39" s="1"/>
  <c r="W30" i="37"/>
  <c r="W31" i="37" s="1"/>
  <c r="Y6" i="36" s="1"/>
  <c r="X6" i="36"/>
  <c r="X10" i="36" s="1"/>
  <c r="X13" i="36" s="1"/>
  <c r="X29" i="36" s="1"/>
  <c r="AF6" i="36" l="1"/>
  <c r="G37" i="38" s="1"/>
  <c r="H34" i="39" s="1"/>
  <c r="Y10" i="36"/>
  <c r="H62" i="39"/>
  <c r="C63" i="39" s="1"/>
  <c r="H60" i="39"/>
  <c r="C35" i="39" l="1"/>
  <c r="C36" i="39"/>
  <c r="Y13" i="36"/>
  <c r="AF10" i="36"/>
  <c r="G41" i="38" s="1"/>
  <c r="AF13" i="36" l="1"/>
  <c r="G44" i="38" s="1"/>
  <c r="H45" i="39" s="1"/>
  <c r="Y29" i="36"/>
  <c r="AF29" i="36" s="1"/>
  <c r="C47" i="39" l="1"/>
  <c r="C46" i="39"/>
  <c r="I56" i="39"/>
  <c r="I57" i="39" s="1"/>
  <c r="I58" i="39" s="1"/>
  <c r="I59" i="39" s="1"/>
  <c r="I60" i="39" l="1"/>
  <c r="H65" i="39"/>
  <c r="I62" i="39"/>
  <c r="H66" i="39" l="1"/>
  <c r="C67" i="39" s="1"/>
  <c r="C68" i="39" s="1"/>
</calcChain>
</file>

<file path=xl/sharedStrings.xml><?xml version="1.0" encoding="utf-8"?>
<sst xmlns="http://schemas.openxmlformats.org/spreadsheetml/2006/main" count="1239" uniqueCount="319">
  <si>
    <t>Healthcare benefits (% of total comp)</t>
  </si>
  <si>
    <t>Payroll taxes (% of total comp)</t>
  </si>
  <si>
    <t>Continuing education (% of total comp)</t>
  </si>
  <si>
    <t>Insurance - Worker's Comp (% of total comp)</t>
  </si>
  <si>
    <t>401-K (% of total comp)</t>
  </si>
  <si>
    <t>Other</t>
  </si>
  <si>
    <t>Year 1</t>
  </si>
  <si>
    <t>Year 2</t>
  </si>
  <si>
    <t>Year 3</t>
  </si>
  <si>
    <t>Year 4</t>
  </si>
  <si>
    <t>Year 5</t>
  </si>
  <si>
    <t>Q1</t>
  </si>
  <si>
    <t>Q2</t>
  </si>
  <si>
    <t>Q3</t>
  </si>
  <si>
    <t>Q4</t>
  </si>
  <si>
    <t>Revenue</t>
  </si>
  <si>
    <t>Insurance - Gen Liability (% of total comp)</t>
  </si>
  <si>
    <t>Software Costs</t>
  </si>
  <si>
    <t>Leadership</t>
  </si>
  <si>
    <t>Chief Executive Officer</t>
  </si>
  <si>
    <t>President / COO</t>
  </si>
  <si>
    <t>Chief Financial Officer</t>
  </si>
  <si>
    <t>Finance &amp; Accounting</t>
  </si>
  <si>
    <t>Controller</t>
  </si>
  <si>
    <t>Accounts Payable Clerk</t>
  </si>
  <si>
    <t>M&amp;A Analyst</t>
  </si>
  <si>
    <t>Operations</t>
  </si>
  <si>
    <t>Human Resources</t>
  </si>
  <si>
    <t>HR Manager</t>
  </si>
  <si>
    <t>Learning and Development Lead</t>
  </si>
  <si>
    <t>Marketing</t>
  </si>
  <si>
    <t>Marketing Director</t>
  </si>
  <si>
    <t>Marketing Manager</t>
  </si>
  <si>
    <t>IT Manager (outsourced)</t>
  </si>
  <si>
    <t>Office Manager</t>
  </si>
  <si>
    <t>BUFFER</t>
  </si>
  <si>
    <t>Total</t>
  </si>
  <si>
    <t>Total Comp</t>
  </si>
  <si>
    <t>% of Total</t>
  </si>
  <si>
    <t>Chief of Staff</t>
  </si>
  <si>
    <t>Regional Manager</t>
  </si>
  <si>
    <t>Payroll Tax and Benefits</t>
  </si>
  <si>
    <t>Rent</t>
  </si>
  <si>
    <t>Utilities</t>
  </si>
  <si>
    <t>Corporate Travel Expenses</t>
  </si>
  <si>
    <t>Assumptions</t>
  </si>
  <si>
    <t>Rent Expense</t>
  </si>
  <si>
    <t>Office Space (sq ft)</t>
  </si>
  <si>
    <t>Rent / sq ft</t>
  </si>
  <si>
    <t>Annual Rent</t>
  </si>
  <si>
    <t>Utilities (% of rent)</t>
  </si>
  <si>
    <t>Repairs &amp; Maintenance (% of rent)</t>
  </si>
  <si>
    <t>Office supplies / month</t>
  </si>
  <si>
    <t>Postage / month</t>
  </si>
  <si>
    <t>Telephone / month</t>
  </si>
  <si>
    <t>Internet / month</t>
  </si>
  <si>
    <t>Travel / month</t>
  </si>
  <si>
    <t>Hotel / month</t>
  </si>
  <si>
    <t>Meals &amp; Entertainment / month</t>
  </si>
  <si>
    <t>Total Corporate Travel Expenses</t>
  </si>
  <si>
    <t>Developing</t>
  </si>
  <si>
    <t>Established</t>
  </si>
  <si>
    <t>Emerging</t>
  </si>
  <si>
    <t>Percent of Openings by Market Type</t>
  </si>
  <si>
    <t>GM Bonus (based on % salary)</t>
  </si>
  <si>
    <t>GM Salary</t>
  </si>
  <si>
    <t>GM Wages + Bonus</t>
  </si>
  <si>
    <t># Hours/Wk</t>
  </si>
  <si>
    <t>Avg. Wage</t>
  </si>
  <si>
    <t>Team Wages</t>
  </si>
  <si>
    <t>% Revenue</t>
  </si>
  <si>
    <t>Food Costs</t>
  </si>
  <si>
    <t>Paper Costs</t>
  </si>
  <si>
    <t>Marketing Expense</t>
  </si>
  <si>
    <t>Supplies</t>
  </si>
  <si>
    <t>Repair &amp; Maintenance</t>
  </si>
  <si>
    <t>Point of Sale Expenses</t>
  </si>
  <si>
    <t>Cams</t>
  </si>
  <si>
    <t>Revenue/Wk</t>
  </si>
  <si>
    <t>Fixed</t>
  </si>
  <si>
    <t>Variable</t>
  </si>
  <si>
    <t># Stores</t>
  </si>
  <si>
    <t>Store#1</t>
  </si>
  <si>
    <t>Store#2</t>
  </si>
  <si>
    <t>Store#3</t>
  </si>
  <si>
    <t>Store#4</t>
  </si>
  <si>
    <t>Store#5</t>
  </si>
  <si>
    <t>StoreName</t>
  </si>
  <si>
    <t>Revenue Growth Rate</t>
  </si>
  <si>
    <t>New Store - ProForma Scenarios</t>
  </si>
  <si>
    <t>Scenario #1</t>
  </si>
  <si>
    <t>Scenario #2</t>
  </si>
  <si>
    <t>NSO Pro Forma Scenario</t>
  </si>
  <si>
    <t>Store Expenses Scenario</t>
  </si>
  <si>
    <t>Store Expenses Scenarios</t>
  </si>
  <si>
    <t>Scenario #3</t>
  </si>
  <si>
    <t>Existing Store Assumptions</t>
  </si>
  <si>
    <t>New Store Opening Schedule</t>
  </si>
  <si>
    <t>Avg. Weekly Sales</t>
  </si>
  <si>
    <t>Total Openings</t>
  </si>
  <si>
    <t>Financial Model Components</t>
  </si>
  <si>
    <t>*Created a weighted average for each new opening based on the percentage of openings expected in each market</t>
  </si>
  <si>
    <t>*Financial Model should allow you to easily toggle between the different New Store Pro-Forma Scenarios</t>
  </si>
  <si>
    <t>*The Financial Model should allow you to easily toggle between the different store expense scenarios</t>
  </si>
  <si>
    <t>New Store Sales Growth Rate</t>
  </si>
  <si>
    <t>Create a tab with a Pro-Forma Income Statement for the average new store for the average store starting point:</t>
  </si>
  <si>
    <t>Create a tab that using the Pro-Forma Income Statement for the new store and projects the 5 year growth by Quarter:</t>
  </si>
  <si>
    <t>*Utilize Fixed &amp; Variable Cost assumptions on the Input Sheet</t>
  </si>
  <si>
    <t>*Utilize the New Store Sales Growth Rate on the Input Sheet</t>
  </si>
  <si>
    <t>Create a tab that utilizes the 5 Year projection for an average new store and combines it with the new store opening schedule:</t>
  </si>
  <si>
    <t>*Utilizing Tranpose() and SumProduct() create a pro-forma schedule that lines up with the rollout schedule</t>
  </si>
  <si>
    <t>*Tab should utilize the New Store Opening Schedule on the Input Sheet</t>
  </si>
  <si>
    <t>*Pro-Forma should estimate the profit and loss statement for all new stores based on their timed openings</t>
  </si>
  <si>
    <t>New Store Openings</t>
  </si>
  <si>
    <t>Existing Stores</t>
  </si>
  <si>
    <t>Create a tab the projects the current annual Income Statement for the existing five stores in the input sheet:</t>
  </si>
  <si>
    <t>*Utilize the Average Weekly Sales on the Input Sheet to estimate the current annual revenue</t>
  </si>
  <si>
    <t>*Utilize the Store Expenses Scenario Grid to make it easy to toggle between the different Store Expense Scenarios</t>
  </si>
  <si>
    <t>Create a template that allows us to project the five year Income Statement by Quarter for the five existing stores:</t>
  </si>
  <si>
    <t>*Build this in a way that allows us to easily toggle between the five stores listed</t>
  </si>
  <si>
    <t>*Utilize the Revenue Growth Rate for each specifc store on the Input Sheet</t>
  </si>
  <si>
    <t>Leverage the new template tab and Copy the tab to have a version for each of the five stores listed</t>
  </si>
  <si>
    <t>*Copy the template and have a tab for each existing store so you have a five year income statement for each existing store by quarter</t>
  </si>
  <si>
    <t>Create a tab that sums across the 5 tabs for each existing store and gives us an Income Statement for each store for the next 5 years by Quarter:</t>
  </si>
  <si>
    <t>*Utilize Sum() formula using the IN:OUT Method taught to summarize results for existing stores across the 5 existing stores</t>
  </si>
  <si>
    <t>Total Company Income Statement</t>
  </si>
  <si>
    <t>Add the Existing Store &amp; New Store Income Statements together to create a total copmany income statement by quarter for the next five years</t>
  </si>
  <si>
    <t>General &amp; Administrative Expenses</t>
  </si>
  <si>
    <t>Utilize Assumptions in the G&amp;A Tab to project the Administrative Costs by Quarter for the next five years</t>
  </si>
  <si>
    <t>*Utilize the Infomration from the New Store Opening Schedule to populate the total number of stores by Quarter</t>
  </si>
  <si>
    <t xml:space="preserve">*Utilize the Stores by Quarter to Project how many employees and salary you will have by quarter </t>
  </si>
  <si>
    <t>*Add a BUFFER utilizing the assumption on the G&amp;A Tab</t>
  </si>
  <si>
    <t>*After projecting the salaries for each employee estimate the benefits by employee</t>
  </si>
  <si>
    <t>*Estimate the Other G&amp;A Costs based on the Assumptiosn from the G&amp;A Tab</t>
  </si>
  <si>
    <t>*Create a total G&amp;A Cost Summary by quarter at the bottom of the Tab</t>
  </si>
  <si>
    <t>Total Company Profit &amp; Loss Statement</t>
  </si>
  <si>
    <t>Create a tab that combines the Total Company Income Statement &amp; G&amp;A Expenses</t>
  </si>
  <si>
    <t>*Utilizing Template Provided create a summarized version of the Copmany Income Statement by Quarter</t>
  </si>
  <si>
    <t>*Summarized Version of Company Income Statement should include Revenue, F&amp;P, Labor, Other Operating, Occupancy, &amp; Store Level EBITDA</t>
  </si>
  <si>
    <t>*Show % of Revenue for each cost Category</t>
  </si>
  <si>
    <t>*Add in G&amp;A Expense Below SLEBITDA (and % Revenue below that)</t>
  </si>
  <si>
    <t>*Project EBITDA by subtracing the G&amp;A from the SLEBITDA</t>
  </si>
  <si>
    <t>CAPex Cost for New Stores</t>
  </si>
  <si>
    <t>CAPex Expense Projection</t>
  </si>
  <si>
    <t>Create a tab to project the CAPex expense associated with building new stores</t>
  </si>
  <si>
    <t>*Utilize the Average Cost per Store on the Input Sheet</t>
  </si>
  <si>
    <t>*Utilize the New Store Opening Schedule from the New Store Opening 5 Year Projection Tab</t>
  </si>
  <si>
    <t>Balance Sheet</t>
  </si>
  <si>
    <t>Cash and cash equivalents</t>
  </si>
  <si>
    <t>Accounts receivable</t>
  </si>
  <si>
    <t>Inventory</t>
  </si>
  <si>
    <t>Prepaids and other current assets</t>
  </si>
  <si>
    <t>Total current assets</t>
  </si>
  <si>
    <t>PP&amp;E, net</t>
  </si>
  <si>
    <t>Total assets</t>
  </si>
  <si>
    <t>Accounts payable</t>
  </si>
  <si>
    <t>Accrued liabilities</t>
  </si>
  <si>
    <t>Other current liabilities</t>
  </si>
  <si>
    <t>Total current liabiilities</t>
  </si>
  <si>
    <t>Revolving credit facility</t>
  </si>
  <si>
    <t>Total liabilities</t>
  </si>
  <si>
    <t>Shareholders' equity</t>
  </si>
  <si>
    <t>Retained earnings</t>
  </si>
  <si>
    <t>Total shareholders' equity</t>
  </si>
  <si>
    <t>Total liabilities and equity</t>
  </si>
  <si>
    <t>Interest Expense</t>
  </si>
  <si>
    <t>Annual Interest Rate</t>
  </si>
  <si>
    <t>Start</t>
  </si>
  <si>
    <t>Cash Flows Statement</t>
  </si>
  <si>
    <t>*Create a balance sheet using the balance sheet assumptions on the Input Tab</t>
  </si>
  <si>
    <t>*Using the Income Statement and Balance Sheet create a statement of cash flows</t>
  </si>
  <si>
    <t>*Statement of Cash Flows should have a section for each type of activity</t>
  </si>
  <si>
    <t>Balance Sheet Assumptions</t>
  </si>
  <si>
    <t>G&amp;A Assumptions</t>
  </si>
  <si>
    <t>Create a tab to forecast the balance sheet</t>
  </si>
  <si>
    <t>Create a tab the statement of Cash flows</t>
  </si>
  <si>
    <t>Create a tab to forecast the companies interest using the Debt Assumptions</t>
  </si>
  <si>
    <t>Business Memo Notes</t>
  </si>
  <si>
    <t>You are an investor that recently bought a restaurant business</t>
  </si>
  <si>
    <t>You plan to grow this business for 5 years by opening more restaurants during the next five years</t>
  </si>
  <si>
    <t>The Scenario</t>
  </si>
  <si>
    <t>At the end of five years you hope to sell the business for a return</t>
  </si>
  <si>
    <t>Things to consider</t>
  </si>
  <si>
    <t>Based on the balance sheet approximately how much debt and equity can we determine we paid for the business</t>
  </si>
  <si>
    <t xml:space="preserve">How much do we think we could sell the business for at the end of five years under the different scenarios </t>
  </si>
  <si>
    <t>What is the IRR and NPV based on different exit multiples for the business</t>
  </si>
  <si>
    <t>Do you think the planned scenarios make sense?</t>
  </si>
  <si>
    <t>What suggestions do you have for the planned scenarios to help improve the investment returns?</t>
  </si>
  <si>
    <t>What do other assumptions do you think we should consider in this financial model?</t>
  </si>
  <si>
    <t>What do you think the biggest assumptions in this model are?</t>
  </si>
  <si>
    <t xml:space="preserve">Where do you think we should go into more detail on this analysis? </t>
  </si>
  <si>
    <t>Any other relevant thoughts!!!</t>
  </si>
  <si>
    <t>Average Store Assumptions</t>
  </si>
  <si>
    <t xml:space="preserve">Weighted Average </t>
  </si>
  <si>
    <t>New Store Assumptions</t>
  </si>
  <si>
    <t>Key Assumptions</t>
  </si>
  <si>
    <t>Store Expense Scenario Selected-&gt;&gt;</t>
  </si>
  <si>
    <t>Store Operating Scenario-&gt;&gt;</t>
  </si>
  <si>
    <t># Hours/Year</t>
  </si>
  <si>
    <t>Total Team &amp; Manager Wages</t>
  </si>
  <si>
    <t>Total Benefits</t>
  </si>
  <si>
    <t>Total Labor and Benefits</t>
  </si>
  <si>
    <t>Total Food &amp; Paper Costs</t>
  </si>
  <si>
    <t>Total Other Operating Expenses</t>
  </si>
  <si>
    <t>Total Occupancy Costs</t>
  </si>
  <si>
    <t xml:space="preserve">Restaurant Cash Flow </t>
  </si>
  <si>
    <t>X</t>
  </si>
  <si>
    <t>Income Statement</t>
  </si>
  <si>
    <t>Average New Store - 5 Year Pro-Forma</t>
  </si>
  <si>
    <t>Revenue Growth Assumption-&gt;&gt;</t>
  </si>
  <si>
    <t>MRQ</t>
  </si>
  <si>
    <t>% of Revenue</t>
  </si>
  <si>
    <t>Fixed/Variable</t>
  </si>
  <si>
    <t xml:space="preserve">Income Statement </t>
  </si>
  <si>
    <t>New Stores</t>
  </si>
  <si>
    <t>Fiscal Year -&gt;</t>
  </si>
  <si>
    <t>Beg # Stores</t>
  </si>
  <si>
    <t># New Stores Opened</t>
  </si>
  <si>
    <t>Ending # Stores</t>
  </si>
  <si>
    <t>Quarters Owned</t>
  </si>
  <si>
    <t>Weighted Average Length of Ownership</t>
  </si>
  <si>
    <t>Store # -&gt;&gt;</t>
  </si>
  <si>
    <t>Average Weekly Sales-&gt;&gt;</t>
  </si>
  <si>
    <t># of Stores</t>
  </si>
  <si>
    <t>Fractional Years</t>
  </si>
  <si>
    <t xml:space="preserve">Total </t>
  </si>
  <si>
    <t>Other Administrative Benefits</t>
  </si>
  <si>
    <t>Postage</t>
  </si>
  <si>
    <t>Telephone</t>
  </si>
  <si>
    <t>Internet</t>
  </si>
  <si>
    <t>Repairs &amp; Maintenance</t>
  </si>
  <si>
    <t>Office Supplies</t>
  </si>
  <si>
    <t>Total G&amp;A Expense</t>
  </si>
  <si>
    <t>Food &amp; Paper Costs</t>
  </si>
  <si>
    <t>Labor &amp; Benefits</t>
  </si>
  <si>
    <t>Other Operating Expenses</t>
  </si>
  <si>
    <t>Occupancy Costs</t>
  </si>
  <si>
    <t>SLEBITDA</t>
  </si>
  <si>
    <t>G&amp;A</t>
  </si>
  <si>
    <t>EBITDA</t>
  </si>
  <si>
    <t>Depreciation</t>
  </si>
  <si>
    <t>EBIT</t>
  </si>
  <si>
    <t>Net Income</t>
  </si>
  <si>
    <t># New Stores Added</t>
  </si>
  <si>
    <t>CAPEx Expense by Quarter</t>
  </si>
  <si>
    <t>Depreciation Expense (Annual Rate based on Beg PP&amp;E)</t>
  </si>
  <si>
    <t>CapEx Expense</t>
  </si>
  <si>
    <t>End PP&amp;E</t>
  </si>
  <si>
    <t>Beginning PP&amp;E (Net)</t>
  </si>
  <si>
    <t>Revolver Debt</t>
  </si>
  <si>
    <t>Revenue by Quarter</t>
  </si>
  <si>
    <t>Retained earnings + Current Year Net Income</t>
  </si>
  <si>
    <t xml:space="preserve">Tie Out </t>
  </si>
  <si>
    <t>Operating Activities</t>
  </si>
  <si>
    <t>Plus: Depreciation and Amortization</t>
  </si>
  <si>
    <t xml:space="preserve">Changes in Working Capital </t>
  </si>
  <si>
    <t>(Increase)/Decrease in Inventory</t>
  </si>
  <si>
    <t>(Increase)/Decrease in Prepaid and Other Current Assets</t>
  </si>
  <si>
    <t>Increase/(Decrease) in Account Payable</t>
  </si>
  <si>
    <t>(Increase)/Decrease in Accounts Receivables</t>
  </si>
  <si>
    <t>Increase/(Decrease) in Accrued Liabilities</t>
  </si>
  <si>
    <t>Increase/(Decrease) in Other Current Liabilities</t>
  </si>
  <si>
    <t xml:space="preserve">Increase/(Decrease) in Net Working Capital </t>
  </si>
  <si>
    <t>Cash Flow from Operating Activities</t>
  </si>
  <si>
    <t>Investing Activities</t>
  </si>
  <si>
    <t>Capital Expenditures (Fixed Assets)</t>
  </si>
  <si>
    <t>Cash Flow From Investing Activities</t>
  </si>
  <si>
    <t xml:space="preserve">Cash Flow from Financing Activities </t>
  </si>
  <si>
    <t>Proceeds from repayment of revolving credit facility</t>
  </si>
  <si>
    <t>Cash Flow from Financing Activities</t>
  </si>
  <si>
    <t xml:space="preserve">Net Change in Cash </t>
  </si>
  <si>
    <t xml:space="preserve">Beginning Cash Balance </t>
  </si>
  <si>
    <t>Ending Cash Balance</t>
  </si>
  <si>
    <t>&lt;&lt; 5million cash, 10 million debt</t>
  </si>
  <si>
    <t>Year</t>
  </si>
  <si>
    <t>Tie Out</t>
  </si>
  <si>
    <t>Annual</t>
  </si>
  <si>
    <t>Cash Flow Statement</t>
  </si>
  <si>
    <t xml:space="preserve">Profit &amp; Loss Statement </t>
  </si>
  <si>
    <t>Leverage</t>
  </si>
  <si>
    <t>Additional Debt</t>
  </si>
  <si>
    <t>Exit Multiple</t>
  </si>
  <si>
    <t>IRR</t>
  </si>
  <si>
    <t>Discount Rate</t>
  </si>
  <si>
    <t xml:space="preserve">Present Value </t>
  </si>
  <si>
    <t>CashFlows</t>
  </si>
  <si>
    <t>Private</t>
  </si>
  <si>
    <t>Valuation Multiple Heuristics</t>
  </si>
  <si>
    <t>Public</t>
  </si>
  <si>
    <t>Earnings/Profit</t>
  </si>
  <si>
    <t xml:space="preserve">Market Valuation </t>
  </si>
  <si>
    <t xml:space="preserve">Based on </t>
  </si>
  <si>
    <t>Exit Type</t>
  </si>
  <si>
    <t>Discount Net Asset Value</t>
  </si>
  <si>
    <t>Forecasted sales</t>
  </si>
  <si>
    <t>Present value of free cash flow from operations</t>
  </si>
  <si>
    <t>Sum of present value of free cash flows</t>
  </si>
  <si>
    <t>Continuing value</t>
  </si>
  <si>
    <t xml:space="preserve">  Capitalized</t>
  </si>
  <si>
    <t>Present value of continuing value</t>
  </si>
  <si>
    <t>Operating value</t>
  </si>
  <si>
    <t>Asset turnover</t>
  </si>
  <si>
    <r>
      <t>NOPAT</t>
    </r>
    <r>
      <rPr>
        <sz val="11"/>
        <color theme="1"/>
        <rFont val="Arial"/>
        <family val="2"/>
      </rPr>
      <t xml:space="preserve"> (Sales X </t>
    </r>
    <r>
      <rPr>
        <i/>
        <sz val="11"/>
        <color theme="1"/>
        <rFont val="Arial"/>
        <family val="2"/>
      </rPr>
      <t>PM</t>
    </r>
    <r>
      <rPr>
        <sz val="11"/>
        <color theme="1"/>
        <rFont val="Arial"/>
        <family val="2"/>
      </rPr>
      <t>)</t>
    </r>
  </si>
  <si>
    <r>
      <t>NOA</t>
    </r>
    <r>
      <rPr>
        <sz val="11"/>
        <color theme="1"/>
        <rFont val="Arial"/>
        <family val="2"/>
      </rPr>
      <t xml:space="preserve"> (Sales / </t>
    </r>
    <r>
      <rPr>
        <i/>
        <sz val="11"/>
        <color theme="1"/>
        <rFont val="Arial"/>
        <family val="2"/>
      </rPr>
      <t>ATO</t>
    </r>
    <r>
      <rPr>
        <sz val="11"/>
        <color theme="1"/>
        <rFont val="Arial"/>
        <family val="2"/>
      </rPr>
      <t>)</t>
    </r>
  </si>
  <si>
    <r>
      <t>∆</t>
    </r>
    <r>
      <rPr>
        <i/>
        <sz val="11"/>
        <color theme="1"/>
        <rFont val="Arial"/>
        <family val="2"/>
      </rPr>
      <t>NOA</t>
    </r>
  </si>
  <si>
    <r>
      <t>FCF</t>
    </r>
    <r>
      <rPr>
        <sz val="11"/>
        <color theme="1"/>
        <rFont val="Arial"/>
        <family val="2"/>
      </rPr>
      <t xml:space="preserve"> (</t>
    </r>
    <r>
      <rPr>
        <i/>
        <sz val="11"/>
        <color theme="1"/>
        <rFont val="Arial"/>
        <family val="2"/>
      </rPr>
      <t>NOPAT</t>
    </r>
    <r>
      <rPr>
        <sz val="11"/>
        <color theme="1"/>
        <rFont val="Arial"/>
        <family val="2"/>
      </rPr>
      <t>–∆</t>
    </r>
    <r>
      <rPr>
        <i/>
        <sz val="11"/>
        <color theme="1"/>
        <rFont val="Arial"/>
        <family val="2"/>
      </rPr>
      <t>NOA</t>
    </r>
    <r>
      <rPr>
        <sz val="11"/>
        <color theme="1"/>
        <rFont val="Arial"/>
        <family val="2"/>
      </rPr>
      <t>)</t>
    </r>
  </si>
  <si>
    <r>
      <rPr>
        <sz val="11"/>
        <color theme="1"/>
        <rFont val="Arial"/>
        <family val="2"/>
      </rPr>
      <t xml:space="preserve">Growth in </t>
    </r>
    <r>
      <rPr>
        <i/>
        <sz val="11"/>
        <color theme="1"/>
        <rFont val="Arial"/>
        <family val="2"/>
      </rPr>
      <t>FCF</t>
    </r>
  </si>
  <si>
    <r>
      <t xml:space="preserve">Discount factor (1 + </t>
    </r>
    <r>
      <rPr>
        <i/>
        <sz val="11"/>
        <color rgb="FF000000"/>
        <rFont val="Arial"/>
        <family val="2"/>
      </rPr>
      <t>r</t>
    </r>
    <r>
      <rPr>
        <i/>
        <vertAlign val="subscript"/>
        <sz val="11"/>
        <color rgb="FF000000"/>
        <rFont val="Arial"/>
        <family val="2"/>
      </rPr>
      <t>WACC</t>
    </r>
    <r>
      <rPr>
        <sz val="11"/>
        <color rgb="FF000000"/>
        <rFont val="Arial"/>
        <family val="2"/>
      </rPr>
      <t>)</t>
    </r>
    <r>
      <rPr>
        <i/>
        <vertAlign val="superscript"/>
        <sz val="11"/>
        <color rgb="FF000000"/>
        <rFont val="Arial"/>
        <family val="2"/>
      </rPr>
      <t>t</t>
    </r>
  </si>
  <si>
    <r>
      <t xml:space="preserve">  </t>
    </r>
    <r>
      <rPr>
        <i/>
        <sz val="11"/>
        <color rgb="FF000000"/>
        <rFont val="Arial"/>
        <family val="2"/>
      </rPr>
      <t xml:space="preserve">FCF </t>
    </r>
    <r>
      <rPr>
        <sz val="11"/>
        <color rgb="FF000000"/>
        <rFont val="Arial"/>
        <family val="2"/>
      </rPr>
      <t>at horizon</t>
    </r>
  </si>
  <si>
    <t>Basic Discounted Cash Flow Model</t>
  </si>
  <si>
    <t>WACC</t>
  </si>
  <si>
    <t>Output Type ---&gt;</t>
  </si>
  <si>
    <t>Dollars</t>
  </si>
  <si>
    <t>Thousands</t>
  </si>
  <si>
    <t>Millions</t>
  </si>
  <si>
    <t xml:space="preserve">Divide Output by </t>
  </si>
  <si>
    <t>New Stores Sales Growth</t>
  </si>
  <si>
    <t xml:space="preserve">Net Income </t>
  </si>
  <si>
    <t>Year End Cash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</si>
</sst>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0_)_%;\([$$]#,##0\)_%;_(&quot;–&quot;_)_%;_(@_)_%"/>
    <numFmt numFmtId="166" formatCode="_(&quot;$&quot;* #,##0_);_(&quot;$&quot;* \(#,##0\);_(&quot;$&quot;* &quot;-&quot;??_);_(@_)"/>
    <numFmt numFmtId="167" formatCode="_(#,##0_)_%;\(#,##0\)_%;_(&quot;–&quot;_)_%;_(@_)_%"/>
    <numFmt numFmtId="168" formatCode="_(#,##0.0%_);\(#,##0.0%\);_(&quot;–&quot;_)_%;_(@_)_%"/>
    <numFmt numFmtId="169" formatCode="_(* #,##0_);_(* \(#,##0\);_(* &quot;-&quot;??_);_(@_)"/>
    <numFmt numFmtId="170" formatCode="#,##0;\(#,##0\);&quot;–&quot;;@"/>
    <numFmt numFmtId="171" formatCode="#,##0.00%;\(#,##0.00%\);&quot;–&quot;;@"/>
    <numFmt numFmtId="172" formatCode="_(* #,##0.0%_);_(* \(#,##0.0%\);_(* &quot;--- %&quot;_);_(* @_%_)"/>
    <numFmt numFmtId="173" formatCode="_(* #,##0.0_);_(* \(#,##0.0\);_(* &quot;-&quot;?_);_(@_)"/>
    <numFmt numFmtId="174" formatCode="_(&quot;$&quot;* #,##0_);_(&quot;$&quot;* \(#,##0\);_(&quot;$&quot;* &quot;-&quot;?_);_(@_)"/>
    <numFmt numFmtId="175" formatCode="_(* #,##0.00_);_(* \(#,##0.00\);_(* &quot;-&quot;_);_(@_)"/>
    <numFmt numFmtId="176" formatCode="0.0\x"/>
    <numFmt numFmtId="177" formatCode="0.0000"/>
    <numFmt numFmtId="178" formatCode="_(&quot;$&quot;* #,##0.0_);_(&quot;$&quot;* \(#,##0.0\);_(&quot;$&quot;* &quot;-&quot;_);_(@_)"/>
    <numFmt numFmtId="180" formatCode="0%;\ \(0.0%\)"/>
  </numFmts>
  <fonts count="81" x14ac:knownFonts="1">
    <font>
      <sz val="11"/>
      <color theme="1"/>
      <name val="Calibri"/>
      <family val="2"/>
      <scheme val="minor"/>
    </font>
    <font>
      <sz val="11"/>
      <color theme="1"/>
      <name val="Calibri"/>
      <family val="2"/>
      <scheme val="minor"/>
    </font>
    <font>
      <sz val="8"/>
      <color theme="1"/>
      <name val="Calibri"/>
      <family val="2"/>
      <scheme val="minor"/>
    </font>
    <font>
      <b/>
      <i/>
      <sz val="8"/>
      <color rgb="FFC00000"/>
      <name val="Calibri"/>
      <family val="2"/>
      <scheme val="minor"/>
    </font>
    <font>
      <u/>
      <sz val="8"/>
      <color theme="1"/>
      <name val="Times New Roman"/>
      <family val="1"/>
    </font>
    <font>
      <b/>
      <u val="singleAccounting"/>
      <sz val="8"/>
      <color theme="1"/>
      <name val="Times New Roman"/>
      <family val="1"/>
    </font>
    <font>
      <sz val="8"/>
      <color rgb="FF0000FF"/>
      <name val="Calibri"/>
      <family val="2"/>
      <scheme val="minor"/>
    </font>
    <font>
      <b/>
      <u val="singleAccounting"/>
      <sz val="8"/>
      <color rgb="FF000000"/>
      <name val="Times New Roman"/>
      <family val="1"/>
    </font>
    <font>
      <b/>
      <sz val="8"/>
      <color rgb="FF000000"/>
      <name val="Times New Roman"/>
      <family val="1"/>
    </font>
    <font>
      <b/>
      <i/>
      <sz val="8"/>
      <name val="Calibri"/>
      <family val="2"/>
      <scheme val="minor"/>
    </font>
    <font>
      <sz val="8"/>
      <color theme="1"/>
      <name val="Times New Roman"/>
      <family val="1"/>
    </font>
    <font>
      <sz val="8"/>
      <color rgb="FF0000FF"/>
      <name val="Times New Roman"/>
      <family val="1"/>
    </font>
    <font>
      <b/>
      <sz val="8"/>
      <color theme="1"/>
      <name val="Times New Roman"/>
      <family val="1"/>
    </font>
    <font>
      <sz val="10"/>
      <color theme="1"/>
      <name val="Calibri"/>
      <family val="2"/>
      <scheme val="minor"/>
    </font>
    <font>
      <sz val="8"/>
      <name val="Times New Roman"/>
      <family val="1"/>
    </font>
    <font>
      <b/>
      <sz val="8"/>
      <color rgb="FF000000"/>
      <name val="Calibri"/>
      <family val="2"/>
      <scheme val="minor"/>
    </font>
    <font>
      <sz val="8"/>
      <color rgb="FF000000"/>
      <name val="Calibri"/>
      <family val="2"/>
      <scheme val="minor"/>
    </font>
    <font>
      <b/>
      <sz val="8"/>
      <color theme="1"/>
      <name val="Calibri"/>
      <family val="2"/>
      <scheme val="minor"/>
    </font>
    <font>
      <b/>
      <u val="singleAccounting"/>
      <sz val="8"/>
      <color rgb="FF000000"/>
      <name val="Calibri"/>
      <family val="2"/>
      <scheme val="minor"/>
    </font>
    <font>
      <b/>
      <u/>
      <sz val="8"/>
      <color rgb="FF000000"/>
      <name val="Calibri"/>
      <family val="2"/>
      <scheme val="minor"/>
    </font>
    <font>
      <u val="singleAccounting"/>
      <sz val="8"/>
      <color rgb="FF000000"/>
      <name val="Calibri"/>
      <family val="2"/>
      <scheme val="minor"/>
    </font>
    <font>
      <b/>
      <sz val="8"/>
      <color theme="0"/>
      <name val="Calibri"/>
      <family val="2"/>
      <scheme val="minor"/>
    </font>
    <font>
      <sz val="8"/>
      <name val="Calibri"/>
      <family val="2"/>
      <scheme val="minor"/>
    </font>
    <font>
      <u/>
      <sz val="8"/>
      <color rgb="FF000000"/>
      <name val="Calibri"/>
      <family val="2"/>
      <scheme val="minor"/>
    </font>
    <font>
      <b/>
      <sz val="8"/>
      <name val="Calibri"/>
      <family val="2"/>
      <scheme val="minor"/>
    </font>
    <font>
      <b/>
      <sz val="12"/>
      <color theme="0"/>
      <name val="Calibri"/>
      <family val="2"/>
      <scheme val="minor"/>
    </font>
    <font>
      <sz val="8"/>
      <color theme="0"/>
      <name val="Calibri"/>
      <family val="2"/>
      <scheme val="minor"/>
    </font>
    <font>
      <b/>
      <sz val="10"/>
      <name val="MS Sans Serif"/>
      <family val="2"/>
    </font>
    <font>
      <sz val="9"/>
      <name val="Times New Roman"/>
      <family val="1"/>
    </font>
    <font>
      <sz val="10"/>
      <name val="Arial"/>
      <family val="2"/>
    </font>
    <font>
      <b/>
      <sz val="8"/>
      <color rgb="FF0000FF"/>
      <name val="Calibri"/>
      <family val="2"/>
      <scheme val="minor"/>
    </font>
    <font>
      <sz val="11"/>
      <color rgb="FFFF0000"/>
      <name val="Calibri"/>
      <family val="2"/>
      <scheme val="minor"/>
    </font>
    <font>
      <sz val="11"/>
      <color theme="0"/>
      <name val="Arial"/>
      <family val="2"/>
    </font>
    <font>
      <sz val="11"/>
      <color theme="1"/>
      <name val="Arial"/>
      <family val="2"/>
    </font>
    <font>
      <sz val="11"/>
      <color theme="5" tint="-0.499984740745262"/>
      <name val="Calibri"/>
      <family val="2"/>
      <scheme val="minor"/>
    </font>
    <font>
      <b/>
      <sz val="11"/>
      <name val="Calibri"/>
      <family val="2"/>
      <scheme val="minor"/>
    </font>
    <font>
      <u/>
      <sz val="11"/>
      <color theme="1"/>
      <name val="Arial"/>
      <family val="2"/>
    </font>
    <font>
      <b/>
      <sz val="11"/>
      <color theme="1"/>
      <name val="Arial"/>
      <family val="2"/>
    </font>
    <font>
      <sz val="11"/>
      <color rgb="FF008000"/>
      <name val="Arial"/>
      <family val="2"/>
    </font>
    <font>
      <sz val="11"/>
      <name val="Arial"/>
      <family val="2"/>
    </font>
    <font>
      <b/>
      <u/>
      <sz val="11"/>
      <color theme="1"/>
      <name val="Arial"/>
      <family val="2"/>
    </font>
    <font>
      <sz val="11"/>
      <color rgb="FF0000FF"/>
      <name val="Arial"/>
      <family val="2"/>
    </font>
    <font>
      <b/>
      <sz val="11"/>
      <name val="Arial"/>
      <family val="2"/>
    </font>
    <font>
      <b/>
      <sz val="11"/>
      <color rgb="FF008000"/>
      <name val="Arial"/>
      <family val="2"/>
    </font>
    <font>
      <sz val="11"/>
      <color rgb="FFFF0000"/>
      <name val="Arial"/>
      <family val="2"/>
    </font>
    <font>
      <b/>
      <u/>
      <sz val="8"/>
      <color rgb="FF000000"/>
      <name val="Arial"/>
      <family val="2"/>
    </font>
    <font>
      <sz val="8"/>
      <color theme="1"/>
      <name val="Arial"/>
      <family val="2"/>
    </font>
    <font>
      <b/>
      <u val="singleAccounting"/>
      <sz val="8"/>
      <color rgb="FF000000"/>
      <name val="Arial"/>
      <family val="2"/>
    </font>
    <font>
      <sz val="8"/>
      <color rgb="FF000000"/>
      <name val="Arial"/>
      <family val="2"/>
    </font>
    <font>
      <sz val="8"/>
      <color rgb="FF008000"/>
      <name val="Arial"/>
      <family val="2"/>
    </font>
    <font>
      <b/>
      <sz val="8"/>
      <color theme="0"/>
      <name val="Arial"/>
      <family val="2"/>
    </font>
    <font>
      <sz val="8"/>
      <name val="Arial"/>
      <family val="2"/>
    </font>
    <font>
      <sz val="8"/>
      <color rgb="FF0000FF"/>
      <name val="Arial"/>
      <family val="2"/>
    </font>
    <font>
      <u/>
      <sz val="8"/>
      <color rgb="FF000000"/>
      <name val="Arial"/>
      <family val="2"/>
    </font>
    <font>
      <b/>
      <sz val="8"/>
      <color rgb="FF000000"/>
      <name val="Arial"/>
      <family val="2"/>
    </font>
    <font>
      <b/>
      <sz val="8"/>
      <name val="Arial"/>
      <family val="2"/>
    </font>
    <font>
      <i/>
      <sz val="11"/>
      <color theme="1"/>
      <name val="Arial"/>
      <family val="2"/>
    </font>
    <font>
      <b/>
      <i/>
      <sz val="8"/>
      <color rgb="FFC00000"/>
      <name val="Arial"/>
      <family val="2"/>
    </font>
    <font>
      <b/>
      <sz val="8"/>
      <color theme="1"/>
      <name val="Arial"/>
      <family val="2"/>
    </font>
    <font>
      <b/>
      <sz val="8"/>
      <color rgb="FF0000FF"/>
      <name val="Arial"/>
      <family val="2"/>
    </font>
    <font>
      <i/>
      <sz val="10"/>
      <color theme="1"/>
      <name val="Arial"/>
      <family val="2"/>
    </font>
    <font>
      <b/>
      <sz val="11"/>
      <color theme="0"/>
      <name val="Arial"/>
      <family val="2"/>
    </font>
    <font>
      <sz val="10"/>
      <color rgb="FF000000"/>
      <name val="Arial"/>
      <family val="2"/>
    </font>
    <font>
      <b/>
      <sz val="10"/>
      <color rgb="FF000000"/>
      <name val="Arial"/>
      <family val="2"/>
    </font>
    <font>
      <sz val="10"/>
      <color theme="1"/>
      <name val="Arial"/>
      <family val="2"/>
    </font>
    <font>
      <b/>
      <sz val="10"/>
      <color theme="1"/>
      <name val="Arial"/>
      <family val="2"/>
    </font>
    <font>
      <sz val="12"/>
      <color theme="1"/>
      <name val="Arial"/>
      <family val="2"/>
    </font>
    <font>
      <sz val="12"/>
      <name val="Arial"/>
      <family val="2"/>
    </font>
    <font>
      <b/>
      <sz val="12"/>
      <color theme="1"/>
      <name val="Arial"/>
      <family val="2"/>
    </font>
    <font>
      <b/>
      <u/>
      <sz val="12"/>
      <color theme="1"/>
      <name val="Arial"/>
      <family val="2"/>
    </font>
    <font>
      <b/>
      <sz val="11"/>
      <color rgb="FF000000"/>
      <name val="Arial"/>
      <family val="2"/>
    </font>
    <font>
      <sz val="11"/>
      <color rgb="FF000000"/>
      <name val="Arial"/>
      <family val="2"/>
    </font>
    <font>
      <i/>
      <sz val="11"/>
      <color rgb="FF000000"/>
      <name val="Arial"/>
      <family val="2"/>
    </font>
    <font>
      <i/>
      <vertAlign val="subscript"/>
      <sz val="11"/>
      <color rgb="FF000000"/>
      <name val="Arial"/>
      <family val="2"/>
    </font>
    <font>
      <i/>
      <vertAlign val="superscript"/>
      <sz val="11"/>
      <color rgb="FF000000"/>
      <name val="Arial"/>
      <family val="2"/>
    </font>
    <font>
      <sz val="12"/>
      <color rgb="FF008000"/>
      <name val="Arial"/>
      <family val="2"/>
    </font>
    <font>
      <sz val="12"/>
      <color theme="0"/>
      <name val="Arial"/>
      <family val="2"/>
    </font>
    <font>
      <sz val="16"/>
      <color theme="0"/>
      <name val="Arial"/>
      <family val="2"/>
    </font>
    <font>
      <sz val="16"/>
      <color theme="1"/>
      <name val="Arial"/>
      <family val="2"/>
    </font>
    <font>
      <b/>
      <sz val="16"/>
      <color theme="1"/>
      <name val="Arial"/>
      <family val="2"/>
    </font>
    <font>
      <b/>
      <sz val="14"/>
      <color rgb="FF0000FF"/>
      <name val="Arial"/>
      <family val="2"/>
    </font>
  </fonts>
  <fills count="16">
    <fill>
      <patternFill patternType="none"/>
    </fill>
    <fill>
      <patternFill patternType="gray125"/>
    </fill>
    <fill>
      <patternFill patternType="solid">
        <fgColor theme="7" tint="0.79998168889431442"/>
        <bgColor indexed="64"/>
      </patternFill>
    </fill>
    <fill>
      <patternFill patternType="solid">
        <fgColor theme="4" tint="-0.249977111117893"/>
        <bgColor indexed="64"/>
      </patternFill>
    </fill>
    <fill>
      <patternFill patternType="solid">
        <fgColor rgb="FFFFF2CC"/>
        <bgColor rgb="FF000000"/>
      </patternFill>
    </fill>
    <fill>
      <patternFill patternType="solid">
        <fgColor theme="6" tint="0.79998168889431442"/>
        <bgColor indexed="64"/>
      </patternFill>
    </fill>
    <fill>
      <patternFill patternType="solid">
        <fgColor rgb="FFFFF2CC"/>
        <bgColor indexed="64"/>
      </patternFill>
    </fill>
    <fill>
      <patternFill patternType="solid">
        <fgColor theme="5" tint="0.79998168889431442"/>
        <bgColor indexed="64"/>
      </patternFill>
    </fill>
    <fill>
      <patternFill patternType="solid">
        <fgColor theme="2"/>
        <bgColor indexed="64"/>
      </patternFill>
    </fill>
    <fill>
      <patternFill patternType="solid">
        <fgColor theme="1"/>
        <bgColor indexed="64"/>
      </patternFill>
    </fill>
    <fill>
      <patternFill patternType="solid">
        <fgColor theme="2" tint="-9.9978637043366805E-2"/>
        <bgColor indexed="64"/>
      </patternFill>
    </fill>
    <fill>
      <patternFill patternType="solid">
        <fgColor theme="5" tint="0.59996337778862885"/>
        <bgColor indexed="64"/>
      </patternFill>
    </fill>
    <fill>
      <patternFill patternType="solid">
        <fgColor theme="0" tint="-0.24994659260841701"/>
        <bgColor indexed="64"/>
      </patternFill>
    </fill>
    <fill>
      <patternFill patternType="solid">
        <fgColor rgb="FF0000FF"/>
        <bgColor indexed="64"/>
      </patternFill>
    </fill>
    <fill>
      <patternFill patternType="solid">
        <fgColor theme="0" tint="-0.14999847407452621"/>
        <bgColor indexed="64"/>
      </patternFill>
    </fill>
    <fill>
      <patternFill patternType="solid">
        <fgColor rgb="FFFFFF00"/>
        <bgColor indexed="64"/>
      </patternFill>
    </fill>
  </fills>
  <borders count="6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indexed="64"/>
      </left>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top/>
      <bottom style="thin">
        <color rgb="FF000000"/>
      </bottom>
      <diagonal/>
    </border>
    <border>
      <left style="thin">
        <color rgb="FF000000"/>
      </left>
      <right style="thin">
        <color indexed="64"/>
      </right>
      <top/>
      <bottom style="thin">
        <color rgb="FF000000"/>
      </bottom>
      <diagonal/>
    </border>
    <border>
      <left style="thin">
        <color indexed="64"/>
      </left>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hair">
        <color rgb="FF000000"/>
      </top>
      <bottom style="hair">
        <color rgb="FF000000"/>
      </bottom>
      <diagonal/>
    </border>
    <border>
      <left/>
      <right/>
      <top style="hair">
        <color rgb="FF000000"/>
      </top>
      <bottom/>
      <diagonal/>
    </border>
    <border>
      <left style="thin">
        <color indexed="64"/>
      </left>
      <right/>
      <top style="thin">
        <color rgb="FF000000"/>
      </top>
      <bottom/>
      <diagonal/>
    </border>
    <border>
      <left/>
      <right style="thin">
        <color indexed="64"/>
      </right>
      <top style="thin">
        <color rgb="FF000000"/>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theme="5" tint="-0.499984740745262"/>
      </left>
      <right style="thin">
        <color theme="5" tint="-0.499984740745262"/>
      </right>
      <top style="thin">
        <color theme="5" tint="-0.499984740745262"/>
      </top>
      <bottom style="thin">
        <color theme="5" tint="-0.499984740745262"/>
      </bottom>
      <diagonal/>
    </border>
    <border>
      <left style="medium">
        <color auto="1"/>
      </left>
      <right style="medium">
        <color auto="1"/>
      </right>
      <top style="medium">
        <color auto="1"/>
      </top>
      <bottom style="medium">
        <color auto="1"/>
      </bottom>
      <diagonal/>
    </border>
    <border>
      <left/>
      <right/>
      <top style="thin">
        <color indexed="64"/>
      </top>
      <bottom style="double">
        <color indexed="64"/>
      </bottom>
      <diagonal/>
    </border>
    <border>
      <left/>
      <right/>
      <top/>
      <bottom style="double">
        <color indexed="64"/>
      </bottom>
      <diagonal/>
    </border>
    <border>
      <left style="dotted">
        <color indexed="64"/>
      </left>
      <right/>
      <top style="dotted">
        <color indexed="64"/>
      </top>
      <bottom/>
      <diagonal/>
    </border>
    <border>
      <left/>
      <right/>
      <top style="dotted">
        <color indexed="64"/>
      </top>
      <bottom/>
      <diagonal/>
    </border>
    <border>
      <left style="dotted">
        <color indexed="64"/>
      </left>
      <right/>
      <top/>
      <bottom/>
      <diagonal/>
    </border>
    <border>
      <left style="dotted">
        <color indexed="64"/>
      </left>
      <right/>
      <top/>
      <bottom style="dotted">
        <color indexed="64"/>
      </bottom>
      <diagonal/>
    </border>
    <border>
      <left/>
      <right/>
      <top/>
      <bottom style="dott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rgb="FF000000"/>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right style="medium">
        <color indexed="64"/>
      </right>
      <top style="thin">
        <color indexed="64"/>
      </top>
      <bottom style="double">
        <color indexed="64"/>
      </bottom>
      <diagonal/>
    </border>
    <border>
      <left/>
      <right style="medium">
        <color indexed="64"/>
      </right>
      <top/>
      <bottom style="thin">
        <color indexed="64"/>
      </bottom>
      <diagonal/>
    </border>
    <border>
      <left/>
      <right/>
      <top style="thin">
        <color indexed="64"/>
      </top>
      <bottom style="medium">
        <color indexed="64"/>
      </bottom>
      <diagonal/>
    </border>
  </borders>
  <cellStyleXfs count="26">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3" fillId="0" borderId="0"/>
    <xf numFmtId="44" fontId="13" fillId="0" borderId="0" applyFont="0" applyFill="0" applyBorder="0" applyAlignment="0" applyProtection="0"/>
    <xf numFmtId="9" fontId="13" fillId="0" borderId="0" applyFont="0" applyFill="0" applyBorder="0" applyAlignment="0" applyProtection="0"/>
    <xf numFmtId="0" fontId="27" fillId="0" borderId="0" applyNumberFormat="0" applyFill="0" applyBorder="0" applyAlignment="0" applyProtection="0"/>
    <xf numFmtId="172" fontId="28" fillId="0" borderId="0" applyFont="0" applyFill="0" applyBorder="0" applyAlignment="0" applyProtection="0">
      <alignment horizontal="right"/>
    </xf>
    <xf numFmtId="0" fontId="1" fillId="0" borderId="0"/>
    <xf numFmtId="0" fontId="29" fillId="0" borderId="0"/>
    <xf numFmtId="41" fontId="31" fillId="0" borderId="0">
      <alignment horizontal="centerContinuous" vertical="top" wrapText="1"/>
    </xf>
    <xf numFmtId="42" fontId="41" fillId="0" borderId="0">
      <alignment horizontal="right" vertical="top"/>
    </xf>
    <xf numFmtId="41" fontId="41" fillId="0" borderId="0">
      <alignment horizontal="right" vertical="top"/>
    </xf>
    <xf numFmtId="164" fontId="41" fillId="0" borderId="0">
      <alignment horizontal="right" vertical="top"/>
    </xf>
    <xf numFmtId="42" fontId="34" fillId="11" borderId="35">
      <alignment horizontal="right" vertical="top"/>
      <protection locked="0"/>
    </xf>
    <xf numFmtId="41" fontId="34" fillId="11" borderId="35">
      <alignment horizontal="right" vertical="top"/>
      <protection locked="0"/>
    </xf>
    <xf numFmtId="164" fontId="34" fillId="11" borderId="35">
      <alignment horizontal="right" vertical="top"/>
      <protection locked="0"/>
    </xf>
    <xf numFmtId="41" fontId="34" fillId="11" borderId="35">
      <alignment horizontal="left" vertical="top" wrapText="1"/>
      <protection locked="0"/>
    </xf>
    <xf numFmtId="42" fontId="38" fillId="0" borderId="0">
      <alignment horizontal="right" vertical="top"/>
    </xf>
    <xf numFmtId="41" fontId="38" fillId="0" borderId="0">
      <alignment horizontal="right" vertical="top"/>
    </xf>
    <xf numFmtId="164" fontId="38" fillId="0" borderId="0">
      <alignment horizontal="right" vertical="top"/>
    </xf>
    <xf numFmtId="42" fontId="35" fillId="12" borderId="36">
      <alignment horizontal="right" vertical="top"/>
    </xf>
    <xf numFmtId="173" fontId="35" fillId="12" borderId="36">
      <alignment horizontal="right" vertical="top"/>
    </xf>
    <xf numFmtId="41" fontId="35" fillId="12" borderId="36">
      <alignment horizontal="right" vertical="top"/>
    </xf>
    <xf numFmtId="164" fontId="35" fillId="12" borderId="36">
      <alignment horizontal="right" vertical="top"/>
    </xf>
  </cellStyleXfs>
  <cellXfs count="507">
    <xf numFmtId="0" fontId="0" fillId="0" borderId="0" xfId="0"/>
    <xf numFmtId="0" fontId="2" fillId="0" borderId="0" xfId="0" applyFont="1"/>
    <xf numFmtId="0" fontId="3" fillId="0" borderId="0" xfId="0" applyFont="1"/>
    <xf numFmtId="0" fontId="5" fillId="0" borderId="0" xfId="0" applyFont="1" applyAlignment="1">
      <alignment horizontal="centerContinuous"/>
    </xf>
    <xf numFmtId="0" fontId="9" fillId="0" borderId="0" xfId="0" applyFont="1"/>
    <xf numFmtId="0" fontId="10" fillId="5" borderId="9" xfId="0" applyFont="1" applyFill="1" applyBorder="1"/>
    <xf numFmtId="0" fontId="4" fillId="5" borderId="8" xfId="0" applyFont="1" applyFill="1" applyBorder="1" applyAlignment="1">
      <alignment horizontal="center"/>
    </xf>
    <xf numFmtId="0" fontId="4" fillId="5" borderId="10" xfId="0" applyFont="1" applyFill="1" applyBorder="1" applyAlignment="1">
      <alignment horizontal="center"/>
    </xf>
    <xf numFmtId="0" fontId="10" fillId="5" borderId="11" xfId="0" applyFont="1" applyFill="1" applyBorder="1"/>
    <xf numFmtId="0" fontId="11" fillId="5" borderId="0" xfId="0" applyFont="1" applyFill="1" applyBorder="1"/>
    <xf numFmtId="166" fontId="11" fillId="5" borderId="0" xfId="1" applyNumberFormat="1" applyFont="1" applyFill="1" applyBorder="1" applyAlignment="1">
      <alignment horizontal="center"/>
    </xf>
    <xf numFmtId="166" fontId="11" fillId="5" borderId="12" xfId="1" applyNumberFormat="1" applyFont="1" applyFill="1" applyBorder="1" applyAlignment="1">
      <alignment horizontal="center"/>
    </xf>
    <xf numFmtId="0" fontId="12" fillId="5" borderId="11" xfId="0" applyFont="1" applyFill="1" applyBorder="1"/>
    <xf numFmtId="0" fontId="10" fillId="5" borderId="13" xfId="0" applyFont="1" applyFill="1" applyBorder="1"/>
    <xf numFmtId="9" fontId="11" fillId="5" borderId="1" xfId="0" applyNumberFormat="1" applyFont="1" applyFill="1" applyBorder="1" applyAlignment="1">
      <alignment horizontal="center"/>
    </xf>
    <xf numFmtId="9" fontId="11" fillId="5" borderId="14" xfId="0" applyNumberFormat="1" applyFont="1" applyFill="1" applyBorder="1" applyAlignment="1">
      <alignment horizontal="center"/>
    </xf>
    <xf numFmtId="0" fontId="11" fillId="0" borderId="0" xfId="0" applyFont="1" applyBorder="1"/>
    <xf numFmtId="9" fontId="11" fillId="0" borderId="0" xfId="0" applyNumberFormat="1" applyFont="1" applyFill="1" applyBorder="1" applyAlignment="1">
      <alignment horizontal="center"/>
    </xf>
    <xf numFmtId="166" fontId="11" fillId="5" borderId="8" xfId="1" applyNumberFormat="1" applyFont="1" applyFill="1" applyBorder="1"/>
    <xf numFmtId="166" fontId="11" fillId="5" borderId="10" xfId="1" applyNumberFormat="1" applyFont="1" applyFill="1" applyBorder="1"/>
    <xf numFmtId="9" fontId="11" fillId="5" borderId="0" xfId="2" applyFont="1" applyFill="1" applyBorder="1" applyAlignment="1">
      <alignment horizontal="center"/>
    </xf>
    <xf numFmtId="9" fontId="11" fillId="5" borderId="12" xfId="2" applyFont="1" applyFill="1" applyBorder="1" applyAlignment="1">
      <alignment horizontal="center"/>
    </xf>
    <xf numFmtId="166" fontId="10" fillId="5" borderId="0" xfId="1" applyNumberFormat="1" applyFont="1" applyFill="1" applyBorder="1" applyAlignment="1">
      <alignment horizontal="center"/>
    </xf>
    <xf numFmtId="166" fontId="10" fillId="5" borderId="12" xfId="1" applyNumberFormat="1" applyFont="1" applyFill="1" applyBorder="1" applyAlignment="1">
      <alignment horizontal="center"/>
    </xf>
    <xf numFmtId="169" fontId="11" fillId="5" borderId="0" xfId="3" applyNumberFormat="1" applyFont="1" applyFill="1" applyBorder="1" applyAlignment="1"/>
    <xf numFmtId="169" fontId="11" fillId="5" borderId="12" xfId="3" applyNumberFormat="1" applyFont="1" applyFill="1" applyBorder="1" applyAlignment="1"/>
    <xf numFmtId="6" fontId="11" fillId="5" borderId="0" xfId="0" applyNumberFormat="1" applyFont="1" applyFill="1" applyBorder="1"/>
    <xf numFmtId="44" fontId="11" fillId="5" borderId="0" xfId="1" applyFont="1" applyFill="1" applyBorder="1"/>
    <xf numFmtId="44" fontId="11" fillId="5" borderId="12" xfId="1" applyFont="1" applyFill="1" applyBorder="1"/>
    <xf numFmtId="164" fontId="11" fillId="5" borderId="0" xfId="2" applyNumberFormat="1" applyFont="1" applyFill="1" applyBorder="1" applyAlignment="1">
      <alignment horizontal="center"/>
    </xf>
    <xf numFmtId="164" fontId="11" fillId="5" borderId="12" xfId="2" applyNumberFormat="1" applyFont="1" applyFill="1" applyBorder="1" applyAlignment="1">
      <alignment horizontal="center"/>
    </xf>
    <xf numFmtId="166" fontId="11" fillId="5" borderId="1" xfId="1" applyNumberFormat="1" applyFont="1" applyFill="1" applyBorder="1" applyAlignment="1">
      <alignment horizontal="center"/>
    </xf>
    <xf numFmtId="166" fontId="11" fillId="5" borderId="14" xfId="1" applyNumberFormat="1" applyFont="1" applyFill="1" applyBorder="1" applyAlignment="1">
      <alignment horizontal="center"/>
    </xf>
    <xf numFmtId="0" fontId="10" fillId="0" borderId="0" xfId="0" applyFont="1" applyBorder="1"/>
    <xf numFmtId="164" fontId="11" fillId="2" borderId="2" xfId="2" applyNumberFormat="1" applyFont="1" applyFill="1" applyBorder="1" applyAlignment="1">
      <alignment horizontal="center"/>
    </xf>
    <xf numFmtId="0" fontId="10" fillId="0" borderId="0" xfId="0" applyFont="1"/>
    <xf numFmtId="6" fontId="14" fillId="5" borderId="0" xfId="0" applyNumberFormat="1" applyFont="1" applyFill="1" applyBorder="1" applyAlignment="1">
      <alignment horizontal="center"/>
    </xf>
    <xf numFmtId="6" fontId="14" fillId="5" borderId="12" xfId="0" applyNumberFormat="1" applyFont="1" applyFill="1" applyBorder="1" applyAlignment="1">
      <alignment horizontal="center"/>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2" fillId="5" borderId="25" xfId="0" applyFont="1" applyFill="1" applyBorder="1" applyAlignment="1">
      <alignment horizontal="center"/>
    </xf>
    <xf numFmtId="169" fontId="6" fillId="5" borderId="0" xfId="3" applyNumberFormat="1" applyFont="1" applyFill="1" applyBorder="1"/>
    <xf numFmtId="164" fontId="6" fillId="5" borderId="12" xfId="0" applyNumberFormat="1" applyFont="1" applyFill="1" applyBorder="1" applyAlignment="1">
      <alignment horizontal="center"/>
    </xf>
    <xf numFmtId="0" fontId="2" fillId="5" borderId="26" xfId="0" applyFont="1" applyFill="1" applyBorder="1" applyAlignment="1">
      <alignment horizontal="center"/>
    </xf>
    <xf numFmtId="169" fontId="6" fillId="5" borderId="1" xfId="3" applyNumberFormat="1" applyFont="1" applyFill="1" applyBorder="1"/>
    <xf numFmtId="164" fontId="6" fillId="5" borderId="14" xfId="0" applyNumberFormat="1" applyFont="1" applyFill="1" applyBorder="1" applyAlignment="1">
      <alignment horizontal="center"/>
    </xf>
    <xf numFmtId="0" fontId="2" fillId="5" borderId="2" xfId="0" applyFont="1" applyFill="1" applyBorder="1" applyAlignment="1">
      <alignment horizontal="left"/>
    </xf>
    <xf numFmtId="0" fontId="7" fillId="5" borderId="4" xfId="0" applyFont="1" applyFill="1" applyBorder="1" applyAlignment="1">
      <alignment horizontal="center"/>
    </xf>
    <xf numFmtId="0" fontId="7" fillId="5" borderId="5" xfId="0" applyFont="1" applyFill="1" applyBorder="1" applyAlignment="1">
      <alignment horizontal="center"/>
    </xf>
    <xf numFmtId="0" fontId="8" fillId="5" borderId="25" xfId="0" applyFont="1" applyFill="1" applyBorder="1" applyAlignment="1">
      <alignment horizontal="center"/>
    </xf>
    <xf numFmtId="0" fontId="6" fillId="5" borderId="0" xfId="0" applyFont="1" applyFill="1" applyBorder="1" applyAlignment="1">
      <alignment horizontal="center"/>
    </xf>
    <xf numFmtId="0" fontId="6" fillId="5" borderId="12" xfId="0" applyFont="1" applyFill="1" applyBorder="1" applyAlignment="1">
      <alignment horizontal="center"/>
    </xf>
    <xf numFmtId="0" fontId="8" fillId="5" borderId="26" xfId="0" applyFont="1" applyFill="1" applyBorder="1" applyAlignment="1">
      <alignment horizontal="center"/>
    </xf>
    <xf numFmtId="0" fontId="6" fillId="5" borderId="1" xfId="0" applyFont="1" applyFill="1" applyBorder="1" applyAlignment="1">
      <alignment horizontal="center"/>
    </xf>
    <xf numFmtId="0" fontId="6" fillId="5" borderId="14" xfId="0" applyFont="1" applyFill="1" applyBorder="1" applyAlignment="1">
      <alignment horizontal="center"/>
    </xf>
    <xf numFmtId="0" fontId="16" fillId="0" borderId="0" xfId="0" applyFont="1"/>
    <xf numFmtId="166" fontId="6" fillId="4" borderId="16" xfId="1" applyNumberFormat="1" applyFont="1" applyFill="1" applyBorder="1" applyAlignment="1">
      <alignment horizontal="center"/>
    </xf>
    <xf numFmtId="166" fontId="6" fillId="4" borderId="17" xfId="1" applyNumberFormat="1" applyFont="1" applyFill="1" applyBorder="1" applyAlignment="1">
      <alignment horizontal="center"/>
    </xf>
    <xf numFmtId="166" fontId="6" fillId="4" borderId="18" xfId="1" applyNumberFormat="1" applyFont="1" applyFill="1" applyBorder="1" applyAlignment="1">
      <alignment horizontal="center"/>
    </xf>
    <xf numFmtId="166" fontId="6" fillId="4" borderId="19" xfId="1" applyNumberFormat="1" applyFont="1" applyFill="1" applyBorder="1" applyAlignment="1">
      <alignment horizontal="center"/>
    </xf>
    <xf numFmtId="0" fontId="6" fillId="4" borderId="20" xfId="0" applyFont="1" applyFill="1" applyBorder="1" applyAlignment="1">
      <alignment horizontal="center"/>
    </xf>
    <xf numFmtId="166" fontId="6" fillId="4" borderId="21" xfId="1" applyNumberFormat="1" applyFont="1" applyFill="1" applyBorder="1" applyAlignment="1">
      <alignment horizontal="center"/>
    </xf>
    <xf numFmtId="0" fontId="6" fillId="4" borderId="22" xfId="0" applyFont="1" applyFill="1" applyBorder="1" applyAlignment="1">
      <alignment horizontal="center"/>
    </xf>
    <xf numFmtId="166" fontId="6" fillId="4" borderId="23" xfId="1" applyNumberFormat="1" applyFont="1" applyFill="1" applyBorder="1" applyAlignment="1">
      <alignment horizontal="center"/>
    </xf>
    <xf numFmtId="0" fontId="6" fillId="4" borderId="24" xfId="0" applyFont="1" applyFill="1" applyBorder="1" applyAlignment="1">
      <alignment horizontal="center"/>
    </xf>
    <xf numFmtId="166" fontId="6" fillId="4" borderId="6" xfId="1" applyNumberFormat="1" applyFont="1" applyFill="1" applyBorder="1" applyAlignment="1">
      <alignment horizontal="center"/>
    </xf>
    <xf numFmtId="9" fontId="6" fillId="4" borderId="7" xfId="0" applyNumberFormat="1" applyFont="1" applyFill="1" applyBorder="1" applyAlignment="1">
      <alignment horizontal="center"/>
    </xf>
    <xf numFmtId="0" fontId="17" fillId="0" borderId="8" xfId="0" applyFont="1" applyBorder="1"/>
    <xf numFmtId="0" fontId="21" fillId="3" borderId="3" xfId="0" applyFont="1" applyFill="1" applyBorder="1"/>
    <xf numFmtId="0" fontId="21" fillId="3" borderId="4" xfId="0" applyFont="1" applyFill="1" applyBorder="1"/>
    <xf numFmtId="0" fontId="21" fillId="3" borderId="5" xfId="0" applyFont="1" applyFill="1" applyBorder="1"/>
    <xf numFmtId="0" fontId="22" fillId="0" borderId="15" xfId="0" applyFont="1" applyBorder="1"/>
    <xf numFmtId="0" fontId="2" fillId="0" borderId="0" xfId="0" applyFont="1" applyBorder="1"/>
    <xf numFmtId="166" fontId="2" fillId="0" borderId="0" xfId="1" applyNumberFormat="1" applyFont="1" applyBorder="1"/>
    <xf numFmtId="0" fontId="2" fillId="0" borderId="8" xfId="0" applyFont="1" applyBorder="1"/>
    <xf numFmtId="0" fontId="6" fillId="0" borderId="4" xfId="0" applyFont="1" applyFill="1" applyBorder="1" applyAlignment="1">
      <alignment horizontal="center"/>
    </xf>
    <xf numFmtId="0" fontId="6" fillId="0" borderId="5" xfId="0" applyFont="1" applyFill="1" applyBorder="1" applyAlignment="1">
      <alignment horizontal="center"/>
    </xf>
    <xf numFmtId="0" fontId="8" fillId="0" borderId="2" xfId="0" applyFont="1" applyFill="1" applyBorder="1" applyAlignment="1">
      <alignment horizontal="center"/>
    </xf>
    <xf numFmtId="0" fontId="2" fillId="7" borderId="11" xfId="0" applyFont="1" applyFill="1" applyBorder="1"/>
    <xf numFmtId="0" fontId="2" fillId="7" borderId="0" xfId="0" applyFont="1" applyFill="1" applyBorder="1"/>
    <xf numFmtId="0" fontId="2" fillId="7" borderId="12" xfId="0" applyFont="1" applyFill="1" applyBorder="1"/>
    <xf numFmtId="0" fontId="5" fillId="7" borderId="0" xfId="0" applyFont="1" applyFill="1" applyBorder="1" applyAlignment="1">
      <alignment horizontal="centerContinuous"/>
    </xf>
    <xf numFmtId="0" fontId="2" fillId="7" borderId="13" xfId="0" applyFont="1" applyFill="1" applyBorder="1"/>
    <xf numFmtId="0" fontId="2" fillId="7" borderId="1" xfId="0" applyFont="1" applyFill="1" applyBorder="1"/>
    <xf numFmtId="0" fontId="2" fillId="7" borderId="14" xfId="0" applyFont="1" applyFill="1" applyBorder="1"/>
    <xf numFmtId="0" fontId="2" fillId="7" borderId="11" xfId="0" applyFont="1" applyFill="1" applyBorder="1" applyAlignment="1">
      <alignment vertical="top"/>
    </xf>
    <xf numFmtId="0" fontId="2" fillId="7" borderId="0" xfId="0" applyFont="1" applyFill="1" applyBorder="1" applyAlignment="1">
      <alignment vertical="top"/>
    </xf>
    <xf numFmtId="0" fontId="2" fillId="7" borderId="12" xfId="0" applyFont="1" applyFill="1" applyBorder="1" applyAlignment="1">
      <alignment vertical="top"/>
    </xf>
    <xf numFmtId="0" fontId="5" fillId="7" borderId="0" xfId="0" applyFont="1" applyFill="1" applyBorder="1" applyAlignment="1">
      <alignment horizontal="centerContinuous" vertical="top"/>
    </xf>
    <xf numFmtId="0" fontId="17" fillId="7" borderId="11" xfId="0" applyFont="1" applyFill="1" applyBorder="1" applyAlignment="1">
      <alignment vertical="top"/>
    </xf>
    <xf numFmtId="0" fontId="2" fillId="0" borderId="2" xfId="0" applyFont="1" applyBorder="1" applyAlignment="1">
      <alignment horizontal="left" vertical="center"/>
    </xf>
    <xf numFmtId="0" fontId="6" fillId="2" borderId="2" xfId="0" applyFont="1" applyFill="1" applyBorder="1" applyAlignment="1">
      <alignment horizontal="center" vertical="center"/>
    </xf>
    <xf numFmtId="9" fontId="6" fillId="0" borderId="2" xfId="0" applyNumberFormat="1" applyFont="1" applyBorder="1" applyAlignment="1">
      <alignment horizontal="center" vertical="center"/>
    </xf>
    <xf numFmtId="0" fontId="17" fillId="7" borderId="11" xfId="0" applyFont="1" applyFill="1" applyBorder="1"/>
    <xf numFmtId="0" fontId="17" fillId="8" borderId="3" xfId="0" applyFont="1" applyFill="1" applyBorder="1" applyAlignment="1">
      <alignment vertical="top"/>
    </xf>
    <xf numFmtId="0" fontId="2" fillId="8" borderId="4" xfId="0" applyFont="1" applyFill="1" applyBorder="1" applyAlignment="1">
      <alignment vertical="top"/>
    </xf>
    <xf numFmtId="0" fontId="2" fillId="8" borderId="5" xfId="0" applyFont="1" applyFill="1" applyBorder="1" applyAlignment="1">
      <alignment vertical="top"/>
    </xf>
    <xf numFmtId="0" fontId="25" fillId="9" borderId="9" xfId="0" applyFont="1" applyFill="1" applyBorder="1"/>
    <xf numFmtId="0" fontId="26" fillId="9" borderId="8" xfId="0" applyFont="1" applyFill="1" applyBorder="1"/>
    <xf numFmtId="0" fontId="26" fillId="9" borderId="10" xfId="0" applyFont="1" applyFill="1" applyBorder="1"/>
    <xf numFmtId="6" fontId="6" fillId="0" borderId="5" xfId="0" applyNumberFormat="1" applyFont="1" applyBorder="1" applyAlignment="1">
      <alignment horizontal="center" vertical="center"/>
    </xf>
    <xf numFmtId="171" fontId="11" fillId="4" borderId="27" xfId="4" applyNumberFormat="1" applyFont="1" applyFill="1" applyBorder="1" applyAlignment="1">
      <alignment horizontal="center"/>
    </xf>
    <xf numFmtId="171" fontId="11" fillId="4" borderId="28" xfId="4" applyNumberFormat="1" applyFont="1" applyFill="1" applyBorder="1" applyAlignment="1">
      <alignment horizontal="center"/>
    </xf>
    <xf numFmtId="0" fontId="30" fillId="0" borderId="15" xfId="4" applyFont="1" applyBorder="1"/>
    <xf numFmtId="0" fontId="30" fillId="5" borderId="15" xfId="4" applyFont="1" applyFill="1" applyBorder="1"/>
    <xf numFmtId="0" fontId="2" fillId="0" borderId="9" xfId="0" applyFont="1" applyBorder="1"/>
    <xf numFmtId="0" fontId="17" fillId="0" borderId="10" xfId="0" applyFont="1" applyBorder="1" applyAlignment="1">
      <alignment horizontal="center"/>
    </xf>
    <xf numFmtId="0" fontId="16" fillId="0" borderId="11" xfId="4" applyFont="1" applyBorder="1" applyAlignment="1">
      <alignment horizontal="left" indent="1"/>
    </xf>
    <xf numFmtId="0" fontId="6" fillId="0" borderId="0" xfId="4" applyFont="1" applyBorder="1" applyAlignment="1">
      <alignment horizontal="left" indent="1"/>
    </xf>
    <xf numFmtId="166" fontId="6" fillId="2" borderId="12" xfId="1" applyNumberFormat="1" applyFont="1" applyFill="1" applyBorder="1" applyAlignment="1">
      <alignment horizontal="left" indent="1"/>
    </xf>
    <xf numFmtId="171" fontId="11" fillId="4" borderId="0" xfId="4" applyNumberFormat="1" applyFont="1" applyFill="1" applyBorder="1" applyAlignment="1">
      <alignment horizontal="center"/>
    </xf>
    <xf numFmtId="169" fontId="6" fillId="0" borderId="12" xfId="3" applyNumberFormat="1" applyFont="1" applyBorder="1" applyAlignment="1">
      <alignment horizontal="left" indent="1"/>
    </xf>
    <xf numFmtId="0" fontId="15" fillId="0" borderId="29" xfId="4" applyFont="1" applyBorder="1"/>
    <xf numFmtId="169" fontId="30" fillId="0" borderId="30" xfId="3" applyNumberFormat="1" applyFont="1" applyBorder="1"/>
    <xf numFmtId="0" fontId="2" fillId="0" borderId="11" xfId="0" applyFont="1" applyBorder="1"/>
    <xf numFmtId="0" fontId="6" fillId="0" borderId="0" xfId="0" applyFont="1" applyBorder="1"/>
    <xf numFmtId="0" fontId="6" fillId="0" borderId="12" xfId="0" applyFont="1" applyBorder="1"/>
    <xf numFmtId="0" fontId="15" fillId="5" borderId="29" xfId="4" applyFont="1" applyFill="1" applyBorder="1"/>
    <xf numFmtId="169" fontId="30" fillId="5" borderId="30" xfId="3" applyNumberFormat="1" applyFont="1" applyFill="1" applyBorder="1"/>
    <xf numFmtId="169" fontId="6" fillId="2" borderId="0" xfId="3" applyNumberFormat="1" applyFont="1" applyFill="1" applyBorder="1" applyAlignment="1">
      <alignment horizontal="left" indent="1"/>
    </xf>
    <xf numFmtId="169" fontId="30" fillId="0" borderId="30" xfId="4" applyNumberFormat="1" applyFont="1" applyBorder="1"/>
    <xf numFmtId="0" fontId="17" fillId="0" borderId="11" xfId="4" applyFont="1" applyBorder="1"/>
    <xf numFmtId="0" fontId="30" fillId="0" borderId="0" xfId="4" applyFont="1" applyBorder="1"/>
    <xf numFmtId="0" fontId="30" fillId="0" borderId="12" xfId="4" applyFont="1" applyBorder="1"/>
    <xf numFmtId="0" fontId="15" fillId="5" borderId="3" xfId="4" applyFont="1" applyFill="1" applyBorder="1"/>
    <xf numFmtId="0" fontId="30" fillId="5" borderId="4" xfId="4" applyFont="1" applyFill="1" applyBorder="1"/>
    <xf numFmtId="169" fontId="30" fillId="5" borderId="5" xfId="3" applyNumberFormat="1" applyFont="1" applyFill="1" applyBorder="1"/>
    <xf numFmtId="0" fontId="17" fillId="0" borderId="8" xfId="0" applyFont="1" applyBorder="1" applyAlignment="1">
      <alignment horizontal="center"/>
    </xf>
    <xf numFmtId="0" fontId="19" fillId="0" borderId="9" xfId="0" applyFont="1" applyBorder="1"/>
    <xf numFmtId="0" fontId="18" fillId="0" borderId="8" xfId="0" applyFont="1" applyBorder="1" applyAlignment="1">
      <alignment horizontal="center"/>
    </xf>
    <xf numFmtId="0" fontId="18" fillId="0" borderId="10" xfId="0" applyFont="1" applyBorder="1" applyAlignment="1">
      <alignment horizontal="center"/>
    </xf>
    <xf numFmtId="0" fontId="16" fillId="0" borderId="11" xfId="0" applyFont="1" applyBorder="1" applyAlignment="1">
      <alignment horizontal="left" indent="1"/>
    </xf>
    <xf numFmtId="0" fontId="6" fillId="4" borderId="31" xfId="0" applyFont="1" applyFill="1" applyBorder="1" applyAlignment="1">
      <alignment horizontal="center"/>
    </xf>
    <xf numFmtId="0" fontId="6" fillId="4" borderId="32" xfId="0" applyFont="1" applyFill="1" applyBorder="1" applyAlignment="1">
      <alignment horizontal="center"/>
    </xf>
    <xf numFmtId="0" fontId="19" fillId="0" borderId="11" xfId="0" applyFont="1" applyBorder="1"/>
    <xf numFmtId="0" fontId="2" fillId="0" borderId="12" xfId="0" applyFont="1" applyBorder="1"/>
    <xf numFmtId="0" fontId="20" fillId="0" borderId="0" xfId="0" applyFont="1" applyBorder="1" applyAlignment="1">
      <alignment horizontal="center"/>
    </xf>
    <xf numFmtId="0" fontId="16" fillId="0" borderId="11" xfId="0" applyFont="1" applyBorder="1"/>
    <xf numFmtId="0" fontId="15" fillId="0" borderId="9" xfId="0" applyFont="1" applyBorder="1"/>
    <xf numFmtId="0" fontId="17" fillId="0" borderId="10" xfId="0" applyFont="1" applyBorder="1"/>
    <xf numFmtId="0" fontId="22" fillId="0" borderId="11" xfId="0" applyFont="1" applyBorder="1"/>
    <xf numFmtId="0" fontId="22" fillId="0" borderId="0" xfId="0" applyFont="1" applyBorder="1"/>
    <xf numFmtId="0" fontId="22" fillId="0" borderId="12" xfId="0" applyFont="1" applyBorder="1"/>
    <xf numFmtId="168" fontId="6" fillId="6" borderId="31" xfId="0" applyNumberFormat="1" applyFont="1" applyFill="1" applyBorder="1"/>
    <xf numFmtId="0" fontId="23" fillId="0" borderId="11" xfId="0" applyFont="1" applyBorder="1"/>
    <xf numFmtId="167" fontId="6" fillId="6" borderId="32" xfId="0" applyNumberFormat="1" applyFont="1" applyFill="1" applyBorder="1"/>
    <xf numFmtId="165" fontId="6" fillId="6" borderId="32" xfId="0" applyNumberFormat="1" applyFont="1" applyFill="1" applyBorder="1"/>
    <xf numFmtId="0" fontId="15" fillId="0" borderId="29" xfId="0" applyFont="1" applyBorder="1"/>
    <xf numFmtId="170" fontId="15" fillId="0" borderId="30" xfId="0" applyNumberFormat="1" applyFont="1" applyBorder="1"/>
    <xf numFmtId="0" fontId="24" fillId="0" borderId="11" xfId="0" applyFont="1" applyBorder="1"/>
    <xf numFmtId="170" fontId="22" fillId="0" borderId="12" xfId="0" applyNumberFormat="1" applyFont="1" applyBorder="1"/>
    <xf numFmtId="168" fontId="6" fillId="6" borderId="32" xfId="0" applyNumberFormat="1" applyFont="1" applyFill="1" applyBorder="1"/>
    <xf numFmtId="165" fontId="6" fillId="6" borderId="31" xfId="0" applyNumberFormat="1" applyFont="1" applyFill="1" applyBorder="1"/>
    <xf numFmtId="0" fontId="15" fillId="0" borderId="23" xfId="0" applyFont="1" applyBorder="1"/>
    <xf numFmtId="0" fontId="24" fillId="0" borderId="33" xfId="0" applyFont="1" applyBorder="1"/>
    <xf numFmtId="165" fontId="15" fillId="0" borderId="34" xfId="0" applyNumberFormat="1" applyFont="1" applyBorder="1"/>
    <xf numFmtId="0" fontId="2" fillId="0" borderId="3" xfId="0" applyFont="1" applyBorder="1"/>
    <xf numFmtId="9" fontId="6" fillId="2" borderId="2" xfId="0" applyNumberFormat="1" applyFont="1" applyFill="1" applyBorder="1" applyAlignment="1">
      <alignment horizontal="center"/>
    </xf>
    <xf numFmtId="0" fontId="2" fillId="7" borderId="13" xfId="0" applyFont="1" applyFill="1" applyBorder="1" applyAlignment="1">
      <alignment vertical="top"/>
    </xf>
    <xf numFmtId="0" fontId="2" fillId="7" borderId="1" xfId="0" applyFont="1" applyFill="1" applyBorder="1" applyAlignment="1">
      <alignment vertical="top"/>
    </xf>
    <xf numFmtId="0" fontId="2" fillId="7" borderId="14" xfId="0" applyFont="1" applyFill="1" applyBorder="1" applyAlignment="1">
      <alignment vertical="top"/>
    </xf>
    <xf numFmtId="0" fontId="32" fillId="3" borderId="0" xfId="0" applyFont="1" applyFill="1"/>
    <xf numFmtId="0" fontId="33" fillId="0" borderId="0" xfId="0" applyFont="1"/>
    <xf numFmtId="0" fontId="36" fillId="0" borderId="0" xfId="0" applyFont="1"/>
    <xf numFmtId="0" fontId="37" fillId="0" borderId="0" xfId="0" applyFont="1"/>
    <xf numFmtId="42" fontId="38" fillId="0" borderId="0" xfId="19">
      <alignment horizontal="right" vertical="top"/>
    </xf>
    <xf numFmtId="166" fontId="33" fillId="0" borderId="0" xfId="1" applyNumberFormat="1" applyFont="1"/>
    <xf numFmtId="42" fontId="33" fillId="0" borderId="0" xfId="0" applyNumberFormat="1" applyFont="1"/>
    <xf numFmtId="174" fontId="33" fillId="0" borderId="0" xfId="0" applyNumberFormat="1" applyFont="1"/>
    <xf numFmtId="0" fontId="33" fillId="0" borderId="8" xfId="0" applyFont="1" applyBorder="1"/>
    <xf numFmtId="42" fontId="38" fillId="0" borderId="8" xfId="19" applyBorder="1">
      <alignment horizontal="right" vertical="top"/>
    </xf>
    <xf numFmtId="42" fontId="33" fillId="0" borderId="8" xfId="0" applyNumberFormat="1" applyFont="1" applyBorder="1"/>
    <xf numFmtId="166" fontId="33" fillId="0" borderId="8" xfId="1" applyNumberFormat="1" applyFont="1" applyBorder="1"/>
    <xf numFmtId="166" fontId="33" fillId="0" borderId="0" xfId="0" applyNumberFormat="1" applyFont="1"/>
    <xf numFmtId="166" fontId="33" fillId="0" borderId="8" xfId="0" applyNumberFormat="1" applyFont="1" applyBorder="1"/>
    <xf numFmtId="0" fontId="33" fillId="0" borderId="4" xfId="0" applyFont="1" applyBorder="1"/>
    <xf numFmtId="174" fontId="37" fillId="0" borderId="8" xfId="0" applyNumberFormat="1" applyFont="1" applyBorder="1"/>
    <xf numFmtId="166" fontId="37" fillId="0" borderId="8" xfId="0" applyNumberFormat="1" applyFont="1" applyBorder="1"/>
    <xf numFmtId="166" fontId="37" fillId="0" borderId="0" xfId="1" applyNumberFormat="1" applyFont="1"/>
    <xf numFmtId="166" fontId="37" fillId="0" borderId="37" xfId="0" applyNumberFormat="1" applyFont="1" applyBorder="1"/>
    <xf numFmtId="164" fontId="33" fillId="0" borderId="0" xfId="0" applyNumberFormat="1" applyFont="1"/>
    <xf numFmtId="164" fontId="37" fillId="0" borderId="0" xfId="0" applyNumberFormat="1" applyFont="1"/>
    <xf numFmtId="164" fontId="33" fillId="0" borderId="8" xfId="0" applyNumberFormat="1" applyFont="1" applyBorder="1"/>
    <xf numFmtId="164" fontId="37" fillId="0" borderId="8" xfId="0" applyNumberFormat="1" applyFont="1" applyBorder="1"/>
    <xf numFmtId="164" fontId="37" fillId="0" borderId="37" xfId="0" applyNumberFormat="1" applyFont="1" applyBorder="1"/>
    <xf numFmtId="0" fontId="36" fillId="0" borderId="0" xfId="0" applyFont="1" applyAlignment="1">
      <alignment horizontal="center"/>
    </xf>
    <xf numFmtId="0" fontId="32" fillId="0" borderId="0" xfId="0" applyFont="1" applyFill="1"/>
    <xf numFmtId="0" fontId="33" fillId="0" borderId="0" xfId="0" applyFont="1" applyAlignment="1">
      <alignment horizontal="right"/>
    </xf>
    <xf numFmtId="164" fontId="38" fillId="0" borderId="2" xfId="21" applyFont="1" applyBorder="1">
      <alignment horizontal="right" vertical="top"/>
    </xf>
    <xf numFmtId="42" fontId="38" fillId="0" borderId="2" xfId="19" applyFont="1" applyBorder="1" applyAlignment="1">
      <alignment horizontal="center" vertical="top"/>
    </xf>
    <xf numFmtId="42" fontId="38" fillId="0" borderId="2" xfId="19" applyFont="1" applyBorder="1">
      <alignment horizontal="right" vertical="top"/>
    </xf>
    <xf numFmtId="42" fontId="38" fillId="0" borderId="0" xfId="19" applyFont="1">
      <alignment horizontal="right" vertical="top"/>
    </xf>
    <xf numFmtId="164" fontId="38" fillId="0" borderId="0" xfId="21" applyFont="1">
      <alignment horizontal="right" vertical="top"/>
    </xf>
    <xf numFmtId="42" fontId="38" fillId="0" borderId="8" xfId="19" applyFont="1" applyBorder="1">
      <alignment horizontal="right" vertical="top"/>
    </xf>
    <xf numFmtId="41" fontId="38" fillId="0" borderId="0" xfId="20" applyFont="1">
      <alignment horizontal="right" vertical="top"/>
    </xf>
    <xf numFmtId="41" fontId="39" fillId="0" borderId="0" xfId="20" applyFont="1">
      <alignment horizontal="right" vertical="top"/>
    </xf>
    <xf numFmtId="41" fontId="38" fillId="0" borderId="8" xfId="20" applyFont="1" applyBorder="1">
      <alignment horizontal="right" vertical="top"/>
    </xf>
    <xf numFmtId="164" fontId="38" fillId="0" borderId="8" xfId="21" applyFont="1" applyBorder="1">
      <alignment horizontal="right" vertical="top"/>
    </xf>
    <xf numFmtId="0" fontId="37" fillId="0" borderId="8" xfId="0" applyFont="1" applyBorder="1"/>
    <xf numFmtId="164" fontId="38" fillId="0" borderId="0" xfId="21" applyFont="1" applyBorder="1">
      <alignment horizontal="right" vertical="top"/>
    </xf>
    <xf numFmtId="0" fontId="40" fillId="0" borderId="0" xfId="0" applyFont="1" applyAlignment="1">
      <alignment horizontal="center"/>
    </xf>
    <xf numFmtId="0" fontId="37" fillId="0" borderId="37" xfId="0" applyFont="1" applyBorder="1"/>
    <xf numFmtId="164" fontId="33" fillId="0" borderId="0" xfId="0" applyNumberFormat="1" applyFont="1" applyAlignment="1">
      <alignment horizontal="center"/>
    </xf>
    <xf numFmtId="164" fontId="37" fillId="0" borderId="8" xfId="0" applyNumberFormat="1" applyFont="1" applyBorder="1" applyAlignment="1">
      <alignment horizontal="center"/>
    </xf>
    <xf numFmtId="164" fontId="33" fillId="0" borderId="4" xfId="0" applyNumberFormat="1" applyFont="1" applyBorder="1" applyAlignment="1">
      <alignment horizontal="center"/>
    </xf>
    <xf numFmtId="164" fontId="37" fillId="0" borderId="37" xfId="0" applyNumberFormat="1" applyFont="1" applyBorder="1" applyAlignment="1">
      <alignment horizontal="center"/>
    </xf>
    <xf numFmtId="0" fontId="33" fillId="0" borderId="0" xfId="0" applyFont="1" applyAlignment="1">
      <alignment horizontal="center"/>
    </xf>
    <xf numFmtId="0" fontId="37" fillId="0" borderId="1" xfId="0" applyFont="1" applyBorder="1" applyAlignment="1">
      <alignment horizontal="centerContinuous"/>
    </xf>
    <xf numFmtId="0" fontId="33" fillId="0" borderId="1" xfId="0" applyFont="1" applyBorder="1" applyAlignment="1">
      <alignment horizontal="centerContinuous"/>
    </xf>
    <xf numFmtId="0" fontId="39" fillId="0" borderId="0" xfId="0" applyFont="1"/>
    <xf numFmtId="0" fontId="33" fillId="0" borderId="38" xfId="0" applyFont="1" applyBorder="1"/>
    <xf numFmtId="0" fontId="33" fillId="10" borderId="40" xfId="0" applyFont="1" applyFill="1" applyBorder="1"/>
    <xf numFmtId="0" fontId="33" fillId="10" borderId="0" xfId="0" applyFont="1" applyFill="1" applyBorder="1"/>
    <xf numFmtId="0" fontId="33" fillId="10" borderId="43" xfId="0" applyFont="1" applyFill="1" applyBorder="1"/>
    <xf numFmtId="0" fontId="33" fillId="10" borderId="0" xfId="0" applyFont="1" applyFill="1" applyBorder="1" applyAlignment="1">
      <alignment horizontal="right"/>
    </xf>
    <xf numFmtId="0" fontId="33" fillId="10" borderId="43" xfId="0" applyFont="1" applyFill="1" applyBorder="1" applyAlignment="1">
      <alignment horizontal="right"/>
    </xf>
    <xf numFmtId="1" fontId="33" fillId="10" borderId="40" xfId="0" applyNumberFormat="1" applyFont="1" applyFill="1" applyBorder="1" applyAlignment="1">
      <alignment horizontal="right"/>
    </xf>
    <xf numFmtId="1" fontId="41" fillId="10" borderId="39" xfId="13" applyNumberFormat="1" applyFont="1" applyFill="1" applyBorder="1" applyAlignment="1">
      <alignment horizontal="center" vertical="top"/>
    </xf>
    <xf numFmtId="1" fontId="41" fillId="10" borderId="41" xfId="13" applyNumberFormat="1" applyFont="1" applyFill="1" applyBorder="1" applyAlignment="1">
      <alignment horizontal="center" vertical="top"/>
    </xf>
    <xf numFmtId="1" fontId="41" fillId="10" borderId="42" xfId="13" applyNumberFormat="1" applyFont="1" applyFill="1" applyBorder="1" applyAlignment="1">
      <alignment horizontal="center" vertical="top"/>
    </xf>
    <xf numFmtId="42" fontId="39" fillId="0" borderId="0" xfId="19" applyFont="1">
      <alignment horizontal="right" vertical="top"/>
    </xf>
    <xf numFmtId="42" fontId="42" fillId="0" borderId="8" xfId="19" applyFont="1" applyBorder="1">
      <alignment horizontal="right" vertical="top"/>
    </xf>
    <xf numFmtId="42" fontId="39" fillId="0" borderId="4" xfId="19" applyFont="1" applyBorder="1">
      <alignment horizontal="right" vertical="top"/>
    </xf>
    <xf numFmtId="42" fontId="42" fillId="0" borderId="37" xfId="19" applyFont="1" applyBorder="1">
      <alignment horizontal="right" vertical="top"/>
    </xf>
    <xf numFmtId="41" fontId="38" fillId="10" borderId="2" xfId="20" applyFont="1" applyFill="1" applyBorder="1" applyAlignment="1">
      <alignment horizontal="center" vertical="top"/>
    </xf>
    <xf numFmtId="42" fontId="43" fillId="0" borderId="8" xfId="19" applyFont="1" applyBorder="1">
      <alignment horizontal="right" vertical="top"/>
    </xf>
    <xf numFmtId="41" fontId="38" fillId="0" borderId="0" xfId="20" applyFont="1" applyAlignment="1">
      <alignment horizontal="center" vertical="top"/>
    </xf>
    <xf numFmtId="42" fontId="38" fillId="0" borderId="4" xfId="19" applyFont="1" applyBorder="1">
      <alignment horizontal="right" vertical="top"/>
    </xf>
    <xf numFmtId="42" fontId="43" fillId="0" borderId="37" xfId="19" applyFont="1" applyBorder="1">
      <alignment horizontal="right" vertical="top"/>
    </xf>
    <xf numFmtId="42" fontId="38" fillId="0" borderId="0" xfId="19" applyFont="1" applyBorder="1">
      <alignment horizontal="right" vertical="top"/>
    </xf>
    <xf numFmtId="42" fontId="37" fillId="0" borderId="0" xfId="1" applyNumberFormat="1" applyFont="1"/>
    <xf numFmtId="42" fontId="38" fillId="0" borderId="0" xfId="19" applyNumberFormat="1" applyFont="1">
      <alignment horizontal="right" vertical="top"/>
    </xf>
    <xf numFmtId="42" fontId="39" fillId="0" borderId="0" xfId="20" applyNumberFormat="1" applyFont="1">
      <alignment horizontal="right" vertical="top"/>
    </xf>
    <xf numFmtId="42" fontId="37" fillId="0" borderId="8" xfId="0" applyNumberFormat="1" applyFont="1" applyBorder="1"/>
    <xf numFmtId="42" fontId="37" fillId="0" borderId="37" xfId="0" applyNumberFormat="1" applyFont="1" applyBorder="1"/>
    <xf numFmtId="164" fontId="43" fillId="0" borderId="8" xfId="21" applyFont="1" applyBorder="1">
      <alignment horizontal="right" vertical="top"/>
    </xf>
    <xf numFmtId="9" fontId="33" fillId="0" borderId="0" xfId="2" applyFont="1"/>
    <xf numFmtId="9" fontId="33" fillId="0" borderId="8" xfId="2" applyFont="1" applyBorder="1"/>
    <xf numFmtId="9" fontId="37" fillId="0" borderId="8" xfId="2" applyFont="1" applyBorder="1"/>
    <xf numFmtId="42" fontId="39" fillId="0" borderId="0" xfId="0" applyNumberFormat="1" applyFont="1"/>
    <xf numFmtId="42" fontId="39" fillId="0" borderId="8" xfId="0" applyNumberFormat="1" applyFont="1" applyBorder="1"/>
    <xf numFmtId="42" fontId="39" fillId="0" borderId="0" xfId="19" applyNumberFormat="1" applyFont="1">
      <alignment horizontal="right" vertical="top"/>
    </xf>
    <xf numFmtId="42" fontId="39" fillId="0" borderId="8" xfId="1" applyNumberFormat="1" applyFont="1" applyBorder="1"/>
    <xf numFmtId="166" fontId="39" fillId="0" borderId="0" xfId="0" applyNumberFormat="1" applyFont="1"/>
    <xf numFmtId="42" fontId="39" fillId="0" borderId="0" xfId="21" applyNumberFormat="1" applyFont="1">
      <alignment horizontal="right" vertical="top"/>
    </xf>
    <xf numFmtId="42" fontId="42" fillId="0" borderId="8" xfId="0" applyNumberFormat="1" applyFont="1" applyBorder="1"/>
    <xf numFmtId="42" fontId="42" fillId="0" borderId="8" xfId="21" applyNumberFormat="1" applyFont="1" applyBorder="1">
      <alignment horizontal="right" vertical="top"/>
    </xf>
    <xf numFmtId="42" fontId="42" fillId="0" borderId="8" xfId="19" applyNumberFormat="1" applyFont="1" applyBorder="1">
      <alignment horizontal="right" vertical="top"/>
    </xf>
    <xf numFmtId="0" fontId="32" fillId="3" borderId="0" xfId="0" applyFont="1" applyFill="1" applyAlignment="1">
      <alignment horizontal="center"/>
    </xf>
    <xf numFmtId="0" fontId="37" fillId="0" borderId="0" xfId="0" applyFont="1" applyAlignment="1">
      <alignment horizontal="right"/>
    </xf>
    <xf numFmtId="0" fontId="41" fillId="0" borderId="0" xfId="13" applyNumberFormat="1" applyFont="1" applyAlignment="1">
      <alignment horizontal="center" vertical="top"/>
    </xf>
    <xf numFmtId="42" fontId="37" fillId="0" borderId="0" xfId="0" applyNumberFormat="1" applyFont="1"/>
    <xf numFmtId="42" fontId="43" fillId="0" borderId="0" xfId="19" applyFont="1">
      <alignment horizontal="right" vertical="top"/>
    </xf>
    <xf numFmtId="42" fontId="38" fillId="0" borderId="37" xfId="19" applyFont="1" applyBorder="1">
      <alignment horizontal="right" vertical="top"/>
    </xf>
    <xf numFmtId="42" fontId="0" fillId="0" borderId="0" xfId="0" applyNumberFormat="1"/>
    <xf numFmtId="0" fontId="2" fillId="7" borderId="0" xfId="0" applyFont="1" applyFill="1" applyBorder="1" applyAlignment="1">
      <alignment horizontal="right" vertical="top"/>
    </xf>
    <xf numFmtId="0" fontId="44" fillId="0" borderId="0" xfId="0" applyFont="1"/>
    <xf numFmtId="175" fontId="41" fillId="0" borderId="0" xfId="13" applyNumberFormat="1" applyFont="1">
      <alignment horizontal="right" vertical="top"/>
    </xf>
    <xf numFmtId="0" fontId="45" fillId="0" borderId="9" xfId="0" applyFont="1" applyBorder="1"/>
    <xf numFmtId="0" fontId="46" fillId="0" borderId="8" xfId="0" applyFont="1" applyBorder="1"/>
    <xf numFmtId="0" fontId="47" fillId="0" borderId="8" xfId="0" applyFont="1" applyBorder="1" applyAlignment="1">
      <alignment horizontal="center"/>
    </xf>
    <xf numFmtId="0" fontId="47" fillId="0" borderId="10" xfId="0" applyFont="1" applyBorder="1" applyAlignment="1">
      <alignment horizontal="center"/>
    </xf>
    <xf numFmtId="0" fontId="48" fillId="0" borderId="11" xfId="0" applyFont="1" applyBorder="1" applyAlignment="1">
      <alignment horizontal="left" indent="1"/>
    </xf>
    <xf numFmtId="0" fontId="46" fillId="0" borderId="0" xfId="0" applyFont="1" applyBorder="1"/>
    <xf numFmtId="166" fontId="49" fillId="4" borderId="16" xfId="1" applyNumberFormat="1" applyFont="1" applyFill="1" applyBorder="1" applyAlignment="1">
      <alignment horizontal="center"/>
    </xf>
    <xf numFmtId="0" fontId="49" fillId="4" borderId="20" xfId="0" applyFont="1" applyFill="1" applyBorder="1" applyAlignment="1">
      <alignment horizontal="center"/>
    </xf>
    <xf numFmtId="0" fontId="49" fillId="4" borderId="22" xfId="0" applyFont="1" applyFill="1" applyBorder="1" applyAlignment="1">
      <alignment horizontal="center"/>
    </xf>
    <xf numFmtId="0" fontId="49" fillId="4" borderId="24" xfId="0" applyFont="1" applyFill="1" applyBorder="1" applyAlignment="1">
      <alignment horizontal="center"/>
    </xf>
    <xf numFmtId="0" fontId="45" fillId="0" borderId="11" xfId="0" applyFont="1" applyBorder="1"/>
    <xf numFmtId="0" fontId="38" fillId="0" borderId="0" xfId="0" applyFont="1" applyBorder="1"/>
    <xf numFmtId="0" fontId="38" fillId="0" borderId="12" xfId="0" applyFont="1" applyBorder="1"/>
    <xf numFmtId="0" fontId="48" fillId="0" borderId="13" xfId="0" applyFont="1" applyBorder="1"/>
    <xf numFmtId="9" fontId="49" fillId="4" borderId="2" xfId="0" applyNumberFormat="1" applyFont="1" applyFill="1" applyBorder="1" applyAlignment="1">
      <alignment horizontal="center"/>
    </xf>
    <xf numFmtId="0" fontId="46" fillId="0" borderId="1" xfId="0" applyFont="1" applyBorder="1"/>
    <xf numFmtId="0" fontId="46" fillId="0" borderId="14" xfId="0" applyFont="1" applyBorder="1"/>
    <xf numFmtId="0" fontId="33" fillId="0" borderId="0" xfId="0" applyFont="1" applyBorder="1" applyAlignment="1">
      <alignment horizontal="center"/>
    </xf>
    <xf numFmtId="166" fontId="39" fillId="14" borderId="0" xfId="0" applyNumberFormat="1" applyFont="1" applyFill="1"/>
    <xf numFmtId="0" fontId="32" fillId="13" borderId="0" xfId="0" applyFont="1" applyFill="1"/>
    <xf numFmtId="0" fontId="39" fillId="0" borderId="0" xfId="0" applyFont="1" applyFill="1"/>
    <xf numFmtId="0" fontId="50" fillId="3" borderId="3" xfId="0" applyFont="1" applyFill="1" applyBorder="1"/>
    <xf numFmtId="0" fontId="50" fillId="3" borderId="4" xfId="0" applyFont="1" applyFill="1" applyBorder="1"/>
    <xf numFmtId="0" fontId="50" fillId="3" borderId="5" xfId="0" applyFont="1" applyFill="1" applyBorder="1"/>
    <xf numFmtId="0" fontId="51" fillId="0" borderId="11" xfId="0" applyFont="1" applyBorder="1"/>
    <xf numFmtId="0" fontId="51" fillId="0" borderId="0" xfId="0" applyFont="1" applyBorder="1"/>
    <xf numFmtId="0" fontId="51" fillId="0" borderId="12" xfId="0" applyFont="1" applyBorder="1"/>
    <xf numFmtId="0" fontId="48" fillId="0" borderId="11" xfId="0" applyFont="1" applyBorder="1"/>
    <xf numFmtId="0" fontId="53" fillId="0" borderId="11" xfId="0" applyFont="1" applyBorder="1"/>
    <xf numFmtId="0" fontId="54" fillId="0" borderId="29" xfId="0" applyFont="1" applyBorder="1"/>
    <xf numFmtId="0" fontId="51" fillId="0" borderId="15" xfId="0" applyFont="1" applyBorder="1"/>
    <xf numFmtId="0" fontId="55" fillId="0" borderId="11" xfId="0" applyFont="1" applyBorder="1"/>
    <xf numFmtId="0" fontId="54" fillId="0" borderId="23" xfId="0" applyFont="1" applyBorder="1"/>
    <xf numFmtId="0" fontId="55" fillId="0" borderId="33" xfId="0" applyFont="1" applyBorder="1"/>
    <xf numFmtId="168" fontId="49" fillId="6" borderId="31" xfId="0" applyNumberFormat="1" applyFont="1" applyFill="1" applyBorder="1"/>
    <xf numFmtId="3" fontId="49" fillId="6" borderId="31" xfId="0" applyNumberFormat="1" applyFont="1" applyFill="1" applyBorder="1"/>
    <xf numFmtId="8" fontId="49" fillId="6" borderId="31" xfId="0" applyNumberFormat="1" applyFont="1" applyFill="1" applyBorder="1"/>
    <xf numFmtId="6" fontId="49" fillId="6" borderId="31" xfId="0" applyNumberFormat="1" applyFont="1" applyFill="1" applyBorder="1"/>
    <xf numFmtId="174" fontId="37" fillId="0" borderId="37" xfId="0" applyNumberFormat="1" applyFont="1" applyBorder="1"/>
    <xf numFmtId="0" fontId="33" fillId="0" borderId="0" xfId="0" applyFont="1" applyAlignment="1">
      <alignment horizontal="left"/>
    </xf>
    <xf numFmtId="0" fontId="37" fillId="0" borderId="0" xfId="0" applyFont="1" applyAlignment="1">
      <alignment horizontal="left"/>
    </xf>
    <xf numFmtId="0" fontId="33" fillId="0" borderId="0" xfId="0" applyFont="1" applyBorder="1"/>
    <xf numFmtId="0" fontId="37" fillId="0" borderId="0" xfId="0" applyFont="1" applyBorder="1"/>
    <xf numFmtId="9" fontId="56" fillId="0" borderId="0" xfId="0" applyNumberFormat="1" applyFont="1"/>
    <xf numFmtId="164" fontId="56" fillId="0" borderId="0" xfId="0" applyNumberFormat="1" applyFont="1"/>
    <xf numFmtId="164" fontId="38" fillId="0" borderId="0" xfId="21">
      <alignment horizontal="right" vertical="top"/>
    </xf>
    <xf numFmtId="0" fontId="33" fillId="0" borderId="2" xfId="0" applyFont="1" applyBorder="1"/>
    <xf numFmtId="166" fontId="37" fillId="0" borderId="1" xfId="0" applyNumberFormat="1" applyFont="1" applyBorder="1" applyAlignment="1">
      <alignment horizontal="centerContinuous"/>
    </xf>
    <xf numFmtId="166" fontId="33" fillId="0" borderId="1" xfId="0" applyNumberFormat="1" applyFont="1" applyBorder="1" applyAlignment="1">
      <alignment horizontal="centerContinuous"/>
    </xf>
    <xf numFmtId="166" fontId="40" fillId="0" borderId="0" xfId="0" applyNumberFormat="1" applyFont="1" applyAlignment="1">
      <alignment horizontal="center"/>
    </xf>
    <xf numFmtId="166" fontId="37" fillId="0" borderId="37" xfId="1" applyNumberFormat="1" applyFont="1" applyBorder="1"/>
    <xf numFmtId="0" fontId="57" fillId="0" borderId="0" xfId="0" applyFont="1"/>
    <xf numFmtId="0" fontId="46" fillId="0" borderId="0" xfId="0" applyFont="1"/>
    <xf numFmtId="0" fontId="46" fillId="0" borderId="9" xfId="0" applyFont="1" applyBorder="1"/>
    <xf numFmtId="0" fontId="58" fillId="0" borderId="8" xfId="0" applyFont="1" applyBorder="1" applyAlignment="1">
      <alignment horizontal="center"/>
    </xf>
    <xf numFmtId="0" fontId="58" fillId="0" borderId="10" xfId="0" applyFont="1" applyBorder="1" applyAlignment="1">
      <alignment horizontal="center"/>
    </xf>
    <xf numFmtId="0" fontId="48" fillId="0" borderId="11" xfId="4" applyFont="1" applyBorder="1" applyAlignment="1">
      <alignment horizontal="left" indent="1"/>
    </xf>
    <xf numFmtId="0" fontId="52" fillId="0" borderId="0" xfId="4" applyFont="1" applyBorder="1" applyAlignment="1">
      <alignment horizontal="left" indent="1"/>
    </xf>
    <xf numFmtId="166" fontId="49" fillId="2" borderId="12" xfId="1" applyNumberFormat="1" applyFont="1" applyFill="1" applyBorder="1" applyAlignment="1">
      <alignment horizontal="left" indent="1"/>
    </xf>
    <xf numFmtId="171" fontId="49" fillId="4" borderId="0" xfId="4" applyNumberFormat="1" applyFont="1" applyFill="1" applyBorder="1" applyAlignment="1">
      <alignment horizontal="center"/>
    </xf>
    <xf numFmtId="0" fontId="54" fillId="0" borderId="29" xfId="4" applyFont="1" applyBorder="1"/>
    <xf numFmtId="0" fontId="59" fillId="0" borderId="15" xfId="4" applyFont="1" applyBorder="1"/>
    <xf numFmtId="0" fontId="46" fillId="0" borderId="11" xfId="0" applyFont="1" applyBorder="1"/>
    <xf numFmtId="0" fontId="52" fillId="0" borderId="0" xfId="0" applyFont="1" applyBorder="1"/>
    <xf numFmtId="0" fontId="54" fillId="5" borderId="29" xfId="4" applyFont="1" applyFill="1" applyBorder="1"/>
    <xf numFmtId="0" fontId="59" fillId="5" borderId="15" xfId="4" applyFont="1" applyFill="1" applyBorder="1"/>
    <xf numFmtId="171" fontId="49" fillId="4" borderId="28" xfId="4" applyNumberFormat="1" applyFont="1" applyFill="1" applyBorder="1" applyAlignment="1">
      <alignment horizontal="center"/>
    </xf>
    <xf numFmtId="169" fontId="49" fillId="2" borderId="0" xfId="3" applyNumberFormat="1" applyFont="1" applyFill="1" applyBorder="1" applyAlignment="1">
      <alignment horizontal="left" indent="1"/>
    </xf>
    <xf numFmtId="0" fontId="58" fillId="0" borderId="11" xfId="4" applyFont="1" applyBorder="1"/>
    <xf numFmtId="0" fontId="59" fillId="0" borderId="0" xfId="4" applyFont="1" applyBorder="1"/>
    <xf numFmtId="0" fontId="54" fillId="5" borderId="3" xfId="4" applyFont="1" applyFill="1" applyBorder="1"/>
    <xf numFmtId="0" fontId="59" fillId="5" borderId="4" xfId="4" applyFont="1" applyFill="1" applyBorder="1"/>
    <xf numFmtId="166" fontId="49" fillId="2" borderId="14" xfId="1" applyNumberFormat="1" applyFont="1" applyFill="1" applyBorder="1" applyAlignment="1">
      <alignment horizontal="left" indent="1"/>
    </xf>
    <xf numFmtId="166" fontId="33" fillId="14" borderId="8" xfId="0" applyNumberFormat="1" applyFont="1" applyFill="1" applyBorder="1"/>
    <xf numFmtId="166" fontId="33" fillId="14" borderId="37" xfId="0" applyNumberFormat="1" applyFont="1" applyFill="1" applyBorder="1"/>
    <xf numFmtId="166" fontId="33" fillId="0" borderId="8" xfId="0" applyNumberFormat="1" applyFont="1" applyFill="1" applyBorder="1"/>
    <xf numFmtId="6" fontId="33" fillId="0" borderId="0" xfId="2" applyNumberFormat="1" applyFont="1"/>
    <xf numFmtId="0" fontId="60" fillId="0" borderId="0" xfId="0" applyFont="1" applyBorder="1" applyAlignment="1">
      <alignment horizontal="center"/>
    </xf>
    <xf numFmtId="166" fontId="33" fillId="0" borderId="0" xfId="1" applyNumberFormat="1" applyFont="1" applyBorder="1"/>
    <xf numFmtId="166" fontId="37" fillId="0" borderId="8" xfId="1" applyNumberFormat="1" applyFont="1" applyBorder="1"/>
    <xf numFmtId="0" fontId="61" fillId="13" borderId="44" xfId="0" applyFont="1" applyFill="1" applyBorder="1" applyAlignment="1">
      <alignment horizontal="centerContinuous"/>
    </xf>
    <xf numFmtId="0" fontId="61" fillId="13" borderId="47" xfId="0" applyFont="1" applyFill="1" applyBorder="1" applyAlignment="1">
      <alignment horizontal="centerContinuous"/>
    </xf>
    <xf numFmtId="0" fontId="61" fillId="13" borderId="0" xfId="0" applyFont="1" applyFill="1" applyBorder="1" applyAlignment="1">
      <alignment horizontal="centerContinuous"/>
    </xf>
    <xf numFmtId="0" fontId="61" fillId="13" borderId="48" xfId="0" applyFont="1" applyFill="1" applyBorder="1" applyAlignment="1">
      <alignment horizontal="centerContinuous"/>
    </xf>
    <xf numFmtId="0" fontId="33" fillId="0" borderId="47" xfId="0" applyFont="1" applyBorder="1"/>
    <xf numFmtId="0" fontId="37" fillId="0" borderId="0" xfId="0" applyFont="1" applyBorder="1" applyAlignment="1">
      <alignment horizontal="centerContinuous"/>
    </xf>
    <xf numFmtId="0" fontId="37" fillId="0" borderId="48" xfId="0" applyFont="1" applyBorder="1" applyAlignment="1">
      <alignment horizontal="centerContinuous"/>
    </xf>
    <xf numFmtId="0" fontId="33" fillId="0" borderId="48" xfId="0" applyFont="1" applyBorder="1"/>
    <xf numFmtId="0" fontId="48" fillId="0" borderId="49" xfId="4" applyFont="1" applyBorder="1" applyAlignment="1">
      <alignment horizontal="left" indent="1"/>
    </xf>
    <xf numFmtId="42" fontId="38" fillId="0" borderId="0" xfId="19" applyBorder="1">
      <alignment horizontal="right" vertical="top"/>
    </xf>
    <xf numFmtId="42" fontId="38" fillId="0" borderId="48" xfId="19" applyBorder="1">
      <alignment horizontal="right" vertical="top"/>
    </xf>
    <xf numFmtId="0" fontId="48" fillId="0" borderId="50" xfId="4" applyFont="1" applyBorder="1" applyAlignment="1">
      <alignment horizontal="left" indent="1"/>
    </xf>
    <xf numFmtId="0" fontId="54" fillId="0" borderId="51" xfId="4" applyFont="1" applyBorder="1"/>
    <xf numFmtId="0" fontId="46" fillId="0" borderId="50" xfId="0" applyFont="1" applyBorder="1"/>
    <xf numFmtId="0" fontId="54" fillId="5" borderId="51" xfId="4" applyFont="1" applyFill="1" applyBorder="1"/>
    <xf numFmtId="0" fontId="58" fillId="0" borderId="50" xfId="4" applyFont="1" applyBorder="1"/>
    <xf numFmtId="0" fontId="54" fillId="5" borderId="52" xfId="4" applyFont="1" applyFill="1" applyBorder="1"/>
    <xf numFmtId="0" fontId="33" fillId="0" borderId="53" xfId="0" applyFont="1" applyBorder="1"/>
    <xf numFmtId="42" fontId="38" fillId="0" borderId="54" xfId="19" applyBorder="1">
      <alignment horizontal="right" vertical="top"/>
    </xf>
    <xf numFmtId="42" fontId="38" fillId="0" borderId="55" xfId="19" applyBorder="1">
      <alignment horizontal="right" vertical="top"/>
    </xf>
    <xf numFmtId="0" fontId="40" fillId="0" borderId="0" xfId="0" applyFont="1" applyBorder="1" applyAlignment="1">
      <alignment horizontal="center"/>
    </xf>
    <xf numFmtId="0" fontId="40" fillId="0" borderId="48" xfId="0" applyFont="1" applyBorder="1" applyAlignment="1">
      <alignment horizontal="center"/>
    </xf>
    <xf numFmtId="42" fontId="38" fillId="0" borderId="48" xfId="19" applyFont="1" applyBorder="1">
      <alignment horizontal="right" vertical="top"/>
    </xf>
    <xf numFmtId="0" fontId="62" fillId="0" borderId="49" xfId="4" applyFont="1" applyBorder="1" applyAlignment="1">
      <alignment horizontal="left" indent="1"/>
    </xf>
    <xf numFmtId="0" fontId="62" fillId="0" borderId="50" xfId="4" applyFont="1" applyBorder="1" applyAlignment="1">
      <alignment horizontal="left" indent="1"/>
    </xf>
    <xf numFmtId="0" fontId="63" fillId="0" borderId="51" xfId="4" applyFont="1" applyBorder="1"/>
    <xf numFmtId="0" fontId="64" fillId="0" borderId="50" xfId="0" applyFont="1" applyBorder="1"/>
    <xf numFmtId="0" fontId="63" fillId="5" borderId="51" xfId="4" applyFont="1" applyFill="1" applyBorder="1"/>
    <xf numFmtId="0" fontId="65" fillId="0" borderId="50" xfId="4" applyFont="1" applyBorder="1"/>
    <xf numFmtId="0" fontId="63" fillId="5" borderId="52" xfId="4" applyFont="1" applyFill="1" applyBorder="1"/>
    <xf numFmtId="0" fontId="37" fillId="0" borderId="44" xfId="0" applyFont="1" applyBorder="1" applyAlignment="1">
      <alignment horizontal="centerContinuous"/>
    </xf>
    <xf numFmtId="0" fontId="37" fillId="0" borderId="45" xfId="0" applyFont="1" applyBorder="1" applyAlignment="1">
      <alignment horizontal="centerContinuous"/>
    </xf>
    <xf numFmtId="0" fontId="37" fillId="0" borderId="46" xfId="0" applyFont="1" applyBorder="1" applyAlignment="1">
      <alignment horizontal="centerContinuous"/>
    </xf>
    <xf numFmtId="0" fontId="33" fillId="0" borderId="45" xfId="0" applyFont="1" applyBorder="1" applyAlignment="1">
      <alignment horizontal="centerContinuous"/>
    </xf>
    <xf numFmtId="0" fontId="33" fillId="0" borderId="46" xfId="0" applyFont="1" applyBorder="1" applyAlignment="1">
      <alignment horizontal="centerContinuous"/>
    </xf>
    <xf numFmtId="0" fontId="33" fillId="0" borderId="55" xfId="0" applyFont="1" applyBorder="1"/>
    <xf numFmtId="0" fontId="37" fillId="0" borderId="47" xfId="0" applyFont="1" applyBorder="1"/>
    <xf numFmtId="0" fontId="33" fillId="0" borderId="47" xfId="0" applyFont="1" applyBorder="1" applyAlignment="1">
      <alignment horizontal="left"/>
    </xf>
    <xf numFmtId="0" fontId="37" fillId="0" borderId="47" xfId="0" applyFont="1" applyBorder="1" applyAlignment="1">
      <alignment horizontal="left"/>
    </xf>
    <xf numFmtId="0" fontId="37" fillId="0" borderId="53" xfId="0" applyFont="1" applyBorder="1"/>
    <xf numFmtId="166" fontId="33" fillId="0" borderId="48" xfId="1" applyNumberFormat="1" applyFont="1" applyBorder="1"/>
    <xf numFmtId="166" fontId="37" fillId="0" borderId="56" xfId="1" applyNumberFormat="1" applyFont="1" applyBorder="1"/>
    <xf numFmtId="166" fontId="37" fillId="0" borderId="57" xfId="0" applyNumberFormat="1" applyFont="1" applyBorder="1"/>
    <xf numFmtId="166" fontId="37" fillId="0" borderId="54" xfId="1" applyNumberFormat="1" applyFont="1" applyBorder="1"/>
    <xf numFmtId="166" fontId="37" fillId="0" borderId="55" xfId="1" applyNumberFormat="1" applyFont="1" applyBorder="1"/>
    <xf numFmtId="166" fontId="33" fillId="0" borderId="0" xfId="0" applyNumberFormat="1" applyFont="1" applyBorder="1"/>
    <xf numFmtId="166" fontId="33" fillId="0" borderId="48" xfId="0" applyNumberFormat="1" applyFont="1" applyBorder="1"/>
    <xf numFmtId="166" fontId="33" fillId="0" borderId="56" xfId="0" applyNumberFormat="1" applyFont="1" applyBorder="1"/>
    <xf numFmtId="166" fontId="33" fillId="14" borderId="56" xfId="0" applyNumberFormat="1" applyFont="1" applyFill="1" applyBorder="1"/>
    <xf numFmtId="166" fontId="33" fillId="0" borderId="56" xfId="0" applyNumberFormat="1" applyFont="1" applyFill="1" applyBorder="1"/>
    <xf numFmtId="166" fontId="33" fillId="14" borderId="57" xfId="0" applyNumberFormat="1" applyFont="1" applyFill="1" applyBorder="1"/>
    <xf numFmtId="9" fontId="56" fillId="0" borderId="0" xfId="0" applyNumberFormat="1" applyFont="1" applyBorder="1"/>
    <xf numFmtId="9" fontId="56" fillId="0" borderId="48" xfId="0" applyNumberFormat="1" applyFont="1" applyBorder="1"/>
    <xf numFmtId="164" fontId="56" fillId="0" borderId="0" xfId="0" applyNumberFormat="1" applyFont="1" applyBorder="1"/>
    <xf numFmtId="164" fontId="56" fillId="0" borderId="48" xfId="0" applyNumberFormat="1" applyFont="1" applyBorder="1"/>
    <xf numFmtId="164" fontId="56" fillId="0" borderId="54" xfId="0" applyNumberFormat="1" applyFont="1" applyBorder="1"/>
    <xf numFmtId="164" fontId="56" fillId="0" borderId="55" xfId="0" applyNumberFormat="1" applyFont="1" applyBorder="1"/>
    <xf numFmtId="42" fontId="33" fillId="0" borderId="0" xfId="0" applyNumberFormat="1" applyFont="1" applyBorder="1"/>
    <xf numFmtId="0" fontId="33" fillId="0" borderId="44" xfId="0" applyFont="1" applyBorder="1"/>
    <xf numFmtId="0" fontId="60" fillId="0" borderId="47" xfId="0" applyFont="1" applyBorder="1" applyAlignment="1">
      <alignment horizontal="center"/>
    </xf>
    <xf numFmtId="42" fontId="33" fillId="0" borderId="48" xfId="0" applyNumberFormat="1" applyFont="1" applyBorder="1"/>
    <xf numFmtId="0" fontId="60" fillId="0" borderId="53" xfId="0" applyFont="1" applyBorder="1" applyAlignment="1">
      <alignment horizontal="center"/>
    </xf>
    <xf numFmtId="0" fontId="61" fillId="13" borderId="45" xfId="0" applyFont="1" applyFill="1" applyBorder="1" applyAlignment="1">
      <alignment horizontal="centerContinuous"/>
    </xf>
    <xf numFmtId="0" fontId="61" fillId="13" borderId="46" xfId="0" applyFont="1" applyFill="1" applyBorder="1" applyAlignment="1">
      <alignment horizontal="centerContinuous"/>
    </xf>
    <xf numFmtId="0" fontId="66" fillId="15" borderId="0" xfId="0" applyFont="1" applyFill="1" applyBorder="1"/>
    <xf numFmtId="176" fontId="67" fillId="15" borderId="0" xfId="13" applyNumberFormat="1" applyFont="1" applyFill="1" applyBorder="1" applyAlignment="1">
      <alignment horizontal="center" vertical="top"/>
    </xf>
    <xf numFmtId="0" fontId="66" fillId="0" borderId="0" xfId="0" applyFont="1" applyBorder="1"/>
    <xf numFmtId="0" fontId="69" fillId="0" borderId="0" xfId="0" applyFont="1" applyBorder="1" applyAlignment="1">
      <alignment horizontal="center"/>
    </xf>
    <xf numFmtId="166" fontId="67" fillId="0" borderId="0" xfId="1" applyNumberFormat="1" applyFont="1" applyFill="1" applyBorder="1" applyAlignment="1">
      <alignment horizontal="center" vertical="top"/>
    </xf>
    <xf numFmtId="176" fontId="67" fillId="0" borderId="0" xfId="13" applyNumberFormat="1" applyFont="1" applyFill="1" applyBorder="1" applyAlignment="1">
      <alignment horizontal="center" vertical="top"/>
    </xf>
    <xf numFmtId="166" fontId="33" fillId="0" borderId="0" xfId="0" applyNumberFormat="1" applyFont="1" applyFill="1" applyBorder="1"/>
    <xf numFmtId="0" fontId="66" fillId="0" borderId="44" xfId="0" applyFont="1" applyFill="1" applyBorder="1"/>
    <xf numFmtId="0" fontId="68" fillId="0" borderId="45" xfId="0" applyFont="1" applyBorder="1" applyAlignment="1">
      <alignment horizontal="centerContinuous"/>
    </xf>
    <xf numFmtId="0" fontId="66" fillId="0" borderId="46" xfId="0" applyFont="1" applyBorder="1" applyAlignment="1">
      <alignment horizontal="centerContinuous"/>
    </xf>
    <xf numFmtId="0" fontId="66" fillId="0" borderId="47" xfId="0" applyFont="1" applyFill="1" applyBorder="1"/>
    <xf numFmtId="0" fontId="69" fillId="0" borderId="48" xfId="0" applyFont="1" applyBorder="1" applyAlignment="1">
      <alignment horizontal="center"/>
    </xf>
    <xf numFmtId="166" fontId="66" fillId="0" borderId="48" xfId="0" applyNumberFormat="1" applyFont="1" applyBorder="1"/>
    <xf numFmtId="9" fontId="66" fillId="0" borderId="0" xfId="0" applyNumberFormat="1" applyFont="1" applyBorder="1" applyAlignment="1">
      <alignment horizontal="center"/>
    </xf>
    <xf numFmtId="0" fontId="66" fillId="0" borderId="48" xfId="0" applyFont="1" applyBorder="1"/>
    <xf numFmtId="0" fontId="33" fillId="0" borderId="54" xfId="0" applyFont="1" applyFill="1" applyBorder="1"/>
    <xf numFmtId="0" fontId="68" fillId="0" borderId="47" xfId="0" applyFont="1" applyBorder="1"/>
    <xf numFmtId="0" fontId="68" fillId="0" borderId="47" xfId="0" applyFont="1" applyFill="1" applyBorder="1"/>
    <xf numFmtId="0" fontId="68" fillId="0" borderId="53" xfId="0" applyFont="1" applyFill="1" applyBorder="1"/>
    <xf numFmtId="0" fontId="68" fillId="0" borderId="0" xfId="0" applyFont="1" applyFill="1" applyBorder="1"/>
    <xf numFmtId="0" fontId="33" fillId="0" borderId="0" xfId="0" applyFont="1" applyAlignment="1">
      <alignment horizontal="centerContinuous"/>
    </xf>
    <xf numFmtId="0" fontId="37" fillId="0" borderId="0" xfId="0" applyFont="1" applyAlignment="1">
      <alignment horizontal="centerContinuous"/>
    </xf>
    <xf numFmtId="0" fontId="66" fillId="0" borderId="54" xfId="0" applyFont="1" applyBorder="1"/>
    <xf numFmtId="0" fontId="66" fillId="0" borderId="55" xfId="0" applyFont="1" applyBorder="1"/>
    <xf numFmtId="0" fontId="70" fillId="0" borderId="0" xfId="0" applyFont="1" applyAlignment="1">
      <alignment vertical="center"/>
    </xf>
    <xf numFmtId="177" fontId="71" fillId="0" borderId="1" xfId="3" applyNumberFormat="1" applyFont="1" applyBorder="1" applyAlignment="1">
      <alignment horizontal="right" vertical="center"/>
    </xf>
    <xf numFmtId="169" fontId="33" fillId="0" borderId="0" xfId="3" applyNumberFormat="1" applyFont="1" applyBorder="1"/>
    <xf numFmtId="169" fontId="71" fillId="0" borderId="0" xfId="3" applyNumberFormat="1" applyFont="1" applyBorder="1" applyAlignment="1">
      <alignment horizontal="right" vertical="center"/>
    </xf>
    <xf numFmtId="169" fontId="33" fillId="0" borderId="0" xfId="3" applyNumberFormat="1" applyFont="1" applyFill="1" applyBorder="1"/>
    <xf numFmtId="169" fontId="71" fillId="0" borderId="0" xfId="3" applyNumberFormat="1" applyFont="1" applyBorder="1" applyAlignment="1">
      <alignment vertical="center"/>
    </xf>
    <xf numFmtId="0" fontId="33" fillId="0" borderId="47" xfId="0" applyFont="1" applyBorder="1" applyAlignment="1">
      <alignment vertical="center"/>
    </xf>
    <xf numFmtId="169" fontId="33" fillId="0" borderId="0" xfId="3" applyNumberFormat="1" applyFont="1" applyBorder="1" applyAlignment="1">
      <alignment horizontal="right" vertical="center"/>
    </xf>
    <xf numFmtId="166" fontId="33" fillId="0" borderId="0" xfId="1" applyNumberFormat="1" applyFont="1" applyBorder="1" applyAlignment="1">
      <alignment horizontal="right" vertical="center"/>
    </xf>
    <xf numFmtId="166" fontId="33" fillId="0" borderId="48" xfId="1" applyNumberFormat="1" applyFont="1" applyBorder="1" applyAlignment="1">
      <alignment horizontal="right" vertical="center"/>
    </xf>
    <xf numFmtId="0" fontId="56" fillId="0" borderId="47" xfId="0" applyFont="1" applyBorder="1" applyAlignment="1">
      <alignment vertical="center"/>
    </xf>
    <xf numFmtId="4" fontId="33" fillId="0" borderId="0" xfId="0" applyNumberFormat="1" applyFont="1" applyBorder="1"/>
    <xf numFmtId="4" fontId="33" fillId="0" borderId="48" xfId="0" applyNumberFormat="1" applyFont="1" applyBorder="1"/>
    <xf numFmtId="0" fontId="33" fillId="0" borderId="0" xfId="0" applyFont="1" applyBorder="1" applyAlignment="1">
      <alignment horizontal="right" vertical="center"/>
    </xf>
    <xf numFmtId="166" fontId="33" fillId="0" borderId="0" xfId="1" applyNumberFormat="1" applyFont="1" applyFill="1" applyBorder="1"/>
    <xf numFmtId="166" fontId="33" fillId="0" borderId="48" xfId="1" applyNumberFormat="1" applyFont="1" applyFill="1" applyBorder="1"/>
    <xf numFmtId="10" fontId="33" fillId="0" borderId="0" xfId="2" applyNumberFormat="1" applyFont="1" applyFill="1" applyBorder="1"/>
    <xf numFmtId="10" fontId="33" fillId="0" borderId="48" xfId="2" applyNumberFormat="1" applyFont="1" applyFill="1" applyBorder="1"/>
    <xf numFmtId="0" fontId="71" fillId="0" borderId="47" xfId="0" applyFont="1" applyBorder="1" applyAlignment="1">
      <alignment vertical="center"/>
    </xf>
    <xf numFmtId="177" fontId="71" fillId="0" borderId="58" xfId="3" applyNumberFormat="1" applyFont="1" applyBorder="1" applyAlignment="1">
      <alignment horizontal="right" vertical="center"/>
    </xf>
    <xf numFmtId="169" fontId="71" fillId="0" borderId="48" xfId="3" applyNumberFormat="1" applyFont="1" applyBorder="1" applyAlignment="1">
      <alignment horizontal="right" vertical="center"/>
    </xf>
    <xf numFmtId="0" fontId="33" fillId="0" borderId="48" xfId="0" applyNumberFormat="1" applyFont="1" applyFill="1" applyBorder="1"/>
    <xf numFmtId="169" fontId="33" fillId="0" borderId="48" xfId="0" applyNumberFormat="1" applyFont="1" applyBorder="1"/>
    <xf numFmtId="0" fontId="71" fillId="0" borderId="53" xfId="0" applyFont="1" applyBorder="1" applyAlignment="1">
      <alignment vertical="center"/>
    </xf>
    <xf numFmtId="169" fontId="71" fillId="0" borderId="59" xfId="3" applyNumberFormat="1" applyFont="1" applyBorder="1" applyAlignment="1">
      <alignment horizontal="right" vertical="center"/>
    </xf>
    <xf numFmtId="169" fontId="33" fillId="0" borderId="54" xfId="3" applyNumberFormat="1" applyFont="1" applyBorder="1"/>
    <xf numFmtId="169" fontId="33" fillId="0" borderId="54" xfId="3" applyNumberFormat="1" applyFont="1" applyFill="1" applyBorder="1"/>
    <xf numFmtId="0" fontId="37" fillId="0" borderId="44" xfId="0" applyFont="1" applyBorder="1"/>
    <xf numFmtId="0" fontId="33" fillId="0" borderId="0" xfId="0" applyNumberFormat="1" applyFont="1"/>
    <xf numFmtId="178" fontId="38" fillId="0" borderId="0" xfId="19" applyNumberFormat="1" applyFont="1" applyBorder="1">
      <alignment horizontal="right" vertical="top"/>
    </xf>
    <xf numFmtId="178" fontId="38" fillId="0" borderId="48" xfId="19" applyNumberFormat="1" applyFont="1" applyBorder="1">
      <alignment horizontal="right" vertical="top"/>
    </xf>
    <xf numFmtId="178" fontId="39" fillId="0" borderId="0" xfId="19" applyNumberFormat="1" applyFont="1" applyBorder="1">
      <alignment horizontal="right" vertical="top"/>
    </xf>
    <xf numFmtId="178" fontId="39" fillId="0" borderId="48" xfId="19" applyNumberFormat="1" applyFont="1" applyBorder="1">
      <alignment horizontal="right" vertical="top"/>
    </xf>
    <xf numFmtId="178" fontId="33" fillId="0" borderId="0" xfId="0" applyNumberFormat="1" applyFont="1" applyBorder="1"/>
    <xf numFmtId="178" fontId="33" fillId="0" borderId="48" xfId="0" applyNumberFormat="1" applyFont="1" applyBorder="1"/>
    <xf numFmtId="178" fontId="33" fillId="0" borderId="8" xfId="0" applyNumberFormat="1" applyFont="1" applyBorder="1"/>
    <xf numFmtId="178" fontId="33" fillId="0" borderId="56" xfId="0" applyNumberFormat="1" applyFont="1" applyBorder="1"/>
    <xf numFmtId="178" fontId="33" fillId="14" borderId="8" xfId="0" applyNumberFormat="1" applyFont="1" applyFill="1" applyBorder="1"/>
    <xf numFmtId="178" fontId="33" fillId="14" borderId="56" xfId="0" applyNumberFormat="1" applyFont="1" applyFill="1" applyBorder="1"/>
    <xf numFmtId="178" fontId="33" fillId="0" borderId="8" xfId="0" applyNumberFormat="1" applyFont="1" applyFill="1" applyBorder="1"/>
    <xf numFmtId="178" fontId="33" fillId="0" borderId="56" xfId="0" applyNumberFormat="1" applyFont="1" applyFill="1" applyBorder="1"/>
    <xf numFmtId="178" fontId="33" fillId="14" borderId="37" xfId="0" applyNumberFormat="1" applyFont="1" applyFill="1" applyBorder="1"/>
    <xf numFmtId="178" fontId="33" fillId="14" borderId="57" xfId="0" applyNumberFormat="1" applyFont="1" applyFill="1" applyBorder="1"/>
    <xf numFmtId="178" fontId="33" fillId="0" borderId="0" xfId="1" applyNumberFormat="1" applyFont="1" applyBorder="1"/>
    <xf numFmtId="178" fontId="33" fillId="0" borderId="48" xfId="1" applyNumberFormat="1" applyFont="1" applyBorder="1"/>
    <xf numFmtId="178" fontId="37" fillId="0" borderId="8" xfId="1" applyNumberFormat="1" applyFont="1" applyBorder="1"/>
    <xf numFmtId="178" fontId="37" fillId="0" borderId="56" xfId="1" applyNumberFormat="1" applyFont="1" applyBorder="1"/>
    <xf numFmtId="178" fontId="37" fillId="0" borderId="37" xfId="0" applyNumberFormat="1" applyFont="1" applyBorder="1"/>
    <xf numFmtId="178" fontId="37" fillId="0" borderId="57" xfId="0" applyNumberFormat="1" applyFont="1" applyBorder="1"/>
    <xf numFmtId="178" fontId="37" fillId="0" borderId="54" xfId="1" applyNumberFormat="1" applyFont="1" applyBorder="1"/>
    <xf numFmtId="178" fontId="37" fillId="0" borderId="55" xfId="1" applyNumberFormat="1" applyFont="1" applyBorder="1"/>
    <xf numFmtId="42" fontId="41" fillId="0" borderId="0" xfId="12">
      <alignment horizontal="right" vertical="top"/>
    </xf>
    <xf numFmtId="171" fontId="67" fillId="4" borderId="0" xfId="4" applyNumberFormat="1" applyFont="1" applyFill="1" applyBorder="1" applyAlignment="1">
      <alignment horizontal="center"/>
    </xf>
    <xf numFmtId="171" fontId="67" fillId="4" borderId="54" xfId="4" applyNumberFormat="1" applyFont="1" applyFill="1" applyBorder="1" applyAlignment="1">
      <alignment horizontal="center"/>
    </xf>
    <xf numFmtId="171" fontId="67" fillId="4" borderId="45" xfId="4" applyNumberFormat="1" applyFont="1" applyFill="1" applyBorder="1" applyAlignment="1">
      <alignment horizontal="center"/>
    </xf>
    <xf numFmtId="176" fontId="75" fillId="0" borderId="0" xfId="13" applyNumberFormat="1" applyFont="1" applyFill="1" applyBorder="1" applyAlignment="1">
      <alignment horizontal="center" vertical="top"/>
    </xf>
    <xf numFmtId="9" fontId="33" fillId="0" borderId="0" xfId="0" applyNumberFormat="1" applyFont="1"/>
    <xf numFmtId="0" fontId="0" fillId="0" borderId="0" xfId="0" applyBorder="1"/>
    <xf numFmtId="9" fontId="33" fillId="0" borderId="45" xfId="0" applyNumberFormat="1" applyFont="1" applyBorder="1"/>
    <xf numFmtId="9" fontId="33" fillId="0" borderId="0" xfId="0" applyNumberFormat="1" applyFont="1" applyBorder="1"/>
    <xf numFmtId="9" fontId="78" fillId="0" borderId="45" xfId="0" applyNumberFormat="1" applyFont="1" applyBorder="1"/>
    <xf numFmtId="0" fontId="79" fillId="0" borderId="45" xfId="0" applyFont="1" applyBorder="1" applyAlignment="1">
      <alignment horizontal="center"/>
    </xf>
    <xf numFmtId="0" fontId="79" fillId="0" borderId="46" xfId="0" applyFont="1" applyBorder="1" applyAlignment="1">
      <alignment horizontal="center"/>
    </xf>
    <xf numFmtId="180" fontId="66" fillId="0" borderId="0" xfId="0" applyNumberFormat="1" applyFont="1" applyBorder="1"/>
    <xf numFmtId="166" fontId="66" fillId="0" borderId="0" xfId="1" applyNumberFormat="1" applyFont="1" applyBorder="1"/>
    <xf numFmtId="166" fontId="66" fillId="0" borderId="48" xfId="1" applyNumberFormat="1" applyFont="1" applyBorder="1"/>
    <xf numFmtId="180" fontId="66" fillId="0" borderId="54" xfId="0" applyNumberFormat="1" applyFont="1" applyBorder="1"/>
    <xf numFmtId="166" fontId="66" fillId="0" borderId="54" xfId="1" applyNumberFormat="1" applyFont="1" applyBorder="1"/>
    <xf numFmtId="166" fontId="66" fillId="0" borderId="55" xfId="1" applyNumberFormat="1" applyFont="1" applyBorder="1"/>
    <xf numFmtId="9" fontId="66" fillId="0" borderId="0" xfId="0" applyNumberFormat="1" applyFont="1" applyBorder="1"/>
    <xf numFmtId="0" fontId="77" fillId="13" borderId="44" xfId="0" applyFont="1" applyFill="1" applyBorder="1" applyAlignment="1">
      <alignment horizontal="center" vertical="center" textRotation="90"/>
    </xf>
    <xf numFmtId="0" fontId="77" fillId="13" borderId="47" xfId="0" applyFont="1" applyFill="1" applyBorder="1" applyAlignment="1">
      <alignment horizontal="center" vertical="center" textRotation="90"/>
    </xf>
    <xf numFmtId="0" fontId="77" fillId="13" borderId="53" xfId="0" applyFont="1" applyFill="1" applyBorder="1" applyAlignment="1">
      <alignment horizontal="center" vertical="center" textRotation="90"/>
    </xf>
    <xf numFmtId="0" fontId="77" fillId="13" borderId="45" xfId="0" applyFont="1" applyFill="1" applyBorder="1" applyAlignment="1">
      <alignment horizontal="centerContinuous"/>
    </xf>
    <xf numFmtId="0" fontId="76" fillId="13" borderId="45" xfId="0" applyFont="1" applyFill="1" applyBorder="1" applyAlignment="1">
      <alignment horizontal="centerContinuous"/>
    </xf>
    <xf numFmtId="0" fontId="76" fillId="13" borderId="46" xfId="0" applyFont="1" applyFill="1" applyBorder="1" applyAlignment="1">
      <alignment horizontal="centerContinuous"/>
    </xf>
    <xf numFmtId="0" fontId="77" fillId="13" borderId="46" xfId="0" applyFont="1" applyFill="1" applyBorder="1" applyAlignment="1">
      <alignment horizontal="centerContinuous"/>
    </xf>
    <xf numFmtId="166" fontId="33" fillId="0" borderId="54" xfId="1" applyNumberFormat="1" applyFont="1" applyBorder="1"/>
    <xf numFmtId="166" fontId="33" fillId="0" borderId="55" xfId="1" applyNumberFormat="1" applyFont="1" applyBorder="1"/>
    <xf numFmtId="164" fontId="80" fillId="0" borderId="36" xfId="14" applyFont="1" applyBorder="1">
      <alignment horizontal="right" vertical="top"/>
    </xf>
  </cellXfs>
  <cellStyles count="26">
    <cellStyle name="_x000a_386grabber=M" xfId="7"/>
    <cellStyle name="AFE 2" xfId="10"/>
    <cellStyle name="Comma" xfId="3" builtinId="3"/>
    <cellStyle name="Currency" xfId="1" builtinId="4"/>
    <cellStyle name="Currency 2" xfId="5"/>
    <cellStyle name="Error" xfId="11"/>
    <cellStyle name="Formula - Dollars" xfId="12"/>
    <cellStyle name="Formula - Number" xfId="13"/>
    <cellStyle name="Formula - Percent" xfId="14"/>
    <cellStyle name="Input - Dollars" xfId="15"/>
    <cellStyle name="Input - Number" xfId="16"/>
    <cellStyle name="Input - Percent" xfId="17"/>
    <cellStyle name="Input - Text" xfId="18"/>
    <cellStyle name="Link - Dollars" xfId="19"/>
    <cellStyle name="Link - Number" xfId="20"/>
    <cellStyle name="Link - Percent" xfId="21"/>
    <cellStyle name="Normal" xfId="0" builtinId="0"/>
    <cellStyle name="Normal 2" xfId="9"/>
    <cellStyle name="Normal 3" xfId="4"/>
    <cellStyle name="Output - Dollars" xfId="22"/>
    <cellStyle name="Output - Fixed" xfId="23"/>
    <cellStyle name="Output - Number" xfId="24"/>
    <cellStyle name="Output - Percent" xfId="25"/>
    <cellStyle name="Pctg" xfId="8"/>
    <cellStyle name="Percent" xfId="2" builtinId="5"/>
    <cellStyle name="Percent 2" xfId="6"/>
  </cellStyles>
  <dxfs count="0"/>
  <tableStyles count="0" defaultTableStyle="TableStyleMedium2" defaultPivotStyle="PivotStyleLight16"/>
  <colors>
    <mruColors>
      <color rgb="FF0000FF"/>
      <color rgb="FF008000"/>
      <color rgb="FFC0C0C0"/>
      <color rgb="FF7B95B1"/>
      <color rgb="FFB2C1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264584</xdr:colOff>
      <xdr:row>0</xdr:row>
      <xdr:rowOff>21166</xdr:rowOff>
    </xdr:from>
    <xdr:to>
      <xdr:col>7</xdr:col>
      <xdr:colOff>1079500</xdr:colOff>
      <xdr:row>28</xdr:row>
      <xdr:rowOff>63500</xdr:rowOff>
    </xdr:to>
    <xdr:sp macro="" textlink="">
      <xdr:nvSpPr>
        <xdr:cNvPr id="4" name="TextBox 3"/>
        <xdr:cNvSpPr txBox="1"/>
      </xdr:nvSpPr>
      <xdr:spPr>
        <a:xfrm>
          <a:off x="878417" y="21166"/>
          <a:ext cx="9842500" cy="5365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dk1"/>
              </a:solidFill>
              <a:effectLst/>
              <a:latin typeface="Arial" panose="020B0604020202020204" pitchFamily="34" charset="0"/>
              <a:ea typeface="+mn-ea"/>
              <a:cs typeface="Arial" panose="020B0604020202020204" pitchFamily="34" charset="0"/>
            </a:rPr>
            <a:t>Business Memo – Final Project</a:t>
          </a:r>
        </a:p>
        <a:p>
          <a:pPr algn="ctr"/>
          <a:r>
            <a:rPr lang="en-US" sz="1400">
              <a:solidFill>
                <a:schemeClr val="dk1"/>
              </a:solidFill>
              <a:effectLst/>
              <a:latin typeface="Arial" panose="020B0604020202020204" pitchFamily="34" charset="0"/>
              <a:ea typeface="+mn-ea"/>
              <a:cs typeface="Arial" panose="020B0604020202020204" pitchFamily="34" charset="0"/>
            </a:rPr>
            <a:t> </a:t>
          </a:r>
        </a:p>
        <a:p>
          <a:pPr marL="0" marR="0">
            <a:lnSpc>
              <a:spcPct val="107000"/>
            </a:lnSpc>
            <a:spcBef>
              <a:spcPts val="0"/>
            </a:spcBef>
            <a:spcAft>
              <a:spcPts val="800"/>
            </a:spcAft>
          </a:pPr>
          <a:r>
            <a:rPr lang="en-US" sz="1400">
              <a:effectLst/>
              <a:latin typeface="Calibri" panose="020F0502020204030204" pitchFamily="34" charset="0"/>
              <a:ea typeface="Calibri" panose="020F0502020204030204" pitchFamily="34" charset="0"/>
              <a:cs typeface="Times New Roman" panose="02020603050405020304" pitchFamily="18" charset="0"/>
            </a:rPr>
            <a:t>The initial investment in the business was funded with 5 million in cash and 10 million in debt. </a:t>
          </a:r>
        </a:p>
        <a:p>
          <a:pPr marL="342900" marR="0" lvl="0" indent="-342900">
            <a:lnSpc>
              <a:spcPct val="107000"/>
            </a:lnSpc>
            <a:spcBef>
              <a:spcPts val="0"/>
            </a:spcBef>
            <a:spcAft>
              <a:spcPts val="0"/>
            </a:spcAft>
            <a:buFont typeface="Symbol" panose="05050102010706020507" pitchFamily="18" charset="2"/>
            <a:buChar char=""/>
          </a:pPr>
          <a:r>
            <a:rPr lang="en-US" sz="1400">
              <a:effectLst/>
              <a:latin typeface="Calibri" panose="020F0502020204030204" pitchFamily="34" charset="0"/>
              <a:ea typeface="Calibri" panose="020F0502020204030204" pitchFamily="34" charset="0"/>
              <a:cs typeface="Times New Roman" panose="02020603050405020304" pitchFamily="18" charset="0"/>
            </a:rPr>
            <a:t>Under the various assumptions the business could be sold in 5 years for between 25 million on the low side and 55 million on the high side in a private sale. </a:t>
          </a:r>
        </a:p>
        <a:p>
          <a:pPr marL="342900" marR="0" lvl="0" indent="-342900">
            <a:lnSpc>
              <a:spcPct val="107000"/>
            </a:lnSpc>
            <a:spcBef>
              <a:spcPts val="0"/>
            </a:spcBef>
            <a:spcAft>
              <a:spcPts val="0"/>
            </a:spcAft>
            <a:buFont typeface="Symbol" panose="05050102010706020507" pitchFamily="18" charset="2"/>
            <a:buChar char=""/>
          </a:pPr>
          <a:r>
            <a:rPr lang="en-US" sz="1400">
              <a:effectLst/>
              <a:latin typeface="Calibri" panose="020F0502020204030204" pitchFamily="34" charset="0"/>
              <a:ea typeface="Calibri" panose="020F0502020204030204" pitchFamily="34" charset="0"/>
              <a:cs typeface="Times New Roman" panose="02020603050405020304" pitchFamily="18" charset="0"/>
            </a:rPr>
            <a:t>Internal Rate of Return on the business would be between 20%-60% depending on the expense scenario and the valuation method.</a:t>
          </a:r>
        </a:p>
        <a:p>
          <a:pPr marL="342900" marR="0" lvl="0" indent="-342900">
            <a:lnSpc>
              <a:spcPct val="107000"/>
            </a:lnSpc>
            <a:spcBef>
              <a:spcPts val="0"/>
            </a:spcBef>
            <a:spcAft>
              <a:spcPts val="800"/>
            </a:spcAft>
            <a:buFont typeface="Symbol" panose="05050102010706020507" pitchFamily="18" charset="2"/>
            <a:buChar char=""/>
          </a:pPr>
          <a:r>
            <a:rPr lang="en-US" sz="1400">
              <a:effectLst/>
              <a:latin typeface="Calibri" panose="020F0502020204030204" pitchFamily="34" charset="0"/>
              <a:ea typeface="Calibri" panose="020F0502020204030204" pitchFamily="34" charset="0"/>
              <a:cs typeface="Times New Roman" panose="02020603050405020304" pitchFamily="18" charset="0"/>
            </a:rPr>
            <a:t> 20-40% is a reasonable estimate that covers the majority of the scenarios utilizing both a market approach to valuation and discounting the net asset values. </a:t>
          </a:r>
        </a:p>
        <a:p>
          <a:pPr marL="0" marR="0">
            <a:lnSpc>
              <a:spcPct val="107000"/>
            </a:lnSpc>
            <a:spcBef>
              <a:spcPts val="0"/>
            </a:spcBef>
            <a:spcAft>
              <a:spcPts val="800"/>
            </a:spcAft>
          </a:pPr>
          <a:r>
            <a:rPr lang="en-US" sz="1400">
              <a:effectLst/>
              <a:latin typeface="Calibri" panose="020F0502020204030204" pitchFamily="34" charset="0"/>
              <a:ea typeface="Calibri" panose="020F0502020204030204" pitchFamily="34" charset="0"/>
              <a:cs typeface="Times New Roman" panose="02020603050405020304" pitchFamily="18" charset="0"/>
            </a:rPr>
            <a:t> </a:t>
          </a:r>
        </a:p>
        <a:p>
          <a:pPr marL="0" marR="0">
            <a:lnSpc>
              <a:spcPct val="107000"/>
            </a:lnSpc>
            <a:spcBef>
              <a:spcPts val="0"/>
            </a:spcBef>
            <a:spcAft>
              <a:spcPts val="800"/>
            </a:spcAft>
          </a:pPr>
          <a:r>
            <a:rPr lang="en-US" sz="1400">
              <a:effectLst/>
              <a:latin typeface="Calibri" panose="020F0502020204030204" pitchFamily="34" charset="0"/>
              <a:ea typeface="Calibri" panose="020F0502020204030204" pitchFamily="34" charset="0"/>
              <a:cs typeface="Times New Roman" panose="02020603050405020304" pitchFamily="18" charset="0"/>
            </a:rPr>
            <a:t>I believe the planned scenarios are reasonable and executable. However, there are some assumptions that were not in depth enough to provide a realistic forecast. </a:t>
          </a:r>
        </a:p>
        <a:p>
          <a:pPr marL="342900" marR="0" lvl="0" indent="-342900">
            <a:lnSpc>
              <a:spcPct val="107000"/>
            </a:lnSpc>
            <a:spcBef>
              <a:spcPts val="0"/>
            </a:spcBef>
            <a:spcAft>
              <a:spcPts val="0"/>
            </a:spcAft>
            <a:buFont typeface="Symbol" panose="05050102010706020507" pitchFamily="18" charset="2"/>
            <a:buChar char=""/>
          </a:pPr>
          <a:r>
            <a:rPr lang="en-US" sz="1400">
              <a:effectLst/>
              <a:latin typeface="Calibri" panose="020F0502020204030204" pitchFamily="34" charset="0"/>
              <a:ea typeface="Calibri" panose="020F0502020204030204" pitchFamily="34" charset="0"/>
              <a:cs typeface="Times New Roman" panose="02020603050405020304" pitchFamily="18" charset="0"/>
            </a:rPr>
            <a:t>Depreciation estimates in CapEx, which did not take into account differences in accounting for deprecation on taxes and on the financial reporting. It also made no distinction between where depreciation would be tied into asset values and when it would be a separate line item. </a:t>
          </a:r>
        </a:p>
        <a:p>
          <a:pPr marL="342900" marR="0" lvl="0" indent="-342900">
            <a:lnSpc>
              <a:spcPct val="107000"/>
            </a:lnSpc>
            <a:spcBef>
              <a:spcPts val="0"/>
            </a:spcBef>
            <a:spcAft>
              <a:spcPts val="0"/>
            </a:spcAft>
            <a:buFont typeface="Symbol" panose="05050102010706020507" pitchFamily="18" charset="2"/>
            <a:buChar char=""/>
          </a:pPr>
          <a:r>
            <a:rPr lang="en-US" sz="1400">
              <a:effectLst/>
              <a:latin typeface="Calibri" panose="020F0502020204030204" pitchFamily="34" charset="0"/>
              <a:ea typeface="Calibri" panose="020F0502020204030204" pitchFamily="34" charset="0"/>
              <a:cs typeface="Times New Roman" panose="02020603050405020304" pitchFamily="18" charset="0"/>
            </a:rPr>
            <a:t>Debt assumptions are not very in depth other than the mention of an interest rate, with no discussion of any covenants tied to the debt.</a:t>
          </a:r>
        </a:p>
        <a:p>
          <a:pPr marL="342900" marR="0" lvl="0" indent="-342900">
            <a:lnSpc>
              <a:spcPct val="107000"/>
            </a:lnSpc>
            <a:spcBef>
              <a:spcPts val="0"/>
            </a:spcBef>
            <a:spcAft>
              <a:spcPts val="0"/>
            </a:spcAft>
            <a:buFont typeface="Symbol" panose="05050102010706020507" pitchFamily="18" charset="2"/>
            <a:buChar char=""/>
          </a:pPr>
          <a:r>
            <a:rPr lang="en-US" sz="1400">
              <a:effectLst/>
              <a:latin typeface="Calibri" panose="020F0502020204030204" pitchFamily="34" charset="0"/>
              <a:ea typeface="Calibri" panose="020F0502020204030204" pitchFamily="34" charset="0"/>
              <a:cs typeface="Times New Roman" panose="02020603050405020304" pitchFamily="18" charset="0"/>
            </a:rPr>
            <a:t>Debt allows for</a:t>
          </a:r>
          <a:r>
            <a:rPr lang="en-US" sz="1400" baseline="0">
              <a:effectLst/>
              <a:latin typeface="Calibri" panose="020F0502020204030204" pitchFamily="34" charset="0"/>
              <a:ea typeface="Calibri" panose="020F0502020204030204" pitchFamily="34" charset="0"/>
              <a:cs typeface="Times New Roman" panose="02020603050405020304" pitchFamily="18" charset="0"/>
            </a:rPr>
            <a:t> large amount of leverage, which makes the cash flows riskier. </a:t>
          </a:r>
          <a:endParaRPr lang="en-US" sz="1400">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7000"/>
            </a:lnSpc>
            <a:spcBef>
              <a:spcPts val="0"/>
            </a:spcBef>
            <a:spcAft>
              <a:spcPts val="0"/>
            </a:spcAft>
            <a:buFont typeface="Symbol" panose="05050102010706020507" pitchFamily="18" charset="2"/>
            <a:buChar char=""/>
          </a:pPr>
          <a:r>
            <a:rPr lang="en-US" sz="1400">
              <a:effectLst/>
              <a:latin typeface="Calibri" panose="020F0502020204030204" pitchFamily="34" charset="0"/>
              <a:ea typeface="Calibri" panose="020F0502020204030204" pitchFamily="34" charset="0"/>
              <a:cs typeface="Times New Roman" panose="02020603050405020304" pitchFamily="18" charset="0"/>
            </a:rPr>
            <a:t> Under most of the scenarios the business would need additional debt to stay cash flow positive or would have to slow its growth rate. </a:t>
          </a:r>
        </a:p>
        <a:p>
          <a:pPr marL="342900" marR="0" lvl="0" indent="-342900">
            <a:lnSpc>
              <a:spcPct val="107000"/>
            </a:lnSpc>
            <a:spcBef>
              <a:spcPts val="0"/>
            </a:spcBef>
            <a:spcAft>
              <a:spcPts val="800"/>
            </a:spcAft>
            <a:buFont typeface="Symbol" panose="05050102010706020507" pitchFamily="18" charset="2"/>
            <a:buChar char=""/>
          </a:pPr>
          <a:r>
            <a:rPr lang="en-US" sz="1400">
              <a:effectLst/>
              <a:latin typeface="Calibri" panose="020F0502020204030204" pitchFamily="34" charset="0"/>
              <a:ea typeface="Calibri" panose="020F0502020204030204" pitchFamily="34" charset="0"/>
              <a:cs typeface="Times New Roman" panose="02020603050405020304" pitchFamily="18" charset="0"/>
            </a:rPr>
            <a:t>There is no accounting for business income taxes or mention of what type of legal entity the business is to be able to determine what taxes would be.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4:Z114"/>
  <sheetViews>
    <sheetView tabSelected="1" view="pageBreakPreview" zoomScale="60" zoomScaleNormal="60" zoomScalePageLayoutView="30" workbookViewId="0">
      <selection activeCell="B44" sqref="B44"/>
    </sheetView>
  </sheetViews>
  <sheetFormatPr defaultRowHeight="14" x14ac:dyDescent="0.3"/>
  <cols>
    <col min="1" max="1" width="8.7265625" style="163"/>
    <col min="2" max="2" width="42.90625" style="163" bestFit="1" customWidth="1"/>
    <col min="3" max="3" width="15.54296875" style="163" bestFit="1" customWidth="1"/>
    <col min="4" max="4" width="19.81640625" style="163" bestFit="1" customWidth="1"/>
    <col min="5" max="8" width="17" style="163" bestFit="1" customWidth="1"/>
    <col min="9" max="9" width="13.08984375" style="163" customWidth="1"/>
    <col min="10" max="10" width="7.1796875" style="163" customWidth="1"/>
    <col min="11" max="11" width="10.6328125" style="163" bestFit="1" customWidth="1"/>
    <col min="12" max="12" width="9.6328125" style="163" customWidth="1"/>
    <col min="13" max="15" width="20.26953125" style="163" bestFit="1" customWidth="1"/>
    <col min="16" max="16" width="22.08984375" style="163" bestFit="1" customWidth="1"/>
    <col min="17" max="17" width="17.36328125" style="163" bestFit="1" customWidth="1"/>
    <col min="18" max="19" width="8.7265625" style="163"/>
    <col min="20" max="20" width="7.1796875" style="163" customWidth="1"/>
    <col min="21" max="21" width="8" style="163" customWidth="1"/>
    <col min="22" max="23" width="11.90625" style="163" bestFit="1" customWidth="1"/>
    <col min="24" max="26" width="12.54296875" style="163" bestFit="1" customWidth="1"/>
    <col min="27" max="16384" width="8.7265625" style="163"/>
  </cols>
  <sheetData>
    <row r="4" spans="20:26" ht="20.5" customHeight="1" x14ac:dyDescent="0.35">
      <c r="T4"/>
      <c r="U4"/>
      <c r="V4"/>
      <c r="W4"/>
      <c r="X4"/>
      <c r="Y4"/>
      <c r="Z4"/>
    </row>
    <row r="5" spans="20:26" ht="20" customHeight="1" x14ac:dyDescent="0.35">
      <c r="T5"/>
      <c r="U5"/>
      <c r="V5"/>
      <c r="W5"/>
      <c r="X5"/>
      <c r="Y5"/>
      <c r="Z5"/>
    </row>
    <row r="6" spans="20:26" ht="14.5" x14ac:dyDescent="0.35">
      <c r="T6"/>
      <c r="U6"/>
      <c r="V6"/>
      <c r="W6"/>
      <c r="X6"/>
      <c r="Y6"/>
      <c r="Z6"/>
    </row>
    <row r="7" spans="20:26" ht="14.5" x14ac:dyDescent="0.35">
      <c r="T7"/>
      <c r="U7"/>
      <c r="V7"/>
      <c r="W7"/>
      <c r="X7"/>
      <c r="Y7"/>
      <c r="Z7"/>
    </row>
    <row r="8" spans="20:26" ht="14.5" x14ac:dyDescent="0.35">
      <c r="T8"/>
      <c r="U8"/>
      <c r="V8"/>
      <c r="W8"/>
      <c r="X8"/>
      <c r="Y8"/>
      <c r="Z8"/>
    </row>
    <row r="9" spans="20:26" ht="14.5" x14ac:dyDescent="0.35">
      <c r="T9"/>
      <c r="U9"/>
      <c r="V9"/>
      <c r="W9"/>
      <c r="X9"/>
      <c r="Y9"/>
      <c r="Z9"/>
    </row>
    <row r="10" spans="20:26" ht="14.5" x14ac:dyDescent="0.35">
      <c r="T10"/>
      <c r="U10"/>
      <c r="V10"/>
      <c r="W10"/>
      <c r="X10"/>
      <c r="Y10"/>
      <c r="Z10"/>
    </row>
    <row r="11" spans="20:26" ht="14.5" x14ac:dyDescent="0.35">
      <c r="T11"/>
      <c r="U11"/>
      <c r="V11"/>
      <c r="W11"/>
      <c r="X11"/>
      <c r="Y11"/>
      <c r="Z11"/>
    </row>
    <row r="12" spans="20:26" ht="14.5" x14ac:dyDescent="0.35">
      <c r="T12"/>
      <c r="U12"/>
      <c r="V12"/>
      <c r="W12"/>
      <c r="X12"/>
      <c r="Y12"/>
      <c r="Z12"/>
    </row>
    <row r="13" spans="20:26" ht="14.5" x14ac:dyDescent="0.35">
      <c r="T13"/>
      <c r="U13"/>
      <c r="V13"/>
      <c r="W13"/>
      <c r="X13"/>
      <c r="Y13"/>
      <c r="Z13"/>
    </row>
    <row r="14" spans="20:26" ht="14.5" x14ac:dyDescent="0.35">
      <c r="T14"/>
      <c r="U14"/>
      <c r="V14"/>
      <c r="W14"/>
      <c r="X14"/>
      <c r="Y14"/>
      <c r="Z14"/>
    </row>
    <row r="15" spans="20:26" ht="14.5" x14ac:dyDescent="0.35">
      <c r="T15"/>
      <c r="U15"/>
      <c r="V15"/>
      <c r="W15"/>
      <c r="X15"/>
      <c r="Y15"/>
      <c r="Z15"/>
    </row>
    <row r="16" spans="20:26" ht="14.5" x14ac:dyDescent="0.35">
      <c r="T16"/>
      <c r="U16"/>
      <c r="V16"/>
      <c r="W16"/>
      <c r="X16"/>
      <c r="Y16"/>
      <c r="Z16"/>
    </row>
    <row r="17" spans="2:26" ht="14.5" x14ac:dyDescent="0.35">
      <c r="T17"/>
      <c r="U17"/>
      <c r="V17"/>
      <c r="W17"/>
      <c r="X17"/>
      <c r="Y17"/>
      <c r="Z17"/>
    </row>
    <row r="18" spans="2:26" ht="14.5" x14ac:dyDescent="0.35">
      <c r="T18"/>
      <c r="U18"/>
      <c r="V18"/>
      <c r="W18"/>
      <c r="X18"/>
      <c r="Y18"/>
      <c r="Z18"/>
    </row>
    <row r="19" spans="2:26" ht="14.5" x14ac:dyDescent="0.35">
      <c r="T19"/>
      <c r="U19"/>
      <c r="V19"/>
      <c r="W19"/>
      <c r="X19"/>
      <c r="Y19"/>
      <c r="Z19"/>
    </row>
    <row r="20" spans="2:26" ht="14.5" x14ac:dyDescent="0.35">
      <c r="T20"/>
      <c r="U20"/>
      <c r="V20"/>
      <c r="W20"/>
      <c r="X20"/>
      <c r="Y20"/>
      <c r="Z20"/>
    </row>
    <row r="21" spans="2:26" ht="14.5" x14ac:dyDescent="0.35">
      <c r="T21"/>
      <c r="U21"/>
      <c r="V21"/>
      <c r="W21"/>
      <c r="X21"/>
      <c r="Y21"/>
      <c r="Z21"/>
    </row>
    <row r="22" spans="2:26" ht="14.5" x14ac:dyDescent="0.35">
      <c r="J22"/>
      <c r="T22"/>
      <c r="U22"/>
      <c r="V22"/>
      <c r="W22"/>
      <c r="X22"/>
      <c r="Y22"/>
      <c r="Z22"/>
    </row>
    <row r="23" spans="2:26" ht="14.5" x14ac:dyDescent="0.35">
      <c r="J23"/>
    </row>
    <row r="24" spans="2:26" ht="16" customHeight="1" x14ac:dyDescent="0.35">
      <c r="J24"/>
    </row>
    <row r="25" spans="2:26" ht="20" customHeight="1" x14ac:dyDescent="0.35">
      <c r="J25"/>
    </row>
    <row r="26" spans="2:26" ht="17" customHeight="1" x14ac:dyDescent="0.35">
      <c r="J26"/>
    </row>
    <row r="27" spans="2:26" ht="14.5" customHeight="1" x14ac:dyDescent="0.35">
      <c r="J27"/>
    </row>
    <row r="28" spans="2:26" ht="14.5" x14ac:dyDescent="0.35">
      <c r="J28"/>
    </row>
    <row r="29" spans="2:26" ht="14.5" x14ac:dyDescent="0.35">
      <c r="J29"/>
    </row>
    <row r="30" spans="2:26" ht="14.5" x14ac:dyDescent="0.35">
      <c r="J30"/>
    </row>
    <row r="31" spans="2:26" ht="16" thickBot="1" x14ac:dyDescent="0.4">
      <c r="B31" s="422" t="s">
        <v>290</v>
      </c>
      <c r="J31"/>
    </row>
    <row r="32" spans="2:26" ht="15.5" x14ac:dyDescent="0.35">
      <c r="B32" s="410"/>
      <c r="C32" s="411" t="s">
        <v>274</v>
      </c>
      <c r="D32" s="411"/>
      <c r="E32" s="411"/>
      <c r="F32" s="411"/>
      <c r="G32" s="411"/>
      <c r="H32" s="412"/>
      <c r="J32"/>
    </row>
    <row r="33" spans="2:10" ht="15.5" x14ac:dyDescent="0.35">
      <c r="B33" s="413"/>
      <c r="C33" s="406">
        <v>0</v>
      </c>
      <c r="D33" s="406">
        <v>1</v>
      </c>
      <c r="E33" s="406">
        <v>2</v>
      </c>
      <c r="F33" s="406">
        <v>3</v>
      </c>
      <c r="G33" s="406">
        <v>4</v>
      </c>
      <c r="H33" s="414">
        <v>5</v>
      </c>
      <c r="J33"/>
    </row>
    <row r="34" spans="2:10" ht="15.5" x14ac:dyDescent="0.35">
      <c r="B34" s="420" t="s">
        <v>285</v>
      </c>
      <c r="C34" s="407">
        <f>-'Annual Summaries'!C54</f>
        <v>-5245631</v>
      </c>
      <c r="D34" s="407">
        <v>0</v>
      </c>
      <c r="E34" s="407">
        <v>0</v>
      </c>
      <c r="F34" s="407">
        <v>0</v>
      </c>
      <c r="G34" s="407">
        <v>0</v>
      </c>
      <c r="H34" s="415">
        <f ca="1">IF(C38="Earnings/Profit",(Year5NetIncome*ExitMultiple)+Year5Cash-Year5Debt,(Year5Revenue*ExitMultiple)+Year5Cash-Year5Debt)</f>
        <v>55563538.206377551</v>
      </c>
      <c r="J34"/>
    </row>
    <row r="35" spans="2:10" ht="15.5" x14ac:dyDescent="0.35">
      <c r="B35" s="419" t="s">
        <v>282</v>
      </c>
      <c r="C35" s="416">
        <f ca="1">IRR(C34:H34)</f>
        <v>0.60323959929562521</v>
      </c>
      <c r="D35" s="408"/>
      <c r="E35" s="408"/>
      <c r="F35" s="408"/>
      <c r="G35" s="408"/>
      <c r="H35" s="417"/>
      <c r="J35"/>
    </row>
    <row r="36" spans="2:10" ht="15.5" x14ac:dyDescent="0.35">
      <c r="B36" s="419" t="s">
        <v>284</v>
      </c>
      <c r="C36" s="409">
        <f ca="1">NPV(C40,D34:H34)+C34</f>
        <v>29254954.656951845</v>
      </c>
      <c r="D36" s="408"/>
      <c r="E36" s="408"/>
      <c r="F36" s="408"/>
      <c r="G36" s="408"/>
      <c r="H36" s="417"/>
      <c r="J36"/>
    </row>
    <row r="37" spans="2:10" ht="15.5" x14ac:dyDescent="0.35">
      <c r="B37" s="419" t="s">
        <v>292</v>
      </c>
      <c r="C37" s="479" t="s">
        <v>286</v>
      </c>
      <c r="D37" s="405"/>
      <c r="E37" s="405"/>
      <c r="F37" s="405"/>
      <c r="G37" s="405"/>
      <c r="H37" s="417"/>
      <c r="J37"/>
    </row>
    <row r="38" spans="2:10" ht="15.5" x14ac:dyDescent="0.35">
      <c r="B38" s="419" t="s">
        <v>291</v>
      </c>
      <c r="C38" s="479" t="s">
        <v>15</v>
      </c>
      <c r="D38" s="405"/>
      <c r="E38" s="405"/>
      <c r="F38" s="405"/>
      <c r="G38" s="405"/>
      <c r="H38" s="417"/>
    </row>
    <row r="39" spans="2:10" ht="15.5" x14ac:dyDescent="0.35">
      <c r="B39" s="420" t="s">
        <v>281</v>
      </c>
      <c r="C39" s="482">
        <f>INDEX(ControlSheet!$G$2:$I$4,MATCH($C$38,ControlSheet!$G$2:$G$4,0),MATCH($C$37,ControlSheet!$G$2:$I$2,0))</f>
        <v>1</v>
      </c>
      <c r="D39" s="405"/>
      <c r="E39" s="405"/>
      <c r="F39" s="405"/>
      <c r="G39" s="405"/>
      <c r="H39" s="417"/>
    </row>
    <row r="40" spans="2:10" ht="16" thickBot="1" x14ac:dyDescent="0.4">
      <c r="B40" s="421" t="s">
        <v>283</v>
      </c>
      <c r="C40" s="480">
        <v>0.1</v>
      </c>
      <c r="D40" s="418"/>
      <c r="E40" s="418"/>
      <c r="F40" s="418"/>
      <c r="G40" s="418"/>
      <c r="H40" s="374"/>
    </row>
    <row r="42" spans="2:10" ht="16" thickBot="1" x14ac:dyDescent="0.4">
      <c r="B42" s="422" t="s">
        <v>293</v>
      </c>
      <c r="H42" s="174"/>
    </row>
    <row r="43" spans="2:10" ht="15.5" x14ac:dyDescent="0.35">
      <c r="B43" s="410"/>
      <c r="C43" s="411" t="s">
        <v>274</v>
      </c>
      <c r="D43" s="411"/>
      <c r="E43" s="411"/>
      <c r="F43" s="411"/>
      <c r="G43" s="411"/>
      <c r="H43" s="412"/>
    </row>
    <row r="44" spans="2:10" ht="15.5" x14ac:dyDescent="0.35">
      <c r="B44" s="413"/>
      <c r="C44" s="406">
        <v>0</v>
      </c>
      <c r="D44" s="406">
        <v>1</v>
      </c>
      <c r="E44" s="406">
        <v>2</v>
      </c>
      <c r="F44" s="406">
        <v>3</v>
      </c>
      <c r="G44" s="406">
        <v>4</v>
      </c>
      <c r="H44" s="414">
        <v>5</v>
      </c>
    </row>
    <row r="45" spans="2:10" ht="15.5" x14ac:dyDescent="0.35">
      <c r="B45" s="420" t="s">
        <v>285</v>
      </c>
      <c r="C45" s="407">
        <f>-BegStockholderEquity</f>
        <v>-5245631</v>
      </c>
      <c r="D45" s="407">
        <v>0</v>
      </c>
      <c r="E45" s="407">
        <v>0</v>
      </c>
      <c r="F45" s="407">
        <v>0</v>
      </c>
      <c r="G45" s="407">
        <v>0</v>
      </c>
      <c r="H45" s="415">
        <f ca="1">Year5Assets-Year5Debt</f>
        <v>28555176.955848366</v>
      </c>
    </row>
    <row r="46" spans="2:10" ht="15.5" x14ac:dyDescent="0.35">
      <c r="B46" s="419" t="s">
        <v>282</v>
      </c>
      <c r="C46" s="416">
        <f ca="1">IRR(C45:H45)</f>
        <v>0.4033869176421645</v>
      </c>
      <c r="D46" s="408"/>
      <c r="E46" s="408"/>
      <c r="F46" s="408"/>
      <c r="G46" s="408"/>
      <c r="H46" s="417"/>
    </row>
    <row r="47" spans="2:10" ht="14" customHeight="1" x14ac:dyDescent="0.35">
      <c r="B47" s="419" t="s">
        <v>284</v>
      </c>
      <c r="C47" s="409">
        <f ca="1">NPV(C48,D45:H45)+C45</f>
        <v>12484887.255613659</v>
      </c>
      <c r="D47" s="408"/>
      <c r="E47" s="408"/>
      <c r="F47" s="408"/>
      <c r="G47" s="408"/>
      <c r="H47" s="417"/>
    </row>
    <row r="48" spans="2:10" ht="14.5" customHeight="1" thickBot="1" x14ac:dyDescent="0.4">
      <c r="B48" s="421" t="s">
        <v>283</v>
      </c>
      <c r="C48" s="480">
        <v>0.1</v>
      </c>
      <c r="D48" s="418"/>
      <c r="E48" s="425"/>
      <c r="F48" s="425"/>
      <c r="G48" s="425"/>
      <c r="H48" s="426"/>
    </row>
    <row r="49" spans="2:9" ht="14.5" customHeight="1" x14ac:dyDescent="0.3"/>
    <row r="50" spans="2:9" ht="14.5" customHeight="1" x14ac:dyDescent="0.3"/>
    <row r="51" spans="2:9" ht="14.5" customHeight="1" thickBot="1" x14ac:dyDescent="0.35">
      <c r="B51" s="427" t="s">
        <v>309</v>
      </c>
    </row>
    <row r="52" spans="2:9" ht="14.5" customHeight="1" x14ac:dyDescent="0.35">
      <c r="B52" s="454" t="s">
        <v>310</v>
      </c>
      <c r="C52" s="481">
        <f>Inputs!C156</f>
        <v>0.05</v>
      </c>
      <c r="D52" s="411" t="s">
        <v>274</v>
      </c>
      <c r="E52" s="411"/>
      <c r="F52" s="411"/>
      <c r="G52" s="411"/>
      <c r="H52" s="411"/>
      <c r="I52" s="412"/>
    </row>
    <row r="53" spans="2:9" ht="14.5" customHeight="1" x14ac:dyDescent="0.35">
      <c r="B53" s="343"/>
      <c r="C53" s="300"/>
      <c r="D53" s="406">
        <v>0</v>
      </c>
      <c r="E53" s="406">
        <v>1</v>
      </c>
      <c r="F53" s="406">
        <v>2</v>
      </c>
      <c r="G53" s="406">
        <v>3</v>
      </c>
      <c r="H53" s="406">
        <v>4</v>
      </c>
      <c r="I53" s="414">
        <v>5</v>
      </c>
    </row>
    <row r="54" spans="2:9" ht="14.5" customHeight="1" x14ac:dyDescent="0.3">
      <c r="B54" s="433" t="s">
        <v>294</v>
      </c>
      <c r="C54" s="434"/>
      <c r="D54" s="434"/>
      <c r="E54" s="435">
        <f ca="1">'Annual Summaries'!C9</f>
        <v>18032125.357086487</v>
      </c>
      <c r="F54" s="435">
        <f ca="1">'Annual Summaries'!D9</f>
        <v>29324784.551230602</v>
      </c>
      <c r="G54" s="435">
        <f ca="1">'Annual Summaries'!E9</f>
        <v>40959782.712631218</v>
      </c>
      <c r="H54" s="435">
        <f ca="1">'Annual Summaries'!F9</f>
        <v>52947526.922924399</v>
      </c>
      <c r="I54" s="436">
        <f ca="1">'Annual Summaries'!G9</f>
        <v>65298741.333131269</v>
      </c>
    </row>
    <row r="55" spans="2:9" ht="14.5" customHeight="1" x14ac:dyDescent="0.3">
      <c r="B55" s="437" t="s">
        <v>302</v>
      </c>
      <c r="C55" s="434"/>
      <c r="D55" s="434"/>
      <c r="E55" s="435">
        <f ca="1">E54*Year1Margin</f>
        <v>1945352.0570368341</v>
      </c>
      <c r="F55" s="435">
        <f ca="1">F54*Year2Margin</f>
        <v>2915286.6613336606</v>
      </c>
      <c r="G55" s="435">
        <f ca="1">G54*Year3Margin</f>
        <v>3974669.8445252208</v>
      </c>
      <c r="H55" s="435">
        <f ca="1">H54*Year4Margin</f>
        <v>5448258.902554471</v>
      </c>
      <c r="I55" s="436">
        <f ca="1">I54*Year5Margin</f>
        <v>7144327.045414106</v>
      </c>
    </row>
    <row r="56" spans="2:9" ht="14.5" customHeight="1" x14ac:dyDescent="0.3">
      <c r="B56" s="343" t="s">
        <v>301</v>
      </c>
      <c r="C56" s="300"/>
      <c r="D56" s="300"/>
      <c r="E56" s="438">
        <f ca="1">'Annual Summaries'!C9/'Annual Summaries'!C44</f>
        <v>1.0137195233502616</v>
      </c>
      <c r="F56" s="438">
        <f ca="1">'Annual Summaries'!D9/'Annual Summaries'!D44</f>
        <v>1.3957360360200615</v>
      </c>
      <c r="G56" s="438">
        <f ca="1">'Annual Summaries'!E9/'Annual Summaries'!E44</f>
        <v>1.6188910171738737</v>
      </c>
      <c r="H56" s="438">
        <f ca="1">'Annual Summaries'!F9/'Annual Summaries'!F44</f>
        <v>1.7038524263870973</v>
      </c>
      <c r="I56" s="439">
        <f ca="1">'Annual Summaries'!G9/'Annual Summaries'!G44</f>
        <v>1.6936439277119235</v>
      </c>
    </row>
    <row r="57" spans="2:9" ht="14.5" customHeight="1" x14ac:dyDescent="0.3">
      <c r="B57" s="437" t="s">
        <v>303</v>
      </c>
      <c r="C57" s="300"/>
      <c r="D57" s="435">
        <f>BegStockholderEquity</f>
        <v>5245631</v>
      </c>
      <c r="E57" s="435">
        <f ca="1">(E54/E56)-'Annual Summaries'!C51</f>
        <v>7788081.3595182225</v>
      </c>
      <c r="F57" s="435">
        <f ca="1">(F54/F56)-'Annual Summaries'!D51</f>
        <v>11010265.404374145</v>
      </c>
      <c r="G57" s="435">
        <f ca="1">(G54/G56)-'Annual Summaries'!E51</f>
        <v>15301136.567015748</v>
      </c>
      <c r="H57" s="435">
        <f ca="1">(H54/H56)-'Annual Summaries'!F51</f>
        <v>21075183.568095751</v>
      </c>
      <c r="I57" s="436">
        <f ca="1">(I54/I56)-'Annual Summaries'!G51</f>
        <v>28555176.955848366</v>
      </c>
    </row>
    <row r="58" spans="2:9" ht="14.5" customHeight="1" x14ac:dyDescent="0.3">
      <c r="B58" s="433" t="s">
        <v>304</v>
      </c>
      <c r="C58" s="440"/>
      <c r="D58" s="441"/>
      <c r="E58" s="441">
        <f ca="1">+E57-D57</f>
        <v>2542450.3595182225</v>
      </c>
      <c r="F58" s="441">
        <f ca="1">+F57-E57</f>
        <v>3222184.0448559225</v>
      </c>
      <c r="G58" s="441">
        <f ca="1">+G57-F57</f>
        <v>4290871.1626416035</v>
      </c>
      <c r="H58" s="441">
        <f ca="1">+H57-G57</f>
        <v>5774047.0010800026</v>
      </c>
      <c r="I58" s="442">
        <f ca="1">+I57-H57</f>
        <v>7479993.3877526149</v>
      </c>
    </row>
    <row r="59" spans="2:9" ht="14.5" customHeight="1" x14ac:dyDescent="0.3">
      <c r="B59" s="437" t="s">
        <v>305</v>
      </c>
      <c r="C59" s="440"/>
      <c r="D59" s="431"/>
      <c r="E59" s="441">
        <f ca="1">+E55-E58</f>
        <v>-597098.30248138844</v>
      </c>
      <c r="F59" s="441">
        <f ca="1">+F55-F58</f>
        <v>-306897.38352226187</v>
      </c>
      <c r="G59" s="441">
        <f ca="1">+G55-G58</f>
        <v>-316201.3181163827</v>
      </c>
      <c r="H59" s="441">
        <f ca="1">+H55-H58</f>
        <v>-325788.09852553159</v>
      </c>
      <c r="I59" s="442">
        <f ca="1">+I55-I58</f>
        <v>-335666.34233850893</v>
      </c>
    </row>
    <row r="60" spans="2:9" ht="14.5" customHeight="1" x14ac:dyDescent="0.3">
      <c r="B60" s="437" t="s">
        <v>306</v>
      </c>
      <c r="C60" s="440"/>
      <c r="D60" s="431"/>
      <c r="E60" s="443"/>
      <c r="F60" s="443">
        <f ca="1">+F59/E59-1</f>
        <v>-0.48601866351507861</v>
      </c>
      <c r="G60" s="443">
        <f ca="1">+G59/F59-1</f>
        <v>3.0316109206730779E-2</v>
      </c>
      <c r="H60" s="443">
        <f ca="1">+H59/G59-1</f>
        <v>3.031859723500685E-2</v>
      </c>
      <c r="I60" s="444">
        <f ca="1">+I59/H59-1</f>
        <v>3.0321070222284918E-2</v>
      </c>
    </row>
    <row r="61" spans="2:9" ht="14.5" customHeight="1" x14ac:dyDescent="0.3">
      <c r="B61" s="445" t="s">
        <v>307</v>
      </c>
      <c r="C61" s="300"/>
      <c r="D61" s="428">
        <f>(1+$C$52)</f>
        <v>1.05</v>
      </c>
      <c r="E61" s="428">
        <f>D61*(1+$C$52)</f>
        <v>1.1025</v>
      </c>
      <c r="F61" s="428">
        <f>E61*(1+$C$52)</f>
        <v>1.1576250000000001</v>
      </c>
      <c r="G61" s="428">
        <f>F61*(1+$C$52)</f>
        <v>1.2155062500000002</v>
      </c>
      <c r="H61" s="428">
        <f>G61*(1+$C$52)</f>
        <v>1.2762815625000004</v>
      </c>
      <c r="I61" s="446">
        <f>H61*(1+$C$52)</f>
        <v>1.3400956406250004</v>
      </c>
    </row>
    <row r="62" spans="2:9" ht="15" customHeight="1" x14ac:dyDescent="0.3">
      <c r="B62" s="445" t="s">
        <v>295</v>
      </c>
      <c r="C62" s="429"/>
      <c r="D62" s="430"/>
      <c r="E62" s="430">
        <f ca="1">E59/E61</f>
        <v>-541585.76188788062</v>
      </c>
      <c r="F62" s="430">
        <f ca="1">F59/F61</f>
        <v>-265109.49877746403</v>
      </c>
      <c r="G62" s="430">
        <f ca="1">G59/G61</f>
        <v>-260139.60694680313</v>
      </c>
      <c r="H62" s="430">
        <f ca="1">H59/H61</f>
        <v>-255263.49991875832</v>
      </c>
      <c r="I62" s="447">
        <f ca="1">I59/I61</f>
        <v>-250479.3927856964</v>
      </c>
    </row>
    <row r="63" spans="2:9" x14ac:dyDescent="0.3">
      <c r="B63" s="445" t="s">
        <v>296</v>
      </c>
      <c r="C63" s="431">
        <f ca="1">SUM(E62:H62)</f>
        <v>-1322098.3675309061</v>
      </c>
      <c r="D63" s="429"/>
      <c r="E63" s="429"/>
      <c r="F63" s="429"/>
      <c r="G63" s="429"/>
      <c r="H63" s="429"/>
      <c r="I63" s="448"/>
    </row>
    <row r="64" spans="2:9" x14ac:dyDescent="0.3">
      <c r="B64" s="445" t="s">
        <v>297</v>
      </c>
      <c r="C64" s="431"/>
      <c r="D64" s="429"/>
      <c r="E64" s="429"/>
      <c r="F64" s="429"/>
      <c r="G64" s="429"/>
      <c r="H64" s="429"/>
      <c r="I64" s="448"/>
    </row>
    <row r="65" spans="2:9" ht="14.5" x14ac:dyDescent="0.3">
      <c r="B65" s="445" t="s">
        <v>308</v>
      </c>
      <c r="C65" s="431"/>
      <c r="D65" s="429"/>
      <c r="E65" s="429"/>
      <c r="F65" s="429"/>
      <c r="G65" s="429"/>
      <c r="H65" s="432">
        <f ca="1">I59</f>
        <v>-335666.34233850893</v>
      </c>
      <c r="I65" s="449"/>
    </row>
    <row r="66" spans="2:9" x14ac:dyDescent="0.3">
      <c r="B66" s="445" t="s">
        <v>298</v>
      </c>
      <c r="C66" s="431"/>
      <c r="D66" s="429"/>
      <c r="E66" s="429"/>
      <c r="F66" s="429"/>
      <c r="G66" s="429"/>
      <c r="H66" s="432">
        <f ca="1">H65/($C$52-I60)</f>
        <v>-17057144.170442946</v>
      </c>
      <c r="I66" s="449"/>
    </row>
    <row r="67" spans="2:9" x14ac:dyDescent="0.3">
      <c r="B67" s="445" t="s">
        <v>299</v>
      </c>
      <c r="C67" s="430">
        <f ca="1">H66/H61</f>
        <v>-13364718.782766981</v>
      </c>
      <c r="D67" s="429"/>
      <c r="E67" s="429"/>
      <c r="F67" s="429"/>
      <c r="G67" s="429"/>
      <c r="H67" s="429"/>
      <c r="I67" s="346"/>
    </row>
    <row r="68" spans="2:9" ht="14.5" thickBot="1" x14ac:dyDescent="0.35">
      <c r="B68" s="450" t="s">
        <v>300</v>
      </c>
      <c r="C68" s="451">
        <f ca="1">SUM(C63:C67)</f>
        <v>-14686817.150297888</v>
      </c>
      <c r="D68" s="452"/>
      <c r="E68" s="452"/>
      <c r="F68" s="452"/>
      <c r="G68" s="452"/>
      <c r="H68" s="453"/>
      <c r="I68" s="374"/>
    </row>
    <row r="74" spans="2:9" ht="14.5" thickBot="1" x14ac:dyDescent="0.35"/>
    <row r="75" spans="2:9" ht="20.5" thickBot="1" x14ac:dyDescent="0.45">
      <c r="D75" s="500" t="s">
        <v>317</v>
      </c>
      <c r="E75" s="500"/>
      <c r="F75" s="500"/>
      <c r="G75" s="500"/>
      <c r="H75" s="503"/>
    </row>
    <row r="76" spans="2:9" ht="20.5" thickBot="1" x14ac:dyDescent="0.45">
      <c r="B76" s="497" t="s">
        <v>316</v>
      </c>
      <c r="C76" s="487"/>
      <c r="D76" s="488" t="s">
        <v>6</v>
      </c>
      <c r="E76" s="488" t="s">
        <v>7</v>
      </c>
      <c r="F76" s="488" t="s">
        <v>8</v>
      </c>
      <c r="G76" s="488" t="s">
        <v>9</v>
      </c>
      <c r="H76" s="489" t="s">
        <v>10</v>
      </c>
    </row>
    <row r="77" spans="2:9" ht="18.5" thickBot="1" x14ac:dyDescent="0.35">
      <c r="B77" s="498"/>
      <c r="C77" s="506">
        <v>0.03</v>
      </c>
      <c r="D77" s="337">
        <f ca="1">'Annual Summaries'!C31</f>
        <v>1945352.0570368341</v>
      </c>
      <c r="E77" s="337">
        <f ca="1">'Annual Summaries'!D31</f>
        <v>2915286.6613336606</v>
      </c>
      <c r="F77" s="337">
        <f ca="1">'Annual Summaries'!E31</f>
        <v>3974669.8445252213</v>
      </c>
      <c r="G77" s="337">
        <f ca="1">'Annual Summaries'!F31</f>
        <v>5448258.902554471</v>
      </c>
      <c r="H77" s="379">
        <f ca="1">'Annual Summaries'!G31</f>
        <v>7144327.045414106</v>
      </c>
    </row>
    <row r="78" spans="2:9" ht="15.5" x14ac:dyDescent="0.35">
      <c r="B78" s="498"/>
      <c r="C78" s="490">
        <v>-0.05</v>
      </c>
      <c r="D78" s="337">
        <f t="dataTable" ref="D78:H93" dt2D="0" dtr="0" r1="C77" ca="1"/>
        <v>1859604.4545278626</v>
      </c>
      <c r="E78" s="337">
        <v>2477329.6252011508</v>
      </c>
      <c r="F78" s="337">
        <v>2908280.5167921535</v>
      </c>
      <c r="G78" s="337">
        <v>3481864.0297170347</v>
      </c>
      <c r="H78" s="379">
        <v>4010504.6586868428</v>
      </c>
    </row>
    <row r="79" spans="2:9" ht="15.5" x14ac:dyDescent="0.35">
      <c r="B79" s="498"/>
      <c r="C79" s="490">
        <v>-0.04</v>
      </c>
      <c r="D79" s="337">
        <v>1870193.7800778253</v>
      </c>
      <c r="E79" s="337">
        <v>2530251.7263992932</v>
      </c>
      <c r="F79" s="337">
        <v>3034190.4174517295</v>
      </c>
      <c r="G79" s="337">
        <v>3708622.719370401</v>
      </c>
      <c r="H79" s="379">
        <v>4363367.0192659637</v>
      </c>
    </row>
    <row r="80" spans="2:9" ht="15.5" x14ac:dyDescent="0.35">
      <c r="B80" s="498"/>
      <c r="C80" s="490">
        <v>-0.03</v>
      </c>
      <c r="D80" s="337">
        <v>1880819.8043365076</v>
      </c>
      <c r="E80" s="337">
        <v>2583684.9639373352</v>
      </c>
      <c r="F80" s="337">
        <v>3162142.2460547984</v>
      </c>
      <c r="G80" s="337">
        <v>3940564.2330501783</v>
      </c>
      <c r="H80" s="379">
        <v>4726646.6935460996</v>
      </c>
    </row>
    <row r="81" spans="2:8" ht="15.5" x14ac:dyDescent="0.35">
      <c r="B81" s="498"/>
      <c r="C81" s="490">
        <v>-0.02</v>
      </c>
      <c r="D81" s="337">
        <v>1891482.6241705141</v>
      </c>
      <c r="E81" s="337">
        <v>2637634.081849549</v>
      </c>
      <c r="F81" s="337">
        <v>3292169.8950353074</v>
      </c>
      <c r="G81" s="337">
        <v>4177813.4599565584</v>
      </c>
      <c r="H81" s="379">
        <v>5100673.7083637314</v>
      </c>
    </row>
    <row r="82" spans="2:8" ht="15.5" x14ac:dyDescent="0.35">
      <c r="B82" s="498"/>
      <c r="C82" s="490">
        <v>-0.01</v>
      </c>
      <c r="D82" s="337">
        <v>1902182.3365855219</v>
      </c>
      <c r="E82" s="337">
        <v>2692103.8631441882</v>
      </c>
      <c r="F82" s="337">
        <v>3424307.7956575151</v>
      </c>
      <c r="G82" s="337">
        <v>4420498.2696307972</v>
      </c>
      <c r="H82" s="379">
        <v>5485788.6396331396</v>
      </c>
    </row>
    <row r="83" spans="2:8" ht="15.5" x14ac:dyDescent="0.35">
      <c r="B83" s="498"/>
      <c r="C83" s="490">
        <v>0</v>
      </c>
      <c r="D83" s="337">
        <v>1912919.0387262886</v>
      </c>
      <c r="E83" s="337">
        <v>2747099.1300694263</v>
      </c>
      <c r="F83" s="337">
        <v>3558590.9259212357</v>
      </c>
      <c r="G83" s="337">
        <v>4668749.5802122094</v>
      </c>
      <c r="H83" s="379">
        <v>5882342.9426873736</v>
      </c>
    </row>
    <row r="84" spans="2:8" ht="15.5" x14ac:dyDescent="0.35">
      <c r="B84" s="498"/>
      <c r="C84" s="490">
        <v>0.01</v>
      </c>
      <c r="D84" s="337">
        <v>1923692.8278766444</v>
      </c>
      <c r="E84" s="337">
        <v>2802624.7443807162</v>
      </c>
      <c r="F84" s="337">
        <v>3695054.8185711158</v>
      </c>
      <c r="G84" s="337">
        <v>4922701.4281651638</v>
      </c>
      <c r="H84" s="379">
        <v>6290699.2925762115</v>
      </c>
    </row>
    <row r="85" spans="2:8" ht="15.5" x14ac:dyDescent="0.35">
      <c r="B85" s="498"/>
      <c r="C85" s="490">
        <v>0.02</v>
      </c>
      <c r="D85" s="337">
        <v>1934503.8014594989</v>
      </c>
      <c r="E85" s="337">
        <v>2858685.607609557</v>
      </c>
      <c r="F85" s="337">
        <v>3833735.5692110793</v>
      </c>
      <c r="G85" s="337">
        <v>5182491.0395052526</v>
      </c>
      <c r="H85" s="379">
        <v>6711231.93460593</v>
      </c>
    </row>
    <row r="86" spans="2:8" ht="15.5" x14ac:dyDescent="0.35">
      <c r="B86" s="498"/>
      <c r="C86" s="490">
        <v>0.03</v>
      </c>
      <c r="D86" s="337">
        <v>1945352.0570368341</v>
      </c>
      <c r="E86" s="337">
        <v>2915286.6613336606</v>
      </c>
      <c r="F86" s="337">
        <v>3974669.8445252213</v>
      </c>
      <c r="G86" s="337">
        <v>5448258.902554471</v>
      </c>
      <c r="H86" s="379">
        <v>7144327.045414106</v>
      </c>
    </row>
    <row r="87" spans="2:8" ht="15.5" x14ac:dyDescent="0.35">
      <c r="B87" s="498"/>
      <c r="C87" s="490">
        <v>0.04</v>
      </c>
      <c r="D87" s="337">
        <v>1956237.692309713</v>
      </c>
      <c r="E87" s="337">
        <v>2972432.8874484943</v>
      </c>
      <c r="F87" s="337">
        <v>4117894.8906061728</v>
      </c>
      <c r="G87" s="337">
        <v>5720148.8422557134</v>
      </c>
      <c r="H87" s="379">
        <v>7590383.104879899</v>
      </c>
    </row>
    <row r="88" spans="2:8" ht="15.5" x14ac:dyDescent="0.35">
      <c r="B88" s="498"/>
      <c r="C88" s="490">
        <v>0.05</v>
      </c>
      <c r="D88" s="337">
        <v>1967160.8051182693</v>
      </c>
      <c r="E88" s="337">
        <v>3030129.3084403491</v>
      </c>
      <c r="F88" s="337">
        <v>4263448.5413925517</v>
      </c>
      <c r="G88" s="337">
        <v>5998308.0960777393</v>
      </c>
      <c r="H88" s="379">
        <v>8049811.2791793691</v>
      </c>
    </row>
    <row r="89" spans="2:8" ht="15.5" x14ac:dyDescent="0.35">
      <c r="B89" s="498"/>
      <c r="C89" s="490">
        <v>0.06</v>
      </c>
      <c r="D89" s="337">
        <v>1978121.4934417163</v>
      </c>
      <c r="E89" s="337">
        <v>3088380.9876606874</v>
      </c>
      <c r="F89" s="337">
        <v>4411369.2272162382</v>
      </c>
      <c r="G89" s="337">
        <v>6282887.3915416868</v>
      </c>
      <c r="H89" s="379">
        <v>8523035.8153021727</v>
      </c>
    </row>
    <row r="90" spans="2:8" ht="15.5" x14ac:dyDescent="0.35">
      <c r="B90" s="498"/>
      <c r="C90" s="490">
        <v>7.0000000000000007E-2</v>
      </c>
      <c r="D90" s="337">
        <v>1989119.8553983448</v>
      </c>
      <c r="E90" s="337">
        <v>3147193.029602041</v>
      </c>
      <c r="F90" s="337">
        <v>4561695.9834611425</v>
      </c>
      <c r="G90" s="337">
        <v>6574041.0254014507</v>
      </c>
      <c r="H90" s="379">
        <v>9010494.4473557472</v>
      </c>
    </row>
    <row r="91" spans="2:8" ht="15.5" x14ac:dyDescent="0.35">
      <c r="B91" s="498"/>
      <c r="C91" s="490">
        <v>0.08</v>
      </c>
      <c r="D91" s="337">
        <v>2000155.989245519</v>
      </c>
      <c r="E91" s="337">
        <v>3206570.5801752643</v>
      </c>
      <c r="F91" s="337">
        <v>4714468.4593344703</v>
      </c>
      <c r="G91" s="337">
        <v>6871926.9445103509</v>
      </c>
      <c r="H91" s="379">
        <v>9512638.8149912506</v>
      </c>
    </row>
    <row r="92" spans="2:8" ht="15.5" x14ac:dyDescent="0.35">
      <c r="B92" s="498"/>
      <c r="C92" s="490">
        <v>0.09</v>
      </c>
      <c r="D92" s="337">
        <v>2011229.9933796811</v>
      </c>
      <c r="E92" s="337">
        <v>3266518.8269882761</v>
      </c>
      <c r="F92" s="337">
        <v>4869726.9267519787</v>
      </c>
      <c r="G92" s="337">
        <v>7176706.8284076527</v>
      </c>
      <c r="H92" s="379">
        <v>10029934.894294767</v>
      </c>
    </row>
    <row r="93" spans="2:8" ht="16" thickBot="1" x14ac:dyDescent="0.4">
      <c r="B93" s="499"/>
      <c r="C93" s="493">
        <v>0.1</v>
      </c>
      <c r="D93" s="504">
        <v>2022341.9663363481</v>
      </c>
      <c r="E93" s="504">
        <v>3327042.9996262062</v>
      </c>
      <c r="F93" s="504">
        <v>5027512.2893382451</v>
      </c>
      <c r="G93" s="504">
        <v>7488546.1736580711</v>
      </c>
      <c r="H93" s="505">
        <v>10562863.441495519</v>
      </c>
    </row>
    <row r="94" spans="2:8" ht="14.5" x14ac:dyDescent="0.35">
      <c r="B94"/>
      <c r="C94"/>
      <c r="D94"/>
    </row>
    <row r="95" spans="2:8" ht="15" thickBot="1" x14ac:dyDescent="0.4">
      <c r="B95"/>
      <c r="C95" s="484"/>
      <c r="D95"/>
    </row>
    <row r="96" spans="2:8" ht="20.5" thickBot="1" x14ac:dyDescent="0.45">
      <c r="C96" s="486"/>
      <c r="D96" s="500" t="s">
        <v>318</v>
      </c>
      <c r="E96" s="501"/>
      <c r="F96" s="501"/>
      <c r="G96" s="501"/>
      <c r="H96" s="502"/>
    </row>
    <row r="97" spans="2:8" ht="20" x14ac:dyDescent="0.4">
      <c r="B97" s="497" t="s">
        <v>316</v>
      </c>
      <c r="C97" s="485"/>
      <c r="D97" s="488" t="s">
        <v>6</v>
      </c>
      <c r="E97" s="488" t="s">
        <v>7</v>
      </c>
      <c r="F97" s="488" t="s">
        <v>8</v>
      </c>
      <c r="G97" s="488" t="s">
        <v>9</v>
      </c>
      <c r="H97" s="489" t="s">
        <v>10</v>
      </c>
    </row>
    <row r="98" spans="2:8" ht="15.5" x14ac:dyDescent="0.35">
      <c r="B98" s="498"/>
      <c r="C98" s="496">
        <f>C77</f>
        <v>0.03</v>
      </c>
      <c r="D98" s="167">
        <f ca="1">'Annual Summaries'!C88</f>
        <v>4185627.8938802946</v>
      </c>
      <c r="E98" s="167">
        <f ca="1">'Annual Summaries'!D88</f>
        <v>227918.89779319987</v>
      </c>
      <c r="F98" s="167">
        <f ca="1">'Annual Summaries'!E88</f>
        <v>-1915862.6869993214</v>
      </c>
      <c r="G98" s="167">
        <f ca="1">'Annual Summaries'!F88</f>
        <v>-1945152.1061768334</v>
      </c>
      <c r="H98" s="379">
        <f ca="1">'Annual Summaries'!G88</f>
        <v>264796.87324628164</v>
      </c>
    </row>
    <row r="99" spans="2:8" ht="15.5" x14ac:dyDescent="0.35">
      <c r="B99" s="498"/>
      <c r="C99" s="490">
        <v>-0.05</v>
      </c>
      <c r="D99" s="491">
        <f t="dataTable" ref="D99:H114" dt2D="0" dtr="0" r1="C77" ca="1"/>
        <v>4158944.6927469289</v>
      </c>
      <c r="E99" s="491">
        <v>-84535.034523166716</v>
      </c>
      <c r="F99" s="491">
        <v>-3051054.0816788245</v>
      </c>
      <c r="G99" s="491">
        <v>-4713107.6304348009</v>
      </c>
      <c r="H99" s="492">
        <v>-5214694.0823154151</v>
      </c>
    </row>
    <row r="100" spans="2:8" ht="15.5" x14ac:dyDescent="0.35">
      <c r="B100" s="498"/>
      <c r="C100" s="490">
        <v>-0.04</v>
      </c>
      <c r="D100" s="491">
        <v>4162271.3410702646</v>
      </c>
      <c r="E100" s="491">
        <v>-46380.126600541174</v>
      </c>
      <c r="F100" s="491">
        <v>-2914941.9567595199</v>
      </c>
      <c r="G100" s="491">
        <v>-4387141.1020333096</v>
      </c>
      <c r="H100" s="492">
        <v>-4580875.0471099047</v>
      </c>
    </row>
    <row r="101" spans="2:8" ht="15.5" x14ac:dyDescent="0.35">
      <c r="B101" s="498"/>
      <c r="C101" s="490">
        <v>-0.03</v>
      </c>
      <c r="D101" s="491">
        <v>4165600.517517155</v>
      </c>
      <c r="E101" s="491">
        <v>-7970.727366742678</v>
      </c>
      <c r="F101" s="491">
        <v>-2777217.7521553002</v>
      </c>
      <c r="G101" s="491">
        <v>-4055664.6651683566</v>
      </c>
      <c r="H101" s="492">
        <v>-3933167.2450859761</v>
      </c>
    </row>
    <row r="102" spans="2:8" ht="15.5" x14ac:dyDescent="0.35">
      <c r="B102" s="498"/>
      <c r="C102" s="490">
        <v>-0.02</v>
      </c>
      <c r="D102" s="491">
        <v>4168932.2083435319</v>
      </c>
      <c r="E102" s="491">
        <v>30694.741832037456</v>
      </c>
      <c r="F102" s="491">
        <v>-2637861.1330055231</v>
      </c>
      <c r="G102" s="491">
        <v>-3718574.6611885638</v>
      </c>
      <c r="H102" s="492">
        <v>-3271224.1096960381</v>
      </c>
    </row>
    <row r="103" spans="2:8" ht="15.5" x14ac:dyDescent="0.35">
      <c r="B103" s="498"/>
      <c r="C103" s="490">
        <v>-0.01</v>
      </c>
      <c r="D103" s="491">
        <v>4172266.3997589666</v>
      </c>
      <c r="E103" s="491">
        <v>69617.866891243495</v>
      </c>
      <c r="F103" s="491">
        <v>-2496851.5178617733</v>
      </c>
      <c r="G103" s="491">
        <v>-3375765.4472017772</v>
      </c>
      <c r="H103" s="492">
        <v>-2594690.0437842738</v>
      </c>
    </row>
    <row r="104" spans="2:8" ht="15.5" x14ac:dyDescent="0.35">
      <c r="B104" s="498"/>
      <c r="C104" s="490">
        <v>0</v>
      </c>
      <c r="D104" s="491">
        <v>4175603.0779266786</v>
      </c>
      <c r="E104" s="491">
        <v>108800.24096041499</v>
      </c>
      <c r="F104" s="491">
        <v>-2354168.0760070002</v>
      </c>
      <c r="G104" s="491">
        <v>-3027129.3592753639</v>
      </c>
      <c r="H104" s="492">
        <v>-1903200.1844779716</v>
      </c>
    </row>
    <row r="105" spans="2:8" ht="15.5" x14ac:dyDescent="0.35">
      <c r="B105" s="498"/>
      <c r="C105" s="490">
        <v>0.01</v>
      </c>
      <c r="D105" s="491">
        <v>4178942.2289635269</v>
      </c>
      <c r="E105" s="491">
        <v>148243.46445554402</v>
      </c>
      <c r="F105" s="491">
        <v>-2209789.7247504387</v>
      </c>
      <c r="G105" s="491">
        <v>-2672556.6749981237</v>
      </c>
      <c r="H105" s="492">
        <v>-1196380.16213134</v>
      </c>
    </row>
    <row r="106" spans="2:8" ht="15.5" x14ac:dyDescent="0.35">
      <c r="B106" s="498"/>
      <c r="C106" s="490">
        <v>0.02</v>
      </c>
      <c r="D106" s="491">
        <v>4182283.8389400169</v>
      </c>
      <c r="E106" s="491">
        <v>187949.14507131092</v>
      </c>
      <c r="F106" s="491">
        <v>-2063695.1266981987</v>
      </c>
      <c r="G106" s="491">
        <v>-2311935.5753939273</v>
      </c>
      <c r="H106" s="492">
        <v>-473845.85317918332</v>
      </c>
    </row>
    <row r="107" spans="2:8" ht="15.5" x14ac:dyDescent="0.35">
      <c r="B107" s="498"/>
      <c r="C107" s="490">
        <v>0.03</v>
      </c>
      <c r="D107" s="491">
        <v>4185627.8938802946</v>
      </c>
      <c r="E107" s="491">
        <v>227918.89779319987</v>
      </c>
      <c r="F107" s="491">
        <v>-1915862.6869993214</v>
      </c>
      <c r="G107" s="491">
        <v>-1945152.1061768334</v>
      </c>
      <c r="H107" s="492">
        <v>264796.87324628164</v>
      </c>
    </row>
    <row r="108" spans="2:8" ht="15.5" x14ac:dyDescent="0.35">
      <c r="B108" s="498"/>
      <c r="C108" s="490">
        <v>0.04</v>
      </c>
      <c r="D108" s="491">
        <v>4188974.3797621522</v>
      </c>
      <c r="E108" s="491">
        <v>268154.34490945935</v>
      </c>
      <c r="F108" s="491">
        <v>-1766270.5505673266</v>
      </c>
      <c r="G108" s="491">
        <v>-1572090.1383376606</v>
      </c>
      <c r="H108" s="492">
        <v>1019952.4150844938</v>
      </c>
    </row>
    <row r="109" spans="2:8" ht="15.5" x14ac:dyDescent="0.35">
      <c r="B109" s="498"/>
      <c r="C109" s="490">
        <v>0.05</v>
      </c>
      <c r="D109" s="491">
        <v>4192323.2825170234</v>
      </c>
      <c r="E109" s="491">
        <v>308657.11602301896</v>
      </c>
      <c r="F109" s="491">
        <v>-1614896.599276671</v>
      </c>
      <c r="G109" s="491">
        <v>-1192631.3280508972</v>
      </c>
      <c r="H109" s="492">
        <v>1792035.7036557987</v>
      </c>
    </row>
    <row r="110" spans="2:8" ht="15.5" x14ac:dyDescent="0.35">
      <c r="B110" s="498"/>
      <c r="C110" s="490">
        <v>0.06</v>
      </c>
      <c r="D110" s="491">
        <v>4195674.5880299844</v>
      </c>
      <c r="E110" s="491">
        <v>349428.84806316998</v>
      </c>
      <c r="F110" s="491">
        <v>-1461718.4491345529</v>
      </c>
      <c r="G110" s="491">
        <v>-806655.07589231944</v>
      </c>
      <c r="H110" s="492">
        <v>2581472.4766655541</v>
      </c>
    </row>
    <row r="111" spans="2:8" ht="15.5" x14ac:dyDescent="0.35">
      <c r="B111" s="498"/>
      <c r="C111" s="490">
        <v>7.0000000000000007E-2</v>
      </c>
      <c r="D111" s="491">
        <v>4199028.2821397586</v>
      </c>
      <c r="E111" s="491">
        <v>390471.18529722281</v>
      </c>
      <c r="F111" s="491">
        <v>-1306713.4474273529</v>
      </c>
      <c r="G111" s="491">
        <v>-414038.48535578116</v>
      </c>
      <c r="H111" s="492">
        <v>3388699.5580642959</v>
      </c>
    </row>
    <row r="112" spans="2:8" ht="15.5" x14ac:dyDescent="0.35">
      <c r="B112" s="498"/>
      <c r="C112" s="490">
        <v>0.08</v>
      </c>
      <c r="D112" s="491">
        <v>4202384.350638709</v>
      </c>
      <c r="E112" s="491">
        <v>431785.77934197243</v>
      </c>
      <c r="F112" s="491">
        <v>-1149858.6698419228</v>
      </c>
      <c r="G112" s="491">
        <v>-14656.320658834884</v>
      </c>
      <c r="H112" s="492">
        <v>4214165.1449267622</v>
      </c>
    </row>
    <row r="113" spans="2:8" ht="15.5" x14ac:dyDescent="0.35">
      <c r="B113" s="498"/>
      <c r="C113" s="490">
        <v>0.09</v>
      </c>
      <c r="D113" s="491">
        <v>4205742.7792728441</v>
      </c>
      <c r="E113" s="491">
        <v>473374.28917506197</v>
      </c>
      <c r="F113" s="491">
        <v>-991130.91756131942</v>
      </c>
      <c r="G113" s="491">
        <v>391619.03617436485</v>
      </c>
      <c r="H113" s="492">
        <v>5058329.1015176494</v>
      </c>
    </row>
    <row r="114" spans="2:8" ht="16" thickBot="1" x14ac:dyDescent="0.4">
      <c r="B114" s="499"/>
      <c r="C114" s="493">
        <v>0.1</v>
      </c>
      <c r="D114" s="494">
        <v>4209103.5537418164</v>
      </c>
      <c r="E114" s="494">
        <v>515238.38114621304</v>
      </c>
      <c r="F114" s="494">
        <v>-830506.71433502622</v>
      </c>
      <c r="G114" s="494">
        <v>804917.62896332587</v>
      </c>
      <c r="H114" s="495">
        <v>5921663.2607136378</v>
      </c>
    </row>
  </sheetData>
  <mergeCells count="2">
    <mergeCell ref="B97:B114"/>
    <mergeCell ref="B76:B93"/>
  </mergeCells>
  <printOptions horizontalCentered="1" verticalCentered="1"/>
  <pageMargins left="0.25" right="0.25" top="0.25" bottom="0.25" header="0" footer="0"/>
  <pageSetup scale="54" fitToWidth="0" fitToHeight="2" orientation="portrait" r:id="rId1"/>
  <rowBreaks count="1" manualBreakCount="1">
    <brk id="70" max="16383" man="1"/>
  </rowBreaks>
  <colBreaks count="1" manualBreakCount="1">
    <brk id="10" max="1048575" man="1"/>
  </colBreaks>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ControlSheet!$H$2:$I$2</xm:f>
          </x14:formula1>
          <xm:sqref>C37</xm:sqref>
        </x14:dataValidation>
        <x14:dataValidation type="list" allowBlank="1" showInputMessage="1" showErrorMessage="1">
          <x14:formula1>
            <xm:f>ControlSheet!$G$3:$G$4</xm:f>
          </x14:formula1>
          <xm:sqref>C38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2:Q156"/>
  <sheetViews>
    <sheetView showGridLines="0" topLeftCell="B1" workbookViewId="0">
      <selection activeCell="D4" sqref="D4"/>
    </sheetView>
  </sheetViews>
  <sheetFormatPr defaultColWidth="8.90625" defaultRowHeight="10.5" x14ac:dyDescent="0.25"/>
  <cols>
    <col min="1" max="1" width="2.08984375" style="1" customWidth="1"/>
    <col min="2" max="2" width="36.90625" style="1" bestFit="1" customWidth="1"/>
    <col min="3" max="3" width="9.81640625" style="1" customWidth="1"/>
    <col min="4" max="4" width="10.6328125" style="1" bestFit="1" customWidth="1"/>
    <col min="5" max="7" width="9.81640625" style="1" customWidth="1"/>
    <col min="8" max="8" width="1.54296875" style="1" customWidth="1"/>
    <col min="9" max="14" width="11.1796875" style="1" customWidth="1"/>
    <col min="15" max="15" width="14" style="1" customWidth="1"/>
    <col min="16" max="16" width="11.1796875" style="1" customWidth="1"/>
    <col min="17" max="16384" width="8.90625" style="1"/>
  </cols>
  <sheetData>
    <row r="2" spans="2:16" ht="15.5" x14ac:dyDescent="0.35">
      <c r="B2" s="91" t="s">
        <v>92</v>
      </c>
      <c r="C2" s="92">
        <v>2</v>
      </c>
      <c r="I2" s="98" t="s">
        <v>100</v>
      </c>
      <c r="J2" s="99"/>
      <c r="K2" s="99"/>
      <c r="L2" s="99"/>
      <c r="M2" s="99"/>
      <c r="N2" s="99"/>
      <c r="O2" s="99"/>
      <c r="P2" s="100"/>
    </row>
    <row r="3" spans="2:16" x14ac:dyDescent="0.25">
      <c r="B3" s="91" t="s">
        <v>93</v>
      </c>
      <c r="C3" s="92">
        <v>2</v>
      </c>
      <c r="I3" s="95" t="s">
        <v>113</v>
      </c>
      <c r="J3" s="96"/>
      <c r="K3" s="96"/>
      <c r="L3" s="96"/>
      <c r="M3" s="96"/>
      <c r="N3" s="96"/>
      <c r="O3" s="96"/>
      <c r="P3" s="97"/>
    </row>
    <row r="4" spans="2:16" x14ac:dyDescent="0.25">
      <c r="B4" s="91" t="s">
        <v>104</v>
      </c>
      <c r="C4" s="93">
        <f>Memo!C77</f>
        <v>0.03</v>
      </c>
      <c r="I4" s="90" t="s">
        <v>105</v>
      </c>
      <c r="J4" s="87"/>
      <c r="K4" s="87"/>
      <c r="L4" s="87"/>
      <c r="M4" s="87"/>
      <c r="N4" s="87"/>
      <c r="O4" s="87"/>
      <c r="P4" s="88" t="s">
        <v>206</v>
      </c>
    </row>
    <row r="5" spans="2:16" x14ac:dyDescent="0.25">
      <c r="B5" s="91" t="s">
        <v>142</v>
      </c>
      <c r="C5" s="101">
        <v>1250000</v>
      </c>
      <c r="I5" s="86" t="s">
        <v>101</v>
      </c>
      <c r="J5" s="87"/>
      <c r="K5" s="87"/>
      <c r="L5" s="87"/>
      <c r="M5" s="87"/>
      <c r="N5" s="87"/>
      <c r="O5" s="87"/>
      <c r="P5" s="88" t="s">
        <v>206</v>
      </c>
    </row>
    <row r="6" spans="2:16" x14ac:dyDescent="0.25">
      <c r="B6" s="91" t="s">
        <v>245</v>
      </c>
      <c r="C6" s="93">
        <v>0.15</v>
      </c>
      <c r="I6" s="86"/>
      <c r="J6" s="87"/>
      <c r="K6" s="87"/>
      <c r="L6" s="87"/>
      <c r="M6" s="87"/>
      <c r="N6" s="87"/>
      <c r="O6" s="87"/>
      <c r="P6" s="88"/>
    </row>
    <row r="7" spans="2:16" x14ac:dyDescent="0.25">
      <c r="I7" s="86" t="s">
        <v>102</v>
      </c>
      <c r="J7" s="87"/>
      <c r="K7" s="87"/>
      <c r="L7" s="87"/>
      <c r="M7" s="87"/>
      <c r="N7" s="87"/>
      <c r="O7" s="87"/>
      <c r="P7" s="88" t="s">
        <v>206</v>
      </c>
    </row>
    <row r="8" spans="2:16" ht="13.5" x14ac:dyDescent="0.25">
      <c r="B8" s="2" t="s">
        <v>96</v>
      </c>
      <c r="I8" s="86" t="s">
        <v>103</v>
      </c>
      <c r="J8" s="87"/>
      <c r="K8" s="87"/>
      <c r="L8" s="87"/>
      <c r="M8" s="87"/>
      <c r="N8" s="87"/>
      <c r="O8" s="89"/>
      <c r="P8" s="88" t="s">
        <v>206</v>
      </c>
    </row>
    <row r="9" spans="2:16" ht="21" x14ac:dyDescent="0.55000000000000004">
      <c r="B9" s="38" t="s">
        <v>87</v>
      </c>
      <c r="C9" s="39" t="s">
        <v>98</v>
      </c>
      <c r="D9" s="40" t="s">
        <v>88</v>
      </c>
      <c r="I9" s="79"/>
      <c r="J9" s="80"/>
      <c r="K9" s="80"/>
      <c r="L9" s="80"/>
      <c r="M9" s="80"/>
      <c r="N9" s="80"/>
      <c r="O9" s="82"/>
      <c r="P9" s="81"/>
    </row>
    <row r="10" spans="2:16" ht="13.5" x14ac:dyDescent="0.55000000000000004">
      <c r="B10" s="41" t="s">
        <v>82</v>
      </c>
      <c r="C10" s="42">
        <v>22100</v>
      </c>
      <c r="D10" s="43">
        <v>0.02</v>
      </c>
      <c r="F10" s="3"/>
      <c r="I10" s="94" t="s">
        <v>106</v>
      </c>
      <c r="J10" s="80"/>
      <c r="K10" s="80"/>
      <c r="L10" s="80"/>
      <c r="M10" s="80"/>
      <c r="N10" s="80"/>
      <c r="O10" s="82"/>
      <c r="P10" s="81" t="s">
        <v>206</v>
      </c>
    </row>
    <row r="11" spans="2:16" ht="13.5" x14ac:dyDescent="0.55000000000000004">
      <c r="B11" s="41" t="s">
        <v>83</v>
      </c>
      <c r="C11" s="42">
        <v>33700</v>
      </c>
      <c r="D11" s="43">
        <v>0.03</v>
      </c>
      <c r="F11" s="3"/>
      <c r="I11" s="79" t="s">
        <v>107</v>
      </c>
      <c r="J11" s="80"/>
      <c r="K11" s="80"/>
      <c r="L11" s="80"/>
      <c r="M11" s="80"/>
      <c r="N11" s="80"/>
      <c r="O11" s="80"/>
      <c r="P11" s="81" t="s">
        <v>206</v>
      </c>
    </row>
    <row r="12" spans="2:16" ht="13.5" x14ac:dyDescent="0.55000000000000004">
      <c r="B12" s="41" t="s">
        <v>84</v>
      </c>
      <c r="C12" s="42">
        <v>47100</v>
      </c>
      <c r="D12" s="43">
        <v>0.04</v>
      </c>
      <c r="F12" s="3"/>
      <c r="I12" s="79" t="s">
        <v>108</v>
      </c>
      <c r="J12" s="80"/>
      <c r="K12" s="80"/>
      <c r="L12" s="80"/>
      <c r="M12" s="80"/>
      <c r="N12" s="80"/>
      <c r="O12" s="82"/>
      <c r="P12" s="81" t="s">
        <v>206</v>
      </c>
    </row>
    <row r="13" spans="2:16" ht="13.5" x14ac:dyDescent="0.55000000000000004">
      <c r="B13" s="41" t="s">
        <v>85</v>
      </c>
      <c r="C13" s="42">
        <v>67920</v>
      </c>
      <c r="D13" s="43">
        <v>1.2E-2</v>
      </c>
      <c r="I13" s="79"/>
      <c r="J13" s="80"/>
      <c r="K13" s="80"/>
      <c r="L13" s="80"/>
      <c r="M13" s="80"/>
      <c r="N13" s="80"/>
      <c r="O13" s="82"/>
      <c r="P13" s="81"/>
    </row>
    <row r="14" spans="2:16" x14ac:dyDescent="0.25">
      <c r="B14" s="44" t="s">
        <v>86</v>
      </c>
      <c r="C14" s="45">
        <v>43298</v>
      </c>
      <c r="D14" s="46">
        <v>2.5000000000000001E-2</v>
      </c>
      <c r="I14" s="94" t="s">
        <v>109</v>
      </c>
      <c r="J14" s="80"/>
      <c r="K14" s="80"/>
      <c r="L14" s="80"/>
      <c r="M14" s="80"/>
      <c r="N14" s="80"/>
      <c r="O14" s="80"/>
      <c r="P14" s="81" t="s">
        <v>206</v>
      </c>
    </row>
    <row r="15" spans="2:16" x14ac:dyDescent="0.25">
      <c r="I15" s="79" t="s">
        <v>110</v>
      </c>
      <c r="J15" s="80"/>
      <c r="K15" s="80"/>
      <c r="L15" s="80"/>
      <c r="M15" s="80"/>
      <c r="N15" s="80"/>
      <c r="O15" s="80"/>
      <c r="P15" s="81" t="s">
        <v>206</v>
      </c>
    </row>
    <row r="16" spans="2:16" x14ac:dyDescent="0.25">
      <c r="B16" s="2" t="s">
        <v>97</v>
      </c>
      <c r="I16" s="79" t="s">
        <v>111</v>
      </c>
      <c r="J16" s="80"/>
      <c r="K16" s="80"/>
      <c r="L16" s="80"/>
      <c r="M16" s="80"/>
      <c r="N16" s="80"/>
      <c r="O16" s="80"/>
      <c r="P16" s="81" t="s">
        <v>206</v>
      </c>
    </row>
    <row r="17" spans="2:17" ht="13.5" x14ac:dyDescent="0.55000000000000004">
      <c r="B17" s="47"/>
      <c r="C17" s="48" t="s">
        <v>6</v>
      </c>
      <c r="D17" s="48" t="s">
        <v>7</v>
      </c>
      <c r="E17" s="48" t="s">
        <v>8</v>
      </c>
      <c r="F17" s="48" t="s">
        <v>9</v>
      </c>
      <c r="G17" s="49" t="s">
        <v>10</v>
      </c>
      <c r="I17" s="79" t="s">
        <v>112</v>
      </c>
      <c r="J17" s="80"/>
      <c r="K17" s="80"/>
      <c r="L17" s="80"/>
      <c r="M17" s="80"/>
      <c r="N17" s="80"/>
      <c r="O17" s="80"/>
      <c r="P17" s="81" t="s">
        <v>206</v>
      </c>
    </row>
    <row r="18" spans="2:17" x14ac:dyDescent="0.25">
      <c r="B18" s="50" t="s">
        <v>11</v>
      </c>
      <c r="C18" s="51">
        <v>1</v>
      </c>
      <c r="D18" s="51">
        <f>C18</f>
        <v>1</v>
      </c>
      <c r="E18" s="51">
        <f t="shared" ref="E18:G18" si="0">D18</f>
        <v>1</v>
      </c>
      <c r="F18" s="51">
        <f t="shared" si="0"/>
        <v>1</v>
      </c>
      <c r="G18" s="52">
        <f t="shared" si="0"/>
        <v>1</v>
      </c>
      <c r="I18" s="79"/>
      <c r="J18" s="80"/>
      <c r="K18" s="80"/>
      <c r="L18" s="80"/>
      <c r="M18" s="80"/>
      <c r="N18" s="80"/>
      <c r="O18" s="80"/>
      <c r="P18" s="81"/>
    </row>
    <row r="19" spans="2:17" x14ac:dyDescent="0.25">
      <c r="B19" s="50" t="s">
        <v>12</v>
      </c>
      <c r="C19" s="51">
        <v>2</v>
      </c>
      <c r="D19" s="51">
        <f t="shared" ref="D19:G19" si="1">C19</f>
        <v>2</v>
      </c>
      <c r="E19" s="51">
        <f t="shared" si="1"/>
        <v>2</v>
      </c>
      <c r="F19" s="51">
        <f t="shared" si="1"/>
        <v>2</v>
      </c>
      <c r="G19" s="52">
        <f t="shared" si="1"/>
        <v>2</v>
      </c>
      <c r="I19" s="95" t="s">
        <v>114</v>
      </c>
      <c r="J19" s="96"/>
      <c r="K19" s="96"/>
      <c r="L19" s="96"/>
      <c r="M19" s="96"/>
      <c r="N19" s="96"/>
      <c r="O19" s="96"/>
      <c r="P19" s="97"/>
    </row>
    <row r="20" spans="2:17" x14ac:dyDescent="0.25">
      <c r="B20" s="50" t="s">
        <v>13</v>
      </c>
      <c r="C20" s="51">
        <v>2</v>
      </c>
      <c r="D20" s="51">
        <f t="shared" ref="D20:G20" si="2">C20</f>
        <v>2</v>
      </c>
      <c r="E20" s="51">
        <f t="shared" si="2"/>
        <v>2</v>
      </c>
      <c r="F20" s="51">
        <f t="shared" si="2"/>
        <v>2</v>
      </c>
      <c r="G20" s="52">
        <f t="shared" si="2"/>
        <v>2</v>
      </c>
      <c r="I20" s="90" t="s">
        <v>115</v>
      </c>
      <c r="J20" s="87"/>
      <c r="K20" s="87"/>
      <c r="L20" s="87"/>
      <c r="M20" s="87"/>
      <c r="N20" s="87"/>
      <c r="O20" s="256"/>
      <c r="P20" s="88" t="s">
        <v>206</v>
      </c>
    </row>
    <row r="21" spans="2:17" x14ac:dyDescent="0.25">
      <c r="B21" s="53" t="s">
        <v>14</v>
      </c>
      <c r="C21" s="54">
        <v>1</v>
      </c>
      <c r="D21" s="54">
        <f t="shared" ref="D21:G21" si="3">C21</f>
        <v>1</v>
      </c>
      <c r="E21" s="54">
        <f t="shared" si="3"/>
        <v>1</v>
      </c>
      <c r="F21" s="54">
        <f t="shared" si="3"/>
        <v>1</v>
      </c>
      <c r="G21" s="55">
        <f t="shared" si="3"/>
        <v>1</v>
      </c>
      <c r="I21" s="86" t="s">
        <v>116</v>
      </c>
      <c r="J21" s="87"/>
      <c r="K21" s="87"/>
      <c r="L21" s="87"/>
      <c r="M21" s="87"/>
      <c r="N21" s="87"/>
      <c r="O21" s="87"/>
      <c r="P21" s="88" t="s">
        <v>206</v>
      </c>
    </row>
    <row r="22" spans="2:17" x14ac:dyDescent="0.25">
      <c r="B22" s="78" t="s">
        <v>99</v>
      </c>
      <c r="C22" s="76">
        <f>SUM(C18:C21)</f>
        <v>6</v>
      </c>
      <c r="D22" s="76">
        <f t="shared" ref="D22:G22" si="4">SUM(D18:D21)</f>
        <v>6</v>
      </c>
      <c r="E22" s="76">
        <f t="shared" si="4"/>
        <v>6</v>
      </c>
      <c r="F22" s="76">
        <f t="shared" si="4"/>
        <v>6</v>
      </c>
      <c r="G22" s="77">
        <f t="shared" si="4"/>
        <v>6</v>
      </c>
      <c r="I22" s="86" t="s">
        <v>117</v>
      </c>
      <c r="J22" s="87"/>
      <c r="K22" s="87"/>
      <c r="L22" s="87"/>
      <c r="M22" s="87"/>
      <c r="N22" s="87"/>
      <c r="O22" s="87"/>
      <c r="P22" s="88" t="s">
        <v>206</v>
      </c>
    </row>
    <row r="23" spans="2:17" ht="13.5" x14ac:dyDescent="0.25">
      <c r="I23" s="86"/>
      <c r="J23" s="87"/>
      <c r="K23" s="87"/>
      <c r="L23" s="87"/>
      <c r="M23" s="87"/>
      <c r="N23" s="87"/>
      <c r="O23" s="89"/>
      <c r="P23" s="88"/>
    </row>
    <row r="24" spans="2:17" ht="13.5" x14ac:dyDescent="0.55000000000000004">
      <c r="B24" s="2" t="s">
        <v>89</v>
      </c>
      <c r="I24" s="90" t="s">
        <v>118</v>
      </c>
      <c r="J24" s="80"/>
      <c r="K24" s="80"/>
      <c r="L24" s="80"/>
      <c r="M24" s="80"/>
      <c r="N24" s="80"/>
      <c r="O24" s="82"/>
      <c r="P24" s="81" t="s">
        <v>206</v>
      </c>
    </row>
    <row r="25" spans="2:17" ht="13.5" x14ac:dyDescent="0.55000000000000004">
      <c r="B25" s="4" t="s">
        <v>90</v>
      </c>
      <c r="I25" s="79" t="s">
        <v>119</v>
      </c>
      <c r="J25" s="80"/>
      <c r="K25" s="80"/>
      <c r="L25" s="80"/>
      <c r="M25" s="80"/>
      <c r="N25" s="80"/>
      <c r="O25" s="82"/>
      <c r="P25" s="81" t="s">
        <v>206</v>
      </c>
    </row>
    <row r="26" spans="2:17" x14ac:dyDescent="0.25">
      <c r="B26" s="5"/>
      <c r="C26" s="6" t="s">
        <v>62</v>
      </c>
      <c r="D26" s="6" t="s">
        <v>60</v>
      </c>
      <c r="E26" s="7" t="s">
        <v>61</v>
      </c>
      <c r="I26" s="79" t="s">
        <v>120</v>
      </c>
      <c r="J26" s="80"/>
      <c r="K26" s="80"/>
      <c r="L26" s="80"/>
      <c r="M26" s="80"/>
      <c r="N26" s="80"/>
      <c r="O26" s="80"/>
      <c r="P26" s="81" t="s">
        <v>206</v>
      </c>
    </row>
    <row r="27" spans="2:17" ht="13.5" x14ac:dyDescent="0.55000000000000004">
      <c r="B27" s="8" t="s">
        <v>78</v>
      </c>
      <c r="C27" s="10">
        <v>25000</v>
      </c>
      <c r="D27" s="10">
        <v>30000</v>
      </c>
      <c r="E27" s="11">
        <v>40000</v>
      </c>
      <c r="I27" s="79"/>
      <c r="J27" s="80"/>
      <c r="K27" s="80"/>
      <c r="L27" s="80"/>
      <c r="M27" s="80"/>
      <c r="N27" s="80"/>
      <c r="O27" s="82"/>
      <c r="P27" s="81"/>
    </row>
    <row r="28" spans="2:17" ht="13.5" x14ac:dyDescent="0.55000000000000004">
      <c r="B28" s="12" t="s">
        <v>15</v>
      </c>
      <c r="C28" s="36">
        <f>C27*52</f>
        <v>1300000</v>
      </c>
      <c r="D28" s="36">
        <f t="shared" ref="D28" si="5">D27*52</f>
        <v>1560000</v>
      </c>
      <c r="E28" s="37">
        <f t="shared" ref="E28" si="6">E27*52</f>
        <v>2080000</v>
      </c>
      <c r="I28" s="94" t="s">
        <v>121</v>
      </c>
      <c r="J28" s="80"/>
      <c r="K28" s="80"/>
      <c r="L28" s="80"/>
      <c r="M28" s="80"/>
      <c r="N28" s="80"/>
      <c r="O28" s="82"/>
      <c r="P28" s="81" t="s">
        <v>206</v>
      </c>
    </row>
    <row r="29" spans="2:17" x14ac:dyDescent="0.25">
      <c r="B29" s="13" t="s">
        <v>63</v>
      </c>
      <c r="C29" s="14">
        <v>0.4</v>
      </c>
      <c r="D29" s="14">
        <v>0.5</v>
      </c>
      <c r="E29" s="15">
        <v>0.1</v>
      </c>
      <c r="I29" s="79" t="s">
        <v>122</v>
      </c>
      <c r="J29" s="80"/>
      <c r="K29" s="80"/>
      <c r="L29" s="80"/>
      <c r="M29" s="80"/>
      <c r="N29" s="80"/>
      <c r="O29" s="80"/>
      <c r="P29" s="81" t="s">
        <v>206</v>
      </c>
    </row>
    <row r="30" spans="2:17" x14ac:dyDescent="0.25">
      <c r="I30" s="79"/>
      <c r="J30" s="80"/>
      <c r="K30" s="80"/>
      <c r="L30" s="80"/>
      <c r="M30" s="80"/>
      <c r="N30" s="80"/>
      <c r="O30" s="80"/>
      <c r="P30" s="81"/>
    </row>
    <row r="31" spans="2:17" x14ac:dyDescent="0.25">
      <c r="B31" s="4" t="s">
        <v>91</v>
      </c>
      <c r="I31" s="94" t="s">
        <v>123</v>
      </c>
      <c r="J31" s="80"/>
      <c r="K31" s="80"/>
      <c r="L31" s="80"/>
      <c r="M31" s="80"/>
      <c r="N31" s="80"/>
      <c r="O31" s="80"/>
      <c r="P31" s="81"/>
      <c r="Q31" s="1" t="s">
        <v>206</v>
      </c>
    </row>
    <row r="32" spans="2:17" x14ac:dyDescent="0.25">
      <c r="B32" s="5"/>
      <c r="C32" s="6" t="s">
        <v>62</v>
      </c>
      <c r="D32" s="6" t="s">
        <v>60</v>
      </c>
      <c r="E32" s="7" t="s">
        <v>61</v>
      </c>
      <c r="I32" s="79" t="s">
        <v>124</v>
      </c>
      <c r="J32" s="80"/>
      <c r="K32" s="80"/>
      <c r="L32" s="80"/>
      <c r="M32" s="80"/>
      <c r="N32" s="80"/>
      <c r="O32" s="80"/>
      <c r="P32" s="81"/>
      <c r="Q32" s="1" t="s">
        <v>206</v>
      </c>
    </row>
    <row r="33" spans="2:17" x14ac:dyDescent="0.25">
      <c r="B33" s="8" t="s">
        <v>78</v>
      </c>
      <c r="C33" s="10">
        <f>C27+2500</f>
        <v>27500</v>
      </c>
      <c r="D33" s="10">
        <f>D27+2500</f>
        <v>32500</v>
      </c>
      <c r="E33" s="11">
        <f>E27+2500</f>
        <v>42500</v>
      </c>
      <c r="I33" s="79"/>
      <c r="J33" s="80"/>
      <c r="K33" s="80"/>
      <c r="L33" s="80"/>
      <c r="M33" s="80"/>
      <c r="N33" s="80"/>
      <c r="O33" s="80"/>
      <c r="P33" s="81"/>
    </row>
    <row r="34" spans="2:17" x14ac:dyDescent="0.25">
      <c r="B34" s="12" t="s">
        <v>15</v>
      </c>
      <c r="C34" s="36">
        <f>C33*52</f>
        <v>1430000</v>
      </c>
      <c r="D34" s="36">
        <f t="shared" ref="D34:E34" si="7">D33*52</f>
        <v>1690000</v>
      </c>
      <c r="E34" s="37">
        <f t="shared" si="7"/>
        <v>2210000</v>
      </c>
      <c r="I34" s="83"/>
      <c r="J34" s="84"/>
      <c r="K34" s="84"/>
      <c r="L34" s="84"/>
      <c r="M34" s="84"/>
      <c r="N34" s="84"/>
      <c r="O34" s="84"/>
      <c r="P34" s="85"/>
    </row>
    <row r="35" spans="2:17" x14ac:dyDescent="0.25">
      <c r="B35" s="13" t="s">
        <v>63</v>
      </c>
      <c r="C35" s="14">
        <v>0.3</v>
      </c>
      <c r="D35" s="14">
        <v>0.4</v>
      </c>
      <c r="E35" s="15">
        <v>0.3</v>
      </c>
      <c r="I35" s="95" t="s">
        <v>125</v>
      </c>
      <c r="J35" s="96"/>
      <c r="K35" s="96"/>
      <c r="L35" s="96"/>
      <c r="M35" s="96"/>
      <c r="N35" s="96"/>
      <c r="O35" s="96"/>
      <c r="P35" s="97"/>
    </row>
    <row r="36" spans="2:17" x14ac:dyDescent="0.25">
      <c r="I36" s="90" t="s">
        <v>126</v>
      </c>
      <c r="J36" s="87"/>
      <c r="K36" s="87"/>
      <c r="L36" s="87"/>
      <c r="M36" s="87"/>
      <c r="N36" s="87"/>
      <c r="O36" s="87"/>
      <c r="P36" s="88"/>
      <c r="Q36" s="1" t="s">
        <v>206</v>
      </c>
    </row>
    <row r="37" spans="2:17" x14ac:dyDescent="0.25">
      <c r="B37" s="2" t="s">
        <v>94</v>
      </c>
      <c r="C37" s="16"/>
      <c r="D37" s="17"/>
      <c r="E37" s="16"/>
      <c r="F37" s="16"/>
      <c r="G37" s="16"/>
      <c r="I37" s="86"/>
      <c r="J37" s="87"/>
      <c r="K37" s="87"/>
      <c r="L37" s="87"/>
      <c r="M37" s="87"/>
      <c r="N37" s="87"/>
      <c r="O37" s="87"/>
      <c r="P37" s="88"/>
    </row>
    <row r="38" spans="2:17" x14ac:dyDescent="0.25">
      <c r="C38" s="4" t="s">
        <v>90</v>
      </c>
      <c r="D38" s="4" t="s">
        <v>91</v>
      </c>
      <c r="E38" s="4" t="s">
        <v>95</v>
      </c>
      <c r="H38" s="16"/>
      <c r="I38" s="95" t="s">
        <v>127</v>
      </c>
      <c r="J38" s="96"/>
      <c r="K38" s="96"/>
      <c r="L38" s="96"/>
      <c r="M38" s="96"/>
      <c r="N38" s="96"/>
      <c r="O38" s="96"/>
      <c r="P38" s="97"/>
    </row>
    <row r="39" spans="2:17" x14ac:dyDescent="0.25">
      <c r="B39" s="5" t="s">
        <v>65</v>
      </c>
      <c r="C39" s="18">
        <v>75000</v>
      </c>
      <c r="D39" s="18">
        <v>80000</v>
      </c>
      <c r="E39" s="19">
        <v>85000</v>
      </c>
      <c r="H39" s="16"/>
      <c r="I39" s="90" t="s">
        <v>128</v>
      </c>
      <c r="J39" s="87"/>
      <c r="K39" s="87"/>
      <c r="L39" s="87"/>
      <c r="M39" s="87"/>
      <c r="N39" s="87"/>
      <c r="O39" s="87"/>
      <c r="P39" s="88" t="s">
        <v>206</v>
      </c>
    </row>
    <row r="40" spans="2:17" x14ac:dyDescent="0.25">
      <c r="B40" s="8" t="s">
        <v>64</v>
      </c>
      <c r="C40" s="20">
        <v>0.1</v>
      </c>
      <c r="D40" s="20">
        <v>0.1</v>
      </c>
      <c r="E40" s="21">
        <v>0.1</v>
      </c>
      <c r="H40" s="16"/>
      <c r="I40" s="86" t="s">
        <v>129</v>
      </c>
      <c r="J40" s="87"/>
      <c r="K40" s="87"/>
      <c r="L40" s="87"/>
      <c r="M40" s="87"/>
      <c r="N40" s="87"/>
      <c r="O40" s="87"/>
      <c r="P40" s="88" t="s">
        <v>206</v>
      </c>
    </row>
    <row r="41" spans="2:17" x14ac:dyDescent="0.25">
      <c r="B41" s="8" t="s">
        <v>66</v>
      </c>
      <c r="C41" s="22">
        <f>C39*(1+C40)</f>
        <v>82500</v>
      </c>
      <c r="D41" s="22">
        <f>D39*(1+D40)</f>
        <v>88000</v>
      </c>
      <c r="E41" s="23">
        <f>E39*(1+E40)</f>
        <v>93500.000000000015</v>
      </c>
      <c r="H41" s="16"/>
      <c r="I41" s="86" t="s">
        <v>130</v>
      </c>
      <c r="J41" s="87"/>
      <c r="K41" s="87"/>
      <c r="L41" s="87"/>
      <c r="M41" s="87"/>
      <c r="N41" s="87"/>
      <c r="O41" s="87"/>
      <c r="P41" s="88" t="s">
        <v>206</v>
      </c>
    </row>
    <row r="42" spans="2:17" ht="13.5" x14ac:dyDescent="0.25">
      <c r="B42" s="8" t="s">
        <v>67</v>
      </c>
      <c r="C42" s="9">
        <v>650</v>
      </c>
      <c r="D42" s="24">
        <v>640</v>
      </c>
      <c r="E42" s="25">
        <v>630</v>
      </c>
      <c r="I42" s="86" t="s">
        <v>131</v>
      </c>
      <c r="J42" s="87"/>
      <c r="K42" s="87"/>
      <c r="L42" s="87"/>
      <c r="M42" s="87"/>
      <c r="N42" s="87"/>
      <c r="O42" s="89"/>
      <c r="P42" s="88" t="s">
        <v>206</v>
      </c>
    </row>
    <row r="43" spans="2:17" ht="13.5" x14ac:dyDescent="0.55000000000000004">
      <c r="B43" s="8" t="s">
        <v>68</v>
      </c>
      <c r="C43" s="26">
        <v>12</v>
      </c>
      <c r="D43" s="27">
        <v>12.2</v>
      </c>
      <c r="E43" s="28">
        <v>12.4</v>
      </c>
      <c r="I43" s="86" t="s">
        <v>132</v>
      </c>
      <c r="J43" s="80"/>
      <c r="K43" s="80"/>
      <c r="L43" s="80"/>
      <c r="M43" s="80"/>
      <c r="N43" s="80"/>
      <c r="O43" s="82"/>
      <c r="P43" s="81" t="s">
        <v>206</v>
      </c>
    </row>
    <row r="44" spans="2:17" ht="13.5" x14ac:dyDescent="0.55000000000000004">
      <c r="B44" s="8" t="s">
        <v>1</v>
      </c>
      <c r="C44" s="29">
        <v>7.6999999999999999E-2</v>
      </c>
      <c r="D44" s="29">
        <v>7.6999999999999999E-2</v>
      </c>
      <c r="E44" s="30">
        <v>7.6999999999999999E-2</v>
      </c>
      <c r="I44" s="79" t="s">
        <v>133</v>
      </c>
      <c r="J44" s="80"/>
      <c r="K44" s="80"/>
      <c r="L44" s="80"/>
      <c r="M44" s="80"/>
      <c r="N44" s="80"/>
      <c r="O44" s="82"/>
      <c r="P44" s="81" t="s">
        <v>206</v>
      </c>
    </row>
    <row r="45" spans="2:17" x14ac:dyDescent="0.25">
      <c r="B45" s="8" t="s">
        <v>0</v>
      </c>
      <c r="C45" s="10">
        <v>23000</v>
      </c>
      <c r="D45" s="10">
        <v>23000</v>
      </c>
      <c r="E45" s="11">
        <v>23000</v>
      </c>
      <c r="I45" s="79" t="s">
        <v>134</v>
      </c>
      <c r="J45" s="80"/>
      <c r="K45" s="80"/>
      <c r="L45" s="80"/>
      <c r="M45" s="80"/>
      <c r="N45" s="80"/>
      <c r="O45" s="80"/>
      <c r="P45" s="81" t="s">
        <v>206</v>
      </c>
    </row>
    <row r="46" spans="2:17" x14ac:dyDescent="0.25">
      <c r="B46" s="8" t="s">
        <v>2</v>
      </c>
      <c r="C46" s="29">
        <v>2.2499999999999999E-2</v>
      </c>
      <c r="D46" s="29">
        <v>2.2499999999999999E-2</v>
      </c>
      <c r="E46" s="30">
        <v>2.2499999999999999E-2</v>
      </c>
      <c r="I46" s="83"/>
      <c r="J46" s="84"/>
      <c r="K46" s="84"/>
      <c r="L46" s="84"/>
      <c r="M46" s="84"/>
      <c r="N46" s="84"/>
      <c r="O46" s="84"/>
      <c r="P46" s="85"/>
    </row>
    <row r="47" spans="2:17" x14ac:dyDescent="0.25">
      <c r="B47" s="8" t="s">
        <v>3</v>
      </c>
      <c r="C47" s="29">
        <v>2.2499999999999999E-2</v>
      </c>
      <c r="D47" s="29">
        <v>2.2499999999999999E-2</v>
      </c>
      <c r="E47" s="30">
        <v>2.2499999999999999E-2</v>
      </c>
      <c r="I47" s="95" t="s">
        <v>135</v>
      </c>
      <c r="J47" s="96"/>
      <c r="K47" s="96"/>
      <c r="L47" s="96"/>
      <c r="M47" s="96"/>
      <c r="N47" s="96"/>
      <c r="O47" s="96"/>
      <c r="P47" s="97"/>
    </row>
    <row r="48" spans="2:17" x14ac:dyDescent="0.25">
      <c r="B48" s="8" t="s">
        <v>16</v>
      </c>
      <c r="C48" s="29">
        <v>2.2499999999999999E-2</v>
      </c>
      <c r="D48" s="29">
        <v>2.2499999999999999E-2</v>
      </c>
      <c r="E48" s="30">
        <v>2.2499999999999999E-2</v>
      </c>
      <c r="I48" s="90" t="s">
        <v>136</v>
      </c>
      <c r="J48" s="87"/>
      <c r="K48" s="87"/>
      <c r="L48" s="87"/>
      <c r="M48" s="87"/>
      <c r="N48" s="87"/>
      <c r="O48" s="87"/>
      <c r="P48" s="88" t="s">
        <v>206</v>
      </c>
    </row>
    <row r="49" spans="2:16" x14ac:dyDescent="0.25">
      <c r="B49" s="8" t="s">
        <v>4</v>
      </c>
      <c r="C49" s="29">
        <v>4.4999999999999998E-2</v>
      </c>
      <c r="D49" s="29">
        <v>4.4999999999999998E-2</v>
      </c>
      <c r="E49" s="30">
        <v>4.4999999999999998E-2</v>
      </c>
      <c r="I49" s="86" t="s">
        <v>137</v>
      </c>
      <c r="J49" s="87"/>
      <c r="K49" s="87"/>
      <c r="L49" s="87"/>
      <c r="M49" s="87"/>
      <c r="N49" s="87"/>
      <c r="O49" s="87"/>
      <c r="P49" s="88" t="s">
        <v>206</v>
      </c>
    </row>
    <row r="50" spans="2:16" x14ac:dyDescent="0.25">
      <c r="B50" s="8" t="s">
        <v>71</v>
      </c>
      <c r="C50" s="29">
        <v>0.26</v>
      </c>
      <c r="D50" s="29">
        <v>0.26</v>
      </c>
      <c r="E50" s="30">
        <v>0.26</v>
      </c>
      <c r="I50" s="86" t="s">
        <v>138</v>
      </c>
      <c r="J50" s="87"/>
      <c r="K50" s="87"/>
      <c r="L50" s="87"/>
      <c r="M50" s="87"/>
      <c r="N50" s="87"/>
      <c r="O50" s="87"/>
      <c r="P50" s="88" t="s">
        <v>206</v>
      </c>
    </row>
    <row r="51" spans="2:16" ht="13.5" x14ac:dyDescent="0.25">
      <c r="B51" s="8" t="s">
        <v>72</v>
      </c>
      <c r="C51" s="29">
        <v>0.03</v>
      </c>
      <c r="D51" s="29">
        <v>0.03</v>
      </c>
      <c r="E51" s="30">
        <v>0.03</v>
      </c>
      <c r="I51" s="86" t="s">
        <v>139</v>
      </c>
      <c r="J51" s="87"/>
      <c r="K51" s="87"/>
      <c r="L51" s="87"/>
      <c r="M51" s="87"/>
      <c r="N51" s="87"/>
      <c r="O51" s="89"/>
      <c r="P51" s="88" t="s">
        <v>206</v>
      </c>
    </row>
    <row r="52" spans="2:16" ht="13.5" x14ac:dyDescent="0.55000000000000004">
      <c r="B52" s="8" t="s">
        <v>73</v>
      </c>
      <c r="C52" s="29">
        <v>1.4999999999999999E-2</v>
      </c>
      <c r="D52" s="29">
        <v>1.4999999999999999E-2</v>
      </c>
      <c r="E52" s="30">
        <v>1.4999999999999999E-2</v>
      </c>
      <c r="I52" s="86" t="s">
        <v>140</v>
      </c>
      <c r="J52" s="80"/>
      <c r="K52" s="80"/>
      <c r="L52" s="80"/>
      <c r="M52" s="80"/>
      <c r="N52" s="80"/>
      <c r="O52" s="82"/>
      <c r="P52" s="81" t="s">
        <v>206</v>
      </c>
    </row>
    <row r="53" spans="2:16" ht="13.5" x14ac:dyDescent="0.55000000000000004">
      <c r="B53" s="8" t="s">
        <v>74</v>
      </c>
      <c r="C53" s="29">
        <v>0.02</v>
      </c>
      <c r="D53" s="29">
        <v>0.02</v>
      </c>
      <c r="E53" s="30">
        <v>0.02</v>
      </c>
      <c r="I53" s="79" t="s">
        <v>141</v>
      </c>
      <c r="J53" s="80"/>
      <c r="K53" s="80"/>
      <c r="L53" s="80"/>
      <c r="M53" s="80"/>
      <c r="N53" s="80"/>
      <c r="O53" s="82"/>
      <c r="P53" s="81" t="s">
        <v>206</v>
      </c>
    </row>
    <row r="54" spans="2:16" x14ac:dyDescent="0.25">
      <c r="B54" s="8" t="s">
        <v>75</v>
      </c>
      <c r="C54" s="29">
        <v>7.0000000000000001E-3</v>
      </c>
      <c r="D54" s="29">
        <v>7.0000000000000001E-3</v>
      </c>
      <c r="E54" s="30">
        <v>7.0000000000000001E-3</v>
      </c>
      <c r="H54" s="16"/>
      <c r="I54" s="83"/>
      <c r="J54" s="84"/>
      <c r="K54" s="84"/>
      <c r="L54" s="84"/>
      <c r="M54" s="84"/>
      <c r="N54" s="84"/>
      <c r="O54" s="84"/>
      <c r="P54" s="85"/>
    </row>
    <row r="55" spans="2:16" x14ac:dyDescent="0.25">
      <c r="B55" s="8" t="s">
        <v>76</v>
      </c>
      <c r="C55" s="10">
        <v>16000</v>
      </c>
      <c r="D55" s="10">
        <v>16000</v>
      </c>
      <c r="E55" s="11">
        <v>16000</v>
      </c>
      <c r="H55" s="16"/>
      <c r="I55" s="95" t="s">
        <v>143</v>
      </c>
      <c r="J55" s="96"/>
      <c r="K55" s="96"/>
      <c r="L55" s="96"/>
      <c r="M55" s="96"/>
      <c r="N55" s="96"/>
      <c r="O55" s="96"/>
      <c r="P55" s="97"/>
    </row>
    <row r="56" spans="2:16" x14ac:dyDescent="0.25">
      <c r="B56" s="8" t="s">
        <v>43</v>
      </c>
      <c r="C56" s="10">
        <v>83000</v>
      </c>
      <c r="D56" s="10">
        <v>83000</v>
      </c>
      <c r="E56" s="11">
        <v>83000</v>
      </c>
      <c r="H56" s="16"/>
      <c r="I56" s="90" t="s">
        <v>144</v>
      </c>
      <c r="J56" s="87"/>
      <c r="K56" s="87"/>
      <c r="L56" s="87"/>
      <c r="M56" s="87"/>
      <c r="N56" s="87"/>
      <c r="O56" s="87"/>
      <c r="P56" s="88" t="s">
        <v>206</v>
      </c>
    </row>
    <row r="57" spans="2:16" x14ac:dyDescent="0.25">
      <c r="B57" s="8" t="s">
        <v>42</v>
      </c>
      <c r="C57" s="10">
        <v>100000</v>
      </c>
      <c r="D57" s="10">
        <v>100000</v>
      </c>
      <c r="E57" s="11">
        <v>100000</v>
      </c>
      <c r="H57" s="16"/>
      <c r="I57" s="86" t="s">
        <v>145</v>
      </c>
      <c r="J57" s="87"/>
      <c r="K57" s="87"/>
      <c r="L57" s="87"/>
      <c r="M57" s="87"/>
      <c r="N57" s="87"/>
      <c r="O57" s="87"/>
      <c r="P57" s="88" t="s">
        <v>206</v>
      </c>
    </row>
    <row r="58" spans="2:16" x14ac:dyDescent="0.25">
      <c r="B58" s="13" t="s">
        <v>77</v>
      </c>
      <c r="C58" s="31">
        <v>30000</v>
      </c>
      <c r="D58" s="31">
        <v>30000</v>
      </c>
      <c r="E58" s="32">
        <v>30000</v>
      </c>
      <c r="H58" s="16"/>
      <c r="I58" s="86" t="s">
        <v>146</v>
      </c>
      <c r="J58" s="87"/>
      <c r="K58" s="87"/>
      <c r="L58" s="87"/>
      <c r="M58" s="87"/>
      <c r="N58" s="87"/>
      <c r="O58" s="87"/>
      <c r="P58" s="88" t="s">
        <v>206</v>
      </c>
    </row>
    <row r="59" spans="2:16" x14ac:dyDescent="0.25">
      <c r="H59" s="16"/>
      <c r="I59" s="83"/>
      <c r="J59" s="84"/>
      <c r="K59" s="84"/>
      <c r="L59" s="84"/>
      <c r="M59" s="84"/>
      <c r="N59" s="84"/>
      <c r="O59" s="84"/>
      <c r="P59" s="85"/>
    </row>
    <row r="60" spans="2:16" x14ac:dyDescent="0.25">
      <c r="B60" s="33" t="s">
        <v>66</v>
      </c>
      <c r="C60" s="34" t="s">
        <v>80</v>
      </c>
      <c r="I60" s="95" t="s">
        <v>165</v>
      </c>
      <c r="J60" s="96"/>
      <c r="K60" s="96"/>
      <c r="L60" s="96"/>
      <c r="M60" s="96"/>
      <c r="N60" s="96"/>
      <c r="O60" s="96"/>
      <c r="P60" s="97"/>
    </row>
    <row r="61" spans="2:16" x14ac:dyDescent="0.25">
      <c r="B61" s="33" t="s">
        <v>69</v>
      </c>
      <c r="C61" s="34" t="s">
        <v>80</v>
      </c>
      <c r="I61" s="90" t="s">
        <v>176</v>
      </c>
      <c r="J61" s="87"/>
      <c r="K61" s="87"/>
      <c r="L61" s="87"/>
      <c r="M61" s="87"/>
      <c r="N61" s="87"/>
      <c r="O61" s="87"/>
      <c r="P61" s="88" t="s">
        <v>206</v>
      </c>
    </row>
    <row r="62" spans="2:16" x14ac:dyDescent="0.25">
      <c r="B62" s="35" t="s">
        <v>1</v>
      </c>
      <c r="C62" s="34" t="s">
        <v>80</v>
      </c>
      <c r="I62" s="86"/>
      <c r="J62" s="87"/>
      <c r="K62" s="87"/>
      <c r="L62" s="87"/>
      <c r="M62" s="87"/>
      <c r="N62" s="87"/>
      <c r="O62" s="87"/>
      <c r="P62" s="88"/>
    </row>
    <row r="63" spans="2:16" x14ac:dyDescent="0.25">
      <c r="B63" s="35" t="s">
        <v>0</v>
      </c>
      <c r="C63" s="34" t="s">
        <v>79</v>
      </c>
      <c r="I63" s="95" t="s">
        <v>147</v>
      </c>
      <c r="J63" s="96"/>
      <c r="K63" s="96"/>
      <c r="L63" s="96"/>
      <c r="M63" s="96"/>
      <c r="N63" s="96"/>
      <c r="O63" s="96"/>
      <c r="P63" s="97"/>
    </row>
    <row r="64" spans="2:16" x14ac:dyDescent="0.25">
      <c r="B64" s="35" t="s">
        <v>2</v>
      </c>
      <c r="C64" s="34" t="s">
        <v>80</v>
      </c>
      <c r="I64" s="90" t="s">
        <v>174</v>
      </c>
      <c r="J64" s="87"/>
      <c r="K64" s="87"/>
      <c r="L64" s="87"/>
      <c r="M64" s="87"/>
      <c r="N64" s="87"/>
      <c r="O64" s="87"/>
      <c r="P64" s="88" t="s">
        <v>206</v>
      </c>
    </row>
    <row r="65" spans="2:17" x14ac:dyDescent="0.25">
      <c r="B65" s="35" t="s">
        <v>3</v>
      </c>
      <c r="C65" s="34" t="s">
        <v>80</v>
      </c>
      <c r="I65" s="86" t="s">
        <v>169</v>
      </c>
      <c r="J65" s="87"/>
      <c r="K65" s="87"/>
      <c r="L65" s="87"/>
      <c r="M65" s="87"/>
      <c r="N65" s="87"/>
      <c r="O65" s="87"/>
      <c r="P65" s="88" t="s">
        <v>206</v>
      </c>
    </row>
    <row r="66" spans="2:17" x14ac:dyDescent="0.25">
      <c r="B66" s="35" t="s">
        <v>16</v>
      </c>
      <c r="C66" s="34" t="s">
        <v>80</v>
      </c>
      <c r="I66" s="86"/>
      <c r="J66" s="87"/>
      <c r="K66" s="87"/>
      <c r="L66" s="87"/>
      <c r="M66" s="87"/>
      <c r="N66" s="87"/>
      <c r="O66" s="87"/>
      <c r="P66" s="88"/>
    </row>
    <row r="67" spans="2:17" x14ac:dyDescent="0.25">
      <c r="B67" s="35" t="s">
        <v>4</v>
      </c>
      <c r="C67" s="34" t="s">
        <v>80</v>
      </c>
      <c r="I67" s="95" t="s">
        <v>168</v>
      </c>
      <c r="J67" s="96"/>
      <c r="K67" s="96"/>
      <c r="L67" s="96"/>
      <c r="M67" s="96"/>
      <c r="N67" s="96"/>
      <c r="O67" s="96"/>
      <c r="P67" s="97"/>
    </row>
    <row r="68" spans="2:17" x14ac:dyDescent="0.25">
      <c r="B68" s="35" t="s">
        <v>71</v>
      </c>
      <c r="C68" s="34" t="s">
        <v>80</v>
      </c>
      <c r="I68" s="90" t="s">
        <v>175</v>
      </c>
      <c r="J68" s="87"/>
      <c r="K68" s="87"/>
      <c r="L68" s="87"/>
      <c r="M68" s="87"/>
      <c r="N68" s="87"/>
      <c r="O68" s="87"/>
      <c r="P68" s="88" t="s">
        <v>206</v>
      </c>
    </row>
    <row r="69" spans="2:17" x14ac:dyDescent="0.25">
      <c r="B69" s="35" t="s">
        <v>72</v>
      </c>
      <c r="C69" s="34" t="s">
        <v>80</v>
      </c>
      <c r="I69" s="86" t="s">
        <v>170</v>
      </c>
      <c r="J69" s="87"/>
      <c r="K69" s="87"/>
      <c r="L69" s="87"/>
      <c r="M69" s="87"/>
      <c r="N69" s="87"/>
      <c r="O69" s="87"/>
      <c r="P69" s="88" t="s">
        <v>206</v>
      </c>
    </row>
    <row r="70" spans="2:17" x14ac:dyDescent="0.25">
      <c r="B70" s="35" t="s">
        <v>73</v>
      </c>
      <c r="C70" s="34" t="s">
        <v>80</v>
      </c>
      <c r="I70" s="86" t="s">
        <v>171</v>
      </c>
      <c r="J70" s="87"/>
      <c r="K70" s="87"/>
      <c r="L70" s="87"/>
      <c r="M70" s="87"/>
      <c r="N70" s="87"/>
      <c r="O70" s="87"/>
      <c r="P70" s="88" t="s">
        <v>206</v>
      </c>
    </row>
    <row r="71" spans="2:17" x14ac:dyDescent="0.25">
      <c r="B71" s="35" t="s">
        <v>74</v>
      </c>
      <c r="C71" s="34" t="s">
        <v>80</v>
      </c>
      <c r="I71" s="83"/>
      <c r="J71" s="84"/>
      <c r="K71" s="84"/>
      <c r="L71" s="84"/>
      <c r="M71" s="84"/>
      <c r="N71" s="84"/>
      <c r="O71" s="84"/>
      <c r="P71" s="85"/>
    </row>
    <row r="72" spans="2:17" ht="15.5" x14ac:dyDescent="0.35">
      <c r="B72" s="35" t="s">
        <v>75</v>
      </c>
      <c r="C72" s="34" t="s">
        <v>80</v>
      </c>
      <c r="I72" s="98" t="s">
        <v>177</v>
      </c>
      <c r="J72" s="99"/>
      <c r="K72" s="99"/>
      <c r="L72" s="99"/>
      <c r="M72" s="99"/>
      <c r="N72" s="99"/>
      <c r="O72" s="99"/>
      <c r="P72" s="100"/>
    </row>
    <row r="73" spans="2:17" x14ac:dyDescent="0.25">
      <c r="B73" s="35" t="s">
        <v>76</v>
      </c>
      <c r="C73" s="34" t="s">
        <v>79</v>
      </c>
      <c r="I73" s="95" t="s">
        <v>180</v>
      </c>
      <c r="J73" s="96"/>
      <c r="K73" s="96"/>
      <c r="L73" s="96"/>
      <c r="M73" s="96"/>
      <c r="N73" s="96"/>
      <c r="O73" s="96"/>
      <c r="P73" s="97"/>
    </row>
    <row r="74" spans="2:17" x14ac:dyDescent="0.25">
      <c r="B74" s="35" t="s">
        <v>43</v>
      </c>
      <c r="C74" s="34" t="s">
        <v>79</v>
      </c>
      <c r="I74" s="86" t="s">
        <v>178</v>
      </c>
      <c r="J74" s="87"/>
      <c r="K74" s="87"/>
      <c r="L74" s="87"/>
      <c r="M74" s="87"/>
      <c r="N74" s="87"/>
      <c r="O74" s="87"/>
      <c r="P74" s="88"/>
    </row>
    <row r="75" spans="2:17" x14ac:dyDescent="0.25">
      <c r="B75" s="35" t="s">
        <v>42</v>
      </c>
      <c r="C75" s="34" t="s">
        <v>79</v>
      </c>
      <c r="I75" s="86" t="s">
        <v>179</v>
      </c>
      <c r="J75" s="87"/>
      <c r="K75" s="87"/>
      <c r="L75" s="87"/>
      <c r="M75" s="87"/>
      <c r="N75" s="87"/>
      <c r="O75" s="87"/>
      <c r="P75" s="88"/>
    </row>
    <row r="76" spans="2:17" x14ac:dyDescent="0.25">
      <c r="B76" s="35" t="s">
        <v>77</v>
      </c>
      <c r="C76" s="34" t="s">
        <v>79</v>
      </c>
      <c r="I76" s="86" t="s">
        <v>181</v>
      </c>
      <c r="J76" s="87"/>
      <c r="K76" s="87"/>
      <c r="L76" s="87"/>
      <c r="M76" s="87"/>
      <c r="N76" s="87"/>
      <c r="O76" s="87"/>
      <c r="P76" s="88"/>
    </row>
    <row r="77" spans="2:17" x14ac:dyDescent="0.25">
      <c r="I77" s="95" t="s">
        <v>182</v>
      </c>
      <c r="J77" s="96"/>
      <c r="K77" s="96"/>
      <c r="L77" s="96"/>
      <c r="M77" s="96"/>
      <c r="N77" s="96"/>
      <c r="O77" s="96"/>
      <c r="P77" s="97"/>
    </row>
    <row r="78" spans="2:17" x14ac:dyDescent="0.25">
      <c r="B78" s="2" t="s">
        <v>172</v>
      </c>
      <c r="I78" s="86" t="s">
        <v>183</v>
      </c>
      <c r="J78" s="87"/>
      <c r="K78" s="87"/>
      <c r="L78" s="87"/>
      <c r="M78" s="87"/>
      <c r="N78" s="87"/>
      <c r="O78" s="87"/>
      <c r="P78" s="88"/>
      <c r="Q78" s="1" t="s">
        <v>273</v>
      </c>
    </row>
    <row r="79" spans="2:17" x14ac:dyDescent="0.25">
      <c r="B79" s="106"/>
      <c r="C79" s="128" t="s">
        <v>70</v>
      </c>
      <c r="D79" s="107" t="s">
        <v>167</v>
      </c>
      <c r="I79" s="86" t="s">
        <v>184</v>
      </c>
      <c r="J79" s="87"/>
      <c r="K79" s="87"/>
      <c r="L79" s="87"/>
      <c r="M79" s="87"/>
      <c r="N79" s="87"/>
      <c r="O79" s="87"/>
      <c r="P79" s="88"/>
    </row>
    <row r="80" spans="2:17" x14ac:dyDescent="0.25">
      <c r="B80" s="108" t="s">
        <v>148</v>
      </c>
      <c r="C80" s="109"/>
      <c r="D80" s="110">
        <v>10000000</v>
      </c>
      <c r="I80" s="86" t="s">
        <v>185</v>
      </c>
      <c r="J80" s="87"/>
      <c r="K80" s="87"/>
      <c r="L80" s="87"/>
      <c r="M80" s="87"/>
      <c r="N80" s="87"/>
      <c r="O80" s="87"/>
      <c r="P80" s="88"/>
    </row>
    <row r="81" spans="2:16" x14ac:dyDescent="0.25">
      <c r="B81" s="108" t="s">
        <v>149</v>
      </c>
      <c r="C81" s="111">
        <v>0.5</v>
      </c>
      <c r="D81" s="112">
        <v>1391767</v>
      </c>
      <c r="I81" s="86" t="s">
        <v>186</v>
      </c>
      <c r="J81" s="87"/>
      <c r="K81" s="87"/>
      <c r="L81" s="87"/>
      <c r="M81" s="87"/>
      <c r="N81" s="87"/>
      <c r="O81" s="87"/>
      <c r="P81" s="88"/>
    </row>
    <row r="82" spans="2:16" x14ac:dyDescent="0.25">
      <c r="B82" s="108" t="s">
        <v>150</v>
      </c>
      <c r="C82" s="102">
        <v>0.05</v>
      </c>
      <c r="D82" s="112">
        <v>139176.70000000001</v>
      </c>
      <c r="I82" s="86" t="s">
        <v>187</v>
      </c>
      <c r="J82" s="87"/>
      <c r="K82" s="87"/>
      <c r="L82" s="87"/>
      <c r="M82" s="87"/>
      <c r="N82" s="87"/>
      <c r="O82" s="87"/>
      <c r="P82" s="88"/>
    </row>
    <row r="83" spans="2:16" x14ac:dyDescent="0.25">
      <c r="B83" s="108" t="s">
        <v>151</v>
      </c>
      <c r="C83" s="103">
        <v>5.0000000000000001E-3</v>
      </c>
      <c r="D83" s="112">
        <v>13917.67</v>
      </c>
      <c r="I83" s="86" t="s">
        <v>188</v>
      </c>
      <c r="J83" s="87"/>
      <c r="K83" s="87"/>
      <c r="L83" s="87"/>
      <c r="M83" s="87"/>
      <c r="N83" s="87"/>
      <c r="O83" s="87"/>
      <c r="P83" s="88"/>
    </row>
    <row r="84" spans="2:16" x14ac:dyDescent="0.25">
      <c r="B84" s="113" t="s">
        <v>152</v>
      </c>
      <c r="C84" s="104"/>
      <c r="D84" s="114">
        <v>11544861.369999999</v>
      </c>
      <c r="I84" s="86" t="s">
        <v>189</v>
      </c>
      <c r="J84" s="87"/>
      <c r="K84" s="87"/>
      <c r="L84" s="87"/>
      <c r="M84" s="87"/>
      <c r="N84" s="87"/>
      <c r="O84" s="87"/>
      <c r="P84" s="88"/>
    </row>
    <row r="85" spans="2:16" x14ac:dyDescent="0.25">
      <c r="B85" s="115"/>
      <c r="C85" s="116"/>
      <c r="D85" s="117"/>
      <c r="I85" s="86" t="s">
        <v>190</v>
      </c>
      <c r="J85" s="87"/>
      <c r="K85" s="87"/>
      <c r="L85" s="87"/>
      <c r="M85" s="87"/>
      <c r="N85" s="87"/>
      <c r="O85" s="87"/>
      <c r="P85" s="88"/>
    </row>
    <row r="86" spans="2:16" x14ac:dyDescent="0.25">
      <c r="B86" s="108" t="s">
        <v>153</v>
      </c>
      <c r="C86" s="109"/>
      <c r="D86" s="112">
        <v>4000000</v>
      </c>
      <c r="I86" s="159" t="s">
        <v>191</v>
      </c>
      <c r="J86" s="160"/>
      <c r="K86" s="160"/>
      <c r="L86" s="160"/>
      <c r="M86" s="160"/>
      <c r="N86" s="160"/>
      <c r="O86" s="160"/>
      <c r="P86" s="161"/>
    </row>
    <row r="87" spans="2:16" x14ac:dyDescent="0.25">
      <c r="B87" s="118" t="s">
        <v>154</v>
      </c>
      <c r="C87" s="105"/>
      <c r="D87" s="119">
        <v>15544861.369999999</v>
      </c>
    </row>
    <row r="88" spans="2:16" x14ac:dyDescent="0.25">
      <c r="B88" s="115"/>
      <c r="C88" s="116"/>
      <c r="D88" s="117"/>
    </row>
    <row r="89" spans="2:16" x14ac:dyDescent="0.25">
      <c r="B89" s="108" t="s">
        <v>155</v>
      </c>
      <c r="C89" s="103">
        <v>0.1</v>
      </c>
      <c r="D89" s="112">
        <v>278353.40000000002</v>
      </c>
    </row>
    <row r="90" spans="2:16" x14ac:dyDescent="0.25">
      <c r="B90" s="108" t="s">
        <v>156</v>
      </c>
      <c r="C90" s="102">
        <v>5.0000000000000001E-3</v>
      </c>
      <c r="D90" s="112">
        <v>13917.67</v>
      </c>
    </row>
    <row r="91" spans="2:16" x14ac:dyDescent="0.25">
      <c r="B91" s="108" t="s">
        <v>157</v>
      </c>
      <c r="C91" s="111">
        <v>2.5000000000000001E-3</v>
      </c>
      <c r="D91" s="112">
        <v>6958.835</v>
      </c>
    </row>
    <row r="92" spans="2:16" x14ac:dyDescent="0.25">
      <c r="B92" s="113" t="s">
        <v>158</v>
      </c>
      <c r="C92" s="104"/>
      <c r="D92" s="114">
        <v>299229.90500000003</v>
      </c>
    </row>
    <row r="93" spans="2:16" x14ac:dyDescent="0.25">
      <c r="B93" s="115"/>
      <c r="C93" s="116"/>
      <c r="D93" s="117"/>
    </row>
    <row r="94" spans="2:16" x14ac:dyDescent="0.25">
      <c r="B94" s="108" t="s">
        <v>159</v>
      </c>
      <c r="C94" s="120">
        <v>10000000</v>
      </c>
      <c r="D94" s="112">
        <v>10000000</v>
      </c>
    </row>
    <row r="95" spans="2:16" x14ac:dyDescent="0.25">
      <c r="B95" s="113" t="s">
        <v>160</v>
      </c>
      <c r="C95" s="104"/>
      <c r="D95" s="121">
        <v>10299229.904999999</v>
      </c>
    </row>
    <row r="96" spans="2:16" x14ac:dyDescent="0.25">
      <c r="B96" s="115"/>
      <c r="C96" s="116"/>
      <c r="D96" s="117"/>
    </row>
    <row r="97" spans="2:5" x14ac:dyDescent="0.25">
      <c r="B97" s="108" t="s">
        <v>161</v>
      </c>
      <c r="C97" s="109"/>
      <c r="D97" s="112">
        <v>5245631</v>
      </c>
    </row>
    <row r="98" spans="2:5" x14ac:dyDescent="0.25">
      <c r="B98" s="108" t="s">
        <v>162</v>
      </c>
      <c r="C98" s="109"/>
      <c r="D98" s="112">
        <v>0</v>
      </c>
    </row>
    <row r="99" spans="2:5" x14ac:dyDescent="0.25">
      <c r="B99" s="113" t="s">
        <v>163</v>
      </c>
      <c r="C99" s="104"/>
      <c r="D99" s="114">
        <v>5245631</v>
      </c>
    </row>
    <row r="100" spans="2:5" x14ac:dyDescent="0.25">
      <c r="B100" s="122"/>
      <c r="C100" s="123"/>
      <c r="D100" s="124"/>
    </row>
    <row r="101" spans="2:5" x14ac:dyDescent="0.25">
      <c r="B101" s="125" t="s">
        <v>164</v>
      </c>
      <c r="C101" s="126"/>
      <c r="D101" s="127">
        <v>15544860.904999999</v>
      </c>
    </row>
    <row r="102" spans="2:5" x14ac:dyDescent="0.25">
      <c r="B102" s="56"/>
    </row>
    <row r="103" spans="2:5" x14ac:dyDescent="0.25">
      <c r="B103" s="2" t="s">
        <v>173</v>
      </c>
    </row>
    <row r="104" spans="2:5" ht="12" x14ac:dyDescent="0.4">
      <c r="B104" s="129" t="s">
        <v>18</v>
      </c>
      <c r="C104" s="75"/>
      <c r="D104" s="130" t="s">
        <v>37</v>
      </c>
      <c r="E104" s="131" t="s">
        <v>81</v>
      </c>
    </row>
    <row r="105" spans="2:5" x14ac:dyDescent="0.25">
      <c r="B105" s="132" t="s">
        <v>19</v>
      </c>
      <c r="C105" s="73"/>
      <c r="D105" s="57">
        <v>250000</v>
      </c>
      <c r="E105" s="133">
        <v>0</v>
      </c>
    </row>
    <row r="106" spans="2:5" x14ac:dyDescent="0.25">
      <c r="B106" s="132" t="s">
        <v>20</v>
      </c>
      <c r="C106" s="73"/>
      <c r="D106" s="58">
        <v>150000</v>
      </c>
      <c r="E106" s="63">
        <v>10</v>
      </c>
    </row>
    <row r="107" spans="2:5" x14ac:dyDescent="0.25">
      <c r="B107" s="132" t="s">
        <v>39</v>
      </c>
      <c r="C107" s="73"/>
      <c r="D107" s="59">
        <v>80000</v>
      </c>
      <c r="E107" s="134">
        <v>15</v>
      </c>
    </row>
    <row r="108" spans="2:5" x14ac:dyDescent="0.25">
      <c r="B108" s="132" t="s">
        <v>21</v>
      </c>
      <c r="C108" s="73"/>
      <c r="D108" s="57">
        <v>150000</v>
      </c>
      <c r="E108" s="133">
        <v>5</v>
      </c>
    </row>
    <row r="109" spans="2:5" x14ac:dyDescent="0.25">
      <c r="B109" s="135" t="s">
        <v>22</v>
      </c>
      <c r="C109" s="73"/>
      <c r="D109" s="74"/>
      <c r="E109" s="136"/>
    </row>
    <row r="110" spans="2:5" x14ac:dyDescent="0.25">
      <c r="B110" s="132" t="s">
        <v>23</v>
      </c>
      <c r="C110" s="73"/>
      <c r="D110" s="60">
        <v>100000</v>
      </c>
      <c r="E110" s="61">
        <v>15</v>
      </c>
    </row>
    <row r="111" spans="2:5" x14ac:dyDescent="0.25">
      <c r="B111" s="132" t="s">
        <v>24</v>
      </c>
      <c r="C111" s="73"/>
      <c r="D111" s="62">
        <v>40000</v>
      </c>
      <c r="E111" s="63">
        <v>25</v>
      </c>
    </row>
    <row r="112" spans="2:5" x14ac:dyDescent="0.25">
      <c r="B112" s="132" t="s">
        <v>25</v>
      </c>
      <c r="C112" s="73"/>
      <c r="D112" s="64">
        <v>85000</v>
      </c>
      <c r="E112" s="65">
        <v>25</v>
      </c>
    </row>
    <row r="113" spans="2:5" x14ac:dyDescent="0.25">
      <c r="B113" s="135" t="s">
        <v>26</v>
      </c>
      <c r="C113" s="73"/>
      <c r="D113" s="74"/>
      <c r="E113" s="136"/>
    </row>
    <row r="114" spans="2:5" x14ac:dyDescent="0.25">
      <c r="B114" s="132" t="s">
        <v>40</v>
      </c>
      <c r="C114" s="73"/>
      <c r="D114" s="66">
        <v>125000</v>
      </c>
      <c r="E114" s="133">
        <v>5</v>
      </c>
    </row>
    <row r="115" spans="2:5" x14ac:dyDescent="0.25">
      <c r="B115" s="132" t="s">
        <v>40</v>
      </c>
      <c r="C115" s="73"/>
      <c r="D115" s="66">
        <v>125000</v>
      </c>
      <c r="E115" s="133">
        <v>10</v>
      </c>
    </row>
    <row r="116" spans="2:5" x14ac:dyDescent="0.25">
      <c r="B116" s="132" t="s">
        <v>40</v>
      </c>
      <c r="C116" s="73"/>
      <c r="D116" s="66">
        <v>125000</v>
      </c>
      <c r="E116" s="133">
        <v>15</v>
      </c>
    </row>
    <row r="117" spans="2:5" x14ac:dyDescent="0.25">
      <c r="B117" s="132" t="s">
        <v>40</v>
      </c>
      <c r="C117" s="73"/>
      <c r="D117" s="66">
        <v>125000</v>
      </c>
      <c r="E117" s="133">
        <v>20</v>
      </c>
    </row>
    <row r="118" spans="2:5" x14ac:dyDescent="0.25">
      <c r="B118" s="132" t="s">
        <v>40</v>
      </c>
      <c r="C118" s="73"/>
      <c r="D118" s="66">
        <v>125000</v>
      </c>
      <c r="E118" s="133">
        <v>25</v>
      </c>
    </row>
    <row r="119" spans="2:5" x14ac:dyDescent="0.25">
      <c r="B119" s="132" t="s">
        <v>40</v>
      </c>
      <c r="C119" s="73"/>
      <c r="D119" s="66">
        <v>125000</v>
      </c>
      <c r="E119" s="133">
        <v>30</v>
      </c>
    </row>
    <row r="120" spans="2:5" x14ac:dyDescent="0.25">
      <c r="B120" s="132" t="s">
        <v>40</v>
      </c>
      <c r="C120" s="73"/>
      <c r="D120" s="66">
        <v>125000</v>
      </c>
      <c r="E120" s="133">
        <v>35</v>
      </c>
    </row>
    <row r="121" spans="2:5" x14ac:dyDescent="0.25">
      <c r="B121" s="135" t="s">
        <v>27</v>
      </c>
      <c r="C121" s="73"/>
      <c r="D121" s="74"/>
      <c r="E121" s="136"/>
    </row>
    <row r="122" spans="2:5" x14ac:dyDescent="0.25">
      <c r="B122" s="132" t="s">
        <v>28</v>
      </c>
      <c r="C122" s="73"/>
      <c r="D122" s="66">
        <v>90000</v>
      </c>
      <c r="E122" s="133">
        <v>20</v>
      </c>
    </row>
    <row r="123" spans="2:5" x14ac:dyDescent="0.25">
      <c r="B123" s="132" t="s">
        <v>29</v>
      </c>
      <c r="C123" s="73"/>
      <c r="D123" s="66">
        <v>80000</v>
      </c>
      <c r="E123" s="133">
        <v>40</v>
      </c>
    </row>
    <row r="124" spans="2:5" x14ac:dyDescent="0.25">
      <c r="B124" s="135" t="s">
        <v>30</v>
      </c>
      <c r="C124" s="73"/>
      <c r="D124" s="74"/>
      <c r="E124" s="136"/>
    </row>
    <row r="125" spans="2:5" x14ac:dyDescent="0.25">
      <c r="B125" s="132" t="s">
        <v>31</v>
      </c>
      <c r="C125" s="73"/>
      <c r="D125" s="66">
        <v>120000</v>
      </c>
      <c r="E125" s="133">
        <v>20</v>
      </c>
    </row>
    <row r="126" spans="2:5" x14ac:dyDescent="0.25">
      <c r="B126" s="132" t="s">
        <v>32</v>
      </c>
      <c r="C126" s="73"/>
      <c r="D126" s="66">
        <v>75000</v>
      </c>
      <c r="E126" s="133">
        <v>4</v>
      </c>
    </row>
    <row r="127" spans="2:5" x14ac:dyDescent="0.25">
      <c r="B127" s="135" t="s">
        <v>5</v>
      </c>
      <c r="C127" s="73"/>
      <c r="D127" s="74"/>
      <c r="E127" s="136"/>
    </row>
    <row r="128" spans="2:5" x14ac:dyDescent="0.25">
      <c r="B128" s="132" t="s">
        <v>33</v>
      </c>
      <c r="C128" s="73"/>
      <c r="D128" s="66">
        <v>50000</v>
      </c>
      <c r="E128" s="133">
        <v>1</v>
      </c>
    </row>
    <row r="129" spans="2:5" ht="12" x14ac:dyDescent="0.4">
      <c r="B129" s="132" t="s">
        <v>34</v>
      </c>
      <c r="C129" s="137" t="s">
        <v>38</v>
      </c>
      <c r="D129" s="66">
        <v>50000</v>
      </c>
      <c r="E129" s="133">
        <v>30</v>
      </c>
    </row>
    <row r="130" spans="2:5" x14ac:dyDescent="0.25">
      <c r="B130" s="138" t="s">
        <v>35</v>
      </c>
      <c r="C130" s="67">
        <v>0.15</v>
      </c>
      <c r="D130" s="73"/>
      <c r="E130" s="136"/>
    </row>
    <row r="131" spans="2:5" x14ac:dyDescent="0.25">
      <c r="B131" s="139" t="s">
        <v>36</v>
      </c>
      <c r="C131" s="68"/>
      <c r="D131" s="68"/>
      <c r="E131" s="140"/>
    </row>
    <row r="132" spans="2:5" x14ac:dyDescent="0.25">
      <c r="B132" s="115"/>
      <c r="C132" s="73"/>
      <c r="D132" s="73"/>
      <c r="E132" s="136"/>
    </row>
    <row r="133" spans="2:5" x14ac:dyDescent="0.25">
      <c r="B133" s="69" t="s">
        <v>45</v>
      </c>
      <c r="C133" s="70"/>
      <c r="D133" s="70"/>
      <c r="E133" s="71"/>
    </row>
    <row r="134" spans="2:5" x14ac:dyDescent="0.25">
      <c r="B134" s="141"/>
      <c r="C134" s="142"/>
      <c r="D134" s="142"/>
      <c r="E134" s="143"/>
    </row>
    <row r="135" spans="2:5" x14ac:dyDescent="0.25">
      <c r="B135" s="138" t="s">
        <v>41</v>
      </c>
      <c r="C135" s="142"/>
      <c r="D135" s="142"/>
      <c r="E135" s="144">
        <v>0.2</v>
      </c>
    </row>
    <row r="136" spans="2:5" x14ac:dyDescent="0.25">
      <c r="B136" s="145" t="s">
        <v>46</v>
      </c>
      <c r="C136" s="142"/>
      <c r="D136" s="142"/>
      <c r="E136" s="143"/>
    </row>
    <row r="137" spans="2:5" x14ac:dyDescent="0.25">
      <c r="B137" s="132" t="s">
        <v>47</v>
      </c>
      <c r="C137" s="142"/>
      <c r="D137" s="142"/>
      <c r="E137" s="146">
        <v>4000</v>
      </c>
    </row>
    <row r="138" spans="2:5" x14ac:dyDescent="0.25">
      <c r="B138" s="132" t="s">
        <v>48</v>
      </c>
      <c r="C138" s="142"/>
      <c r="D138" s="142"/>
      <c r="E138" s="147">
        <v>12</v>
      </c>
    </row>
    <row r="139" spans="2:5" x14ac:dyDescent="0.25">
      <c r="B139" s="148" t="s">
        <v>49</v>
      </c>
      <c r="C139" s="72"/>
      <c r="D139" s="72"/>
      <c r="E139" s="149">
        <v>48000</v>
      </c>
    </row>
    <row r="140" spans="2:5" x14ac:dyDescent="0.25">
      <c r="B140" s="150"/>
      <c r="C140" s="142"/>
      <c r="D140" s="142"/>
      <c r="E140" s="151"/>
    </row>
    <row r="141" spans="2:5" x14ac:dyDescent="0.25">
      <c r="B141" s="138" t="s">
        <v>50</v>
      </c>
      <c r="C141" s="142"/>
      <c r="D141" s="142"/>
      <c r="E141" s="152">
        <v>0.15</v>
      </c>
    </row>
    <row r="142" spans="2:5" x14ac:dyDescent="0.25">
      <c r="B142" s="138" t="s">
        <v>51</v>
      </c>
      <c r="C142" s="142"/>
      <c r="D142" s="142"/>
      <c r="E142" s="152">
        <v>2.5000000000000001E-2</v>
      </c>
    </row>
    <row r="143" spans="2:5" x14ac:dyDescent="0.25">
      <c r="B143" s="138" t="s">
        <v>52</v>
      </c>
      <c r="C143" s="142"/>
      <c r="D143" s="142"/>
      <c r="E143" s="153">
        <v>250</v>
      </c>
    </row>
    <row r="144" spans="2:5" x14ac:dyDescent="0.25">
      <c r="B144" s="138" t="s">
        <v>53</v>
      </c>
      <c r="C144" s="142"/>
      <c r="D144" s="142"/>
      <c r="E144" s="147">
        <v>20</v>
      </c>
    </row>
    <row r="145" spans="2:5" x14ac:dyDescent="0.25">
      <c r="B145" s="138" t="s">
        <v>54</v>
      </c>
      <c r="C145" s="142"/>
      <c r="D145" s="142"/>
      <c r="E145" s="147">
        <v>250</v>
      </c>
    </row>
    <row r="146" spans="2:5" x14ac:dyDescent="0.25">
      <c r="B146" s="138" t="s">
        <v>55</v>
      </c>
      <c r="C146" s="142"/>
      <c r="D146" s="142"/>
      <c r="E146" s="147">
        <v>150</v>
      </c>
    </row>
    <row r="147" spans="2:5" x14ac:dyDescent="0.25">
      <c r="B147" s="138" t="s">
        <v>17</v>
      </c>
      <c r="C147" s="142"/>
      <c r="D147" s="142"/>
      <c r="E147" s="153">
        <v>20000</v>
      </c>
    </row>
    <row r="148" spans="2:5" x14ac:dyDescent="0.25">
      <c r="B148" s="141"/>
      <c r="C148" s="142"/>
      <c r="D148" s="142"/>
      <c r="E148" s="143"/>
    </row>
    <row r="149" spans="2:5" x14ac:dyDescent="0.25">
      <c r="B149" s="145" t="s">
        <v>44</v>
      </c>
      <c r="C149" s="142"/>
      <c r="D149" s="142"/>
      <c r="E149" s="143"/>
    </row>
    <row r="150" spans="2:5" x14ac:dyDescent="0.25">
      <c r="B150" s="132" t="s">
        <v>56</v>
      </c>
      <c r="C150" s="142"/>
      <c r="D150" s="142"/>
      <c r="E150" s="147">
        <v>500</v>
      </c>
    </row>
    <row r="151" spans="2:5" x14ac:dyDescent="0.25">
      <c r="B151" s="132" t="s">
        <v>57</v>
      </c>
      <c r="C151" s="142"/>
      <c r="D151" s="142"/>
      <c r="E151" s="147">
        <v>400</v>
      </c>
    </row>
    <row r="152" spans="2:5" x14ac:dyDescent="0.25">
      <c r="B152" s="132" t="s">
        <v>58</v>
      </c>
      <c r="C152" s="142"/>
      <c r="D152" s="142"/>
      <c r="E152" s="153">
        <v>1000</v>
      </c>
    </row>
    <row r="153" spans="2:5" x14ac:dyDescent="0.25">
      <c r="B153" s="154" t="s">
        <v>59</v>
      </c>
      <c r="C153" s="155"/>
      <c r="D153" s="155"/>
      <c r="E153" s="156">
        <v>1900</v>
      </c>
    </row>
    <row r="155" spans="2:5" x14ac:dyDescent="0.25">
      <c r="B155" s="2" t="s">
        <v>173</v>
      </c>
    </row>
    <row r="156" spans="2:5" x14ac:dyDescent="0.25">
      <c r="B156" s="157" t="s">
        <v>166</v>
      </c>
      <c r="C156" s="158">
        <v>0.05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ControlSheet!$A$1:$A$2</xm:f>
          </x14:formula1>
          <xm:sqref>C60:C76</xm:sqref>
        </x14:dataValidation>
        <x14:dataValidation type="list" allowBlank="1" showInputMessage="1" showErrorMessage="1">
          <x14:formula1>
            <xm:f>ControlSheet!$C$1:$C$2</xm:f>
          </x14:formula1>
          <xm:sqref>C2</xm:sqref>
        </x14:dataValidation>
        <x14:dataValidation type="list" allowBlank="1" showInputMessage="1" showErrorMessage="1">
          <x14:formula1>
            <xm:f>ControlSheet!$D$1:$D$3</xm:f>
          </x14:formula1>
          <xm:sqref>C3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1:U88"/>
  <sheetViews>
    <sheetView zoomScale="60" zoomScaleNormal="60" workbookViewId="0">
      <selection activeCell="H30" sqref="H30"/>
    </sheetView>
  </sheetViews>
  <sheetFormatPr defaultRowHeight="14" x14ac:dyDescent="0.3"/>
  <cols>
    <col min="1" max="1" width="8.7265625" style="163"/>
    <col min="2" max="2" width="53" style="163" bestFit="1" customWidth="1"/>
    <col min="3" max="5" width="14.81640625" style="163" bestFit="1" customWidth="1"/>
    <col min="6" max="7" width="15.36328125" style="163" bestFit="1" customWidth="1"/>
    <col min="8" max="8" width="14.54296875" style="163" bestFit="1" customWidth="1"/>
    <col min="9" max="9" width="9.08984375" style="163" bestFit="1" customWidth="1"/>
    <col min="10" max="11" width="8.7265625" style="163"/>
    <col min="12" max="13" width="13.6328125" style="163" bestFit="1" customWidth="1"/>
    <col min="14" max="14" width="14.90625" style="163" bestFit="1" customWidth="1"/>
    <col min="15" max="17" width="14.81640625" style="163" bestFit="1" customWidth="1"/>
    <col min="18" max="18" width="15.81640625" style="163" bestFit="1" customWidth="1"/>
    <col min="19" max="16384" width="8.7265625" style="163"/>
  </cols>
  <sheetData>
    <row r="1" spans="2:21" ht="15.5" x14ac:dyDescent="0.35">
      <c r="B1" s="188" t="s">
        <v>311</v>
      </c>
      <c r="C1" s="479" t="s">
        <v>312</v>
      </c>
    </row>
    <row r="2" spans="2:21" x14ac:dyDescent="0.3">
      <c r="B2" s="188" t="s">
        <v>315</v>
      </c>
      <c r="C2" s="478" t="str">
        <f>IF(C1="Thousands",1000,IF($C$1="Millions",1000000,""))</f>
        <v/>
      </c>
    </row>
    <row r="4" spans="2:21" ht="16" thickBot="1" x14ac:dyDescent="0.4">
      <c r="B4" s="403" t="s">
        <v>279</v>
      </c>
      <c r="C4" s="404">
        <f ca="1">C51/C27</f>
        <v>4.0893907162462098</v>
      </c>
      <c r="D4" s="404">
        <f ca="1">D51/D27</f>
        <v>2.9280119040124806</v>
      </c>
      <c r="E4" s="404">
        <f ca="1">E51/E27</f>
        <v>2.2348017501749418</v>
      </c>
      <c r="F4" s="404">
        <f ca="1">F51/F27</f>
        <v>1.6811642135660092</v>
      </c>
      <c r="G4" s="404">
        <f ca="1">G51/G27</f>
        <v>1.3081596248552816</v>
      </c>
      <c r="J4"/>
      <c r="K4"/>
      <c r="L4"/>
      <c r="M4"/>
      <c r="N4"/>
      <c r="O4"/>
      <c r="P4"/>
    </row>
    <row r="5" spans="2:21" ht="14.5" x14ac:dyDescent="0.35">
      <c r="B5" s="339"/>
      <c r="C5" s="401"/>
      <c r="D5" s="401"/>
      <c r="E5" s="401"/>
      <c r="F5" s="401"/>
      <c r="G5" s="402"/>
      <c r="I5" s="483"/>
      <c r="J5"/>
      <c r="K5"/>
      <c r="L5"/>
      <c r="M5"/>
      <c r="N5"/>
      <c r="O5"/>
      <c r="P5"/>
      <c r="Q5" s="344"/>
      <c r="R5" s="344"/>
    </row>
    <row r="6" spans="2:21" ht="14.5" x14ac:dyDescent="0.35">
      <c r="B6" s="340" t="s">
        <v>278</v>
      </c>
      <c r="C6" s="341"/>
      <c r="D6" s="341"/>
      <c r="E6" s="341"/>
      <c r="F6" s="341"/>
      <c r="G6" s="342"/>
      <c r="J6"/>
      <c r="K6"/>
      <c r="L6"/>
      <c r="M6"/>
      <c r="N6"/>
      <c r="O6"/>
      <c r="P6"/>
      <c r="Q6" s="359"/>
      <c r="R6" s="359"/>
    </row>
    <row r="7" spans="2:21" ht="14.5" x14ac:dyDescent="0.35">
      <c r="B7" s="343"/>
      <c r="C7" s="344" t="str">
        <f>'CompanyP&amp;L'!Z3</f>
        <v>Year</v>
      </c>
      <c r="D7" s="344"/>
      <c r="E7" s="344"/>
      <c r="F7" s="344"/>
      <c r="G7" s="345"/>
      <c r="J7"/>
      <c r="K7"/>
      <c r="L7"/>
      <c r="M7"/>
      <c r="N7"/>
      <c r="O7"/>
      <c r="P7"/>
    </row>
    <row r="8" spans="2:21" ht="14.5" x14ac:dyDescent="0.35">
      <c r="B8" s="343"/>
      <c r="C8" s="359">
        <f>'CompanyP&amp;L'!Z4</f>
        <v>1</v>
      </c>
      <c r="D8" s="359">
        <f>'CompanyP&amp;L'!AA4</f>
        <v>2</v>
      </c>
      <c r="E8" s="359">
        <f>'CompanyP&amp;L'!AB4</f>
        <v>3</v>
      </c>
      <c r="F8" s="359">
        <f>'CompanyP&amp;L'!AC4</f>
        <v>4</v>
      </c>
      <c r="G8" s="360">
        <f>'CompanyP&amp;L'!AD4</f>
        <v>5</v>
      </c>
      <c r="J8"/>
      <c r="K8"/>
      <c r="L8"/>
      <c r="M8"/>
      <c r="N8"/>
      <c r="O8"/>
      <c r="P8"/>
    </row>
    <row r="9" spans="2:21" ht="14.5" x14ac:dyDescent="0.35">
      <c r="B9" s="375" t="str">
        <f>'CompanyP&amp;L'!Y5</f>
        <v>Revenue</v>
      </c>
      <c r="C9" s="456">
        <f ca="1">IF($C$1="Dollars", 'CompanyP&amp;L'!Z5, 'CompanyP&amp;L'!Z5/$C$2)</f>
        <v>18032125.357086487</v>
      </c>
      <c r="D9" s="456">
        <f ca="1">IF($C$1="Dollars", 'CompanyP&amp;L'!AA5, 'CompanyP&amp;L'!AA5/$C$2)</f>
        <v>29324784.551230602</v>
      </c>
      <c r="E9" s="456">
        <f ca="1">IF($C$1="Dollars", 'CompanyP&amp;L'!AB5, 'CompanyP&amp;L'!AB5/$C$2)</f>
        <v>40959782.712631218</v>
      </c>
      <c r="F9" s="456">
        <f ca="1">IF($C$1="Dollars", 'CompanyP&amp;L'!AC5, 'CompanyP&amp;L'!AC5/$C$2)</f>
        <v>52947526.922924399</v>
      </c>
      <c r="G9" s="457">
        <f ca="1">IF($C$1="Dollars", 'CompanyP&amp;L'!AD5, 'CompanyP&amp;L'!AD5/$C$2)</f>
        <v>65298741.333131269</v>
      </c>
      <c r="I9" s="455"/>
      <c r="J9"/>
      <c r="K9"/>
      <c r="L9"/>
      <c r="M9"/>
      <c r="N9"/>
      <c r="O9"/>
      <c r="P9"/>
    </row>
    <row r="10" spans="2:21" ht="14.5" x14ac:dyDescent="0.35">
      <c r="B10" s="398" t="str">
        <f>'CompanyP&amp;L'!Y6</f>
        <v>Revenue as a % of Revenue</v>
      </c>
      <c r="C10" s="390">
        <f ca="1">'CompanyP&amp;L'!Z6</f>
        <v>1</v>
      </c>
      <c r="D10" s="390">
        <f ca="1">'CompanyP&amp;L'!AA6</f>
        <v>1</v>
      </c>
      <c r="E10" s="390">
        <f ca="1">'CompanyP&amp;L'!AB6</f>
        <v>1</v>
      </c>
      <c r="F10" s="390">
        <f ca="1">'CompanyP&amp;L'!AC6</f>
        <v>1</v>
      </c>
      <c r="G10" s="391">
        <f ca="1">'CompanyP&amp;L'!AD6</f>
        <v>1</v>
      </c>
      <c r="H10" s="300"/>
      <c r="J10"/>
      <c r="K10"/>
      <c r="L10"/>
      <c r="M10"/>
      <c r="N10"/>
      <c r="O10"/>
      <c r="P10"/>
      <c r="Q10"/>
      <c r="R10"/>
      <c r="S10"/>
      <c r="T10"/>
      <c r="U10"/>
    </row>
    <row r="11" spans="2:21" ht="14.5" x14ac:dyDescent="0.35">
      <c r="B11" s="375" t="str">
        <f>'CompanyP&amp;L'!Y7</f>
        <v>Food &amp; Paper Costs</v>
      </c>
      <c r="C11" s="456">
        <f ca="1">IF($C$1="Dollars", 'CompanyP&amp;L'!Z7, 'CompanyP&amp;L'!Z7/$C$2)</f>
        <v>5229316.3535550823</v>
      </c>
      <c r="D11" s="456">
        <f ca="1">IF($C$1="Dollars", 'CompanyP&amp;L'!AA7, 'CompanyP&amp;L'!AA7/$C$2)</f>
        <v>8504187.5198568739</v>
      </c>
      <c r="E11" s="456">
        <f ca="1">IF($C$1="Dollars", 'CompanyP&amp;L'!AB7, 'CompanyP&amp;L'!AB7/$C$2)</f>
        <v>11878336.986663051</v>
      </c>
      <c r="F11" s="456">
        <f ca="1">IF($C$1="Dollars", 'CompanyP&amp;L'!AC7, 'CompanyP&amp;L'!AC7/$C$2)</f>
        <v>15354782.807648078</v>
      </c>
      <c r="G11" s="457">
        <f ca="1">IF($C$1="Dollars", 'CompanyP&amp;L'!AD7, 'CompanyP&amp;L'!AD7/$C$2)</f>
        <v>18936634.986608069</v>
      </c>
      <c r="J11"/>
      <c r="K11"/>
      <c r="L11"/>
      <c r="M11"/>
      <c r="N11"/>
      <c r="O11"/>
      <c r="P11"/>
      <c r="Q11"/>
      <c r="R11"/>
      <c r="S11"/>
      <c r="T11"/>
      <c r="U11"/>
    </row>
    <row r="12" spans="2:21" ht="14.5" x14ac:dyDescent="0.35">
      <c r="B12" s="398" t="str">
        <f>'CompanyP&amp;L'!Y8</f>
        <v>Food &amp; Paper Costs as a % of Revenue</v>
      </c>
      <c r="C12" s="392">
        <f ca="1">'CompanyP&amp;L'!Z8</f>
        <v>0.29000000000000004</v>
      </c>
      <c r="D12" s="392">
        <f ca="1">'CompanyP&amp;L'!AA8</f>
        <v>0.28999999999999998</v>
      </c>
      <c r="E12" s="392">
        <f ca="1">'CompanyP&amp;L'!AB8</f>
        <v>0.28999999999999992</v>
      </c>
      <c r="F12" s="392">
        <f ca="1">'CompanyP&amp;L'!AC8</f>
        <v>0.29000000000000004</v>
      </c>
      <c r="G12" s="393">
        <f ca="1">'CompanyP&amp;L'!AD8</f>
        <v>0.29000000000000004</v>
      </c>
      <c r="J12"/>
      <c r="K12"/>
      <c r="L12"/>
      <c r="M12"/>
      <c r="N12"/>
      <c r="O12"/>
      <c r="P12"/>
      <c r="Q12"/>
      <c r="R12"/>
      <c r="S12"/>
      <c r="T12"/>
      <c r="U12"/>
    </row>
    <row r="13" spans="2:21" ht="14.5" x14ac:dyDescent="0.35">
      <c r="B13" s="375" t="str">
        <f>'CompanyP&amp;L'!Y9</f>
        <v>Labor &amp; Benefits</v>
      </c>
      <c r="C13" s="456">
        <f ca="1">IF($C$1="Dollars", 'CompanyP&amp;L'!Z9, 'CompanyP&amp;L'!Z9/$C$2)</f>
        <v>5422129.9861844387</v>
      </c>
      <c r="D13" s="456">
        <f ca="1">IF($C$1="Dollars", 'CompanyP&amp;L'!AA9, 'CompanyP&amp;L'!AA9/$C$2)</f>
        <v>9297175.5030420497</v>
      </c>
      <c r="E13" s="456">
        <f ca="1">IF($C$1="Dollars", 'CompanyP&amp;L'!AB9, 'CompanyP&amp;L'!AB9/$C$2)</f>
        <v>13285521.531182926</v>
      </c>
      <c r="F13" s="456">
        <f ca="1">IF($C$1="Dollars", 'CompanyP&amp;L'!AC9, 'CompanyP&amp;L'!AC9/$C$2)</f>
        <v>17390609.737735912</v>
      </c>
      <c r="G13" s="457">
        <f ca="1">IF($C$1="Dollars", 'CompanyP&amp;L'!AD9, 'CompanyP&amp;L'!AD9/$C$2)</f>
        <v>21615986.503699414</v>
      </c>
      <c r="J13"/>
      <c r="K13"/>
      <c r="L13"/>
      <c r="M13"/>
      <c r="N13"/>
      <c r="O13"/>
      <c r="P13"/>
      <c r="Q13"/>
      <c r="R13"/>
      <c r="S13"/>
      <c r="T13"/>
      <c r="U13"/>
    </row>
    <row r="14" spans="2:21" ht="14.5" x14ac:dyDescent="0.35">
      <c r="B14" s="398" t="str">
        <f>'CompanyP&amp;L'!Y10</f>
        <v>Labor &amp; Benefits as a % of Revenue</v>
      </c>
      <c r="C14" s="392">
        <f ca="1">'CompanyP&amp;L'!Z10</f>
        <v>0.30069278461696047</v>
      </c>
      <c r="D14" s="392">
        <f ca="1">'CompanyP&amp;L'!AA10</f>
        <v>0.31704156212298235</v>
      </c>
      <c r="E14" s="392">
        <f ca="1">'CompanyP&amp;L'!AB10</f>
        <v>0.3243552736691136</v>
      </c>
      <c r="F14" s="392">
        <f ca="1">'CompanyP&amp;L'!AC10</f>
        <v>0.32844989649944151</v>
      </c>
      <c r="G14" s="393">
        <f ca="1">'CompanyP&amp;L'!AD10</f>
        <v>0.33103220770247677</v>
      </c>
      <c r="J14"/>
      <c r="K14"/>
      <c r="L14"/>
      <c r="M14"/>
      <c r="N14"/>
      <c r="O14"/>
      <c r="P14"/>
      <c r="Q14"/>
      <c r="R14"/>
      <c r="S14"/>
      <c r="T14"/>
      <c r="U14"/>
    </row>
    <row r="15" spans="2:21" ht="14.5" x14ac:dyDescent="0.35">
      <c r="B15" s="375" t="str">
        <f>'CompanyP&amp;L'!Y11</f>
        <v>Other Operating Expenses</v>
      </c>
      <c r="C15" s="456">
        <f ca="1">IF($C$1="Dollars", 'CompanyP&amp;L'!Z11, 'CompanyP&amp;L'!Z11/$C$2)</f>
        <v>1623599.2649976327</v>
      </c>
      <c r="D15" s="456">
        <f ca="1">IF($C$1="Dollars", 'CompanyP&amp;L'!AA11, 'CompanyP&amp;L'!AA11/$C$2)</f>
        <v>2691890.9511516849</v>
      </c>
      <c r="E15" s="456">
        <f ca="1">IF($C$1="Dollars", 'CompanyP&amp;L'!AB11, 'CompanyP&amp;L'!AB11/$C$2)</f>
        <v>3774560.8739305111</v>
      </c>
      <c r="F15" s="456">
        <f ca="1">IF($C$1="Dollars", 'CompanyP&amp;L'!AC11, 'CompanyP&amp;L'!AC11/$C$2)</f>
        <v>4872046.1307628248</v>
      </c>
      <c r="G15" s="457">
        <f ca="1">IF($C$1="Dollars", 'CompanyP&amp;L'!AD11, 'CompanyP&amp;L'!AD11/$C$2)</f>
        <v>5984797.1359915128</v>
      </c>
      <c r="J15"/>
      <c r="K15"/>
      <c r="L15"/>
      <c r="M15"/>
      <c r="N15"/>
      <c r="O15"/>
      <c r="P15"/>
      <c r="Q15"/>
      <c r="R15"/>
      <c r="S15"/>
      <c r="T15"/>
      <c r="U15"/>
    </row>
    <row r="16" spans="2:21" ht="14.5" x14ac:dyDescent="0.35">
      <c r="B16" s="398" t="str">
        <f>'CompanyP&amp;L'!Y12</f>
        <v>Other Operating Expenses as a % of Revenue</v>
      </c>
      <c r="C16" s="392">
        <f ca="1">'CompanyP&amp;L'!Z12</f>
        <v>9.0039262308010223E-2</v>
      </c>
      <c r="D16" s="392">
        <f ca="1">'CompanyP&amp;L'!AA12</f>
        <v>9.1795762265497044E-2</v>
      </c>
      <c r="E16" s="392">
        <f ca="1">'CompanyP&amp;L'!AB12</f>
        <v>9.2152853944864999E-2</v>
      </c>
      <c r="F16" s="392">
        <f ca="1">'CompanyP&amp;L'!AC12</f>
        <v>9.2016500371302545E-2</v>
      </c>
      <c r="G16" s="393">
        <f ca="1">'CompanyP&amp;L'!AD12</f>
        <v>9.1652565023561131E-2</v>
      </c>
      <c r="J16"/>
      <c r="K16"/>
      <c r="L16"/>
      <c r="M16"/>
      <c r="N16"/>
      <c r="O16"/>
      <c r="P16"/>
      <c r="Q16"/>
      <c r="R16"/>
      <c r="S16"/>
      <c r="T16"/>
      <c r="U16"/>
    </row>
    <row r="17" spans="2:21" ht="14.5" x14ac:dyDescent="0.35">
      <c r="B17" s="375" t="str">
        <f>'CompanyP&amp;L'!Y13</f>
        <v>Occupancy Costs</v>
      </c>
      <c r="C17" s="456">
        <f ca="1">IF($C$1="Dollars", 'CompanyP&amp;L'!Z13, 'CompanyP&amp;L'!Z13/$C$2)</f>
        <v>1137500</v>
      </c>
      <c r="D17" s="456">
        <f ca="1">IF($C$1="Dollars", 'CompanyP&amp;L'!AA13, 'CompanyP&amp;L'!AA13/$C$2)</f>
        <v>1917500</v>
      </c>
      <c r="E17" s="456">
        <f ca="1">IF($C$1="Dollars", 'CompanyP&amp;L'!AB13, 'CompanyP&amp;L'!AB13/$C$2)</f>
        <v>2697500</v>
      </c>
      <c r="F17" s="456">
        <f ca="1">IF($C$1="Dollars", 'CompanyP&amp;L'!AC13, 'CompanyP&amp;L'!AC13/$C$2)</f>
        <v>3477500</v>
      </c>
      <c r="G17" s="457">
        <f ca="1">IF($C$1="Dollars", 'CompanyP&amp;L'!AD13, 'CompanyP&amp;L'!AD13/$C$2)</f>
        <v>4257500</v>
      </c>
      <c r="J17"/>
      <c r="K17"/>
      <c r="L17"/>
      <c r="M17"/>
      <c r="N17"/>
      <c r="O17"/>
      <c r="P17"/>
      <c r="Q17"/>
      <c r="R17"/>
      <c r="S17"/>
      <c r="T17"/>
      <c r="U17"/>
    </row>
    <row r="18" spans="2:21" ht="14.5" x14ac:dyDescent="0.35">
      <c r="B18" s="398" t="str">
        <f>'CompanyP&amp;L'!Y14</f>
        <v>Occupancy Costs as a % of Revenue</v>
      </c>
      <c r="C18" s="392">
        <f ca="1">'CompanyP&amp;L'!Z14</f>
        <v>6.3081859596377035E-2</v>
      </c>
      <c r="D18" s="392">
        <f ca="1">'CompanyP&amp;L'!AA14</f>
        <v>6.5388374692066847E-2</v>
      </c>
      <c r="E18" s="392">
        <f ca="1">'CompanyP&amp;L'!AB14</f>
        <v>6.5857282957903537E-2</v>
      </c>
      <c r="F18" s="392">
        <f ca="1">'CompanyP&amp;L'!AC14</f>
        <v>6.5678232810801332E-2</v>
      </c>
      <c r="G18" s="393">
        <f ca="1">'CompanyP&amp;L'!AD14</f>
        <v>6.5200337909726749E-2</v>
      </c>
      <c r="J18"/>
      <c r="K18"/>
      <c r="L18"/>
      <c r="M18"/>
      <c r="N18"/>
      <c r="O18"/>
      <c r="P18"/>
      <c r="Q18"/>
      <c r="R18"/>
      <c r="S18"/>
      <c r="T18"/>
      <c r="U18"/>
    </row>
    <row r="19" spans="2:21" ht="14.5" x14ac:dyDescent="0.35">
      <c r="B19" s="375" t="str">
        <f>'CompanyP&amp;L'!Y15</f>
        <v>SLEBITDA</v>
      </c>
      <c r="C19" s="458">
        <f ca="1">IF($C$1="Dollars", 'CompanyP&amp;L'!Z15, 'CompanyP&amp;L'!Z15/$C$2)</f>
        <v>4619579.7523493338</v>
      </c>
      <c r="D19" s="458">
        <f ca="1">IF($C$1="Dollars", 'CompanyP&amp;L'!AA15, 'CompanyP&amp;L'!AA15/$C$2)</f>
        <v>6914030.5771799944</v>
      </c>
      <c r="E19" s="458">
        <f ca="1">IF($C$1="Dollars", 'CompanyP&amp;L'!AB15, 'CompanyP&amp;L'!AB15/$C$2)</f>
        <v>9323863.3208547309</v>
      </c>
      <c r="F19" s="458">
        <f ca="1">IF($C$1="Dollars", 'CompanyP&amp;L'!AC15, 'CompanyP&amp;L'!AC15/$C$2)</f>
        <v>11852588.246777587</v>
      </c>
      <c r="G19" s="459">
        <f ca="1">IF($C$1="Dollars", 'CompanyP&amp;L'!AD15, 'CompanyP&amp;L'!AD15/$C$2)</f>
        <v>14503822.706832279</v>
      </c>
      <c r="J19"/>
      <c r="K19"/>
      <c r="L19"/>
      <c r="M19"/>
      <c r="N19"/>
      <c r="O19"/>
      <c r="P19"/>
      <c r="Q19"/>
      <c r="R19"/>
      <c r="S19"/>
      <c r="T19"/>
      <c r="U19"/>
    </row>
    <row r="20" spans="2:21" ht="14.5" x14ac:dyDescent="0.35">
      <c r="B20" s="398" t="str">
        <f>'CompanyP&amp;L'!Y16</f>
        <v>SLEBITDA as a % of Revenue</v>
      </c>
      <c r="C20" s="392">
        <f ca="1">'CompanyP&amp;L'!Z16</f>
        <v>0.25618609347865223</v>
      </c>
      <c r="D20" s="392">
        <f ca="1">'CompanyP&amp;L'!AA16</f>
        <v>0.23577430091945381</v>
      </c>
      <c r="E20" s="392">
        <f ca="1">'CompanyP&amp;L'!AB16</f>
        <v>0.22763458942811796</v>
      </c>
      <c r="F20" s="392">
        <f ca="1">'CompanyP&amp;L'!AC16</f>
        <v>0.22385537031845459</v>
      </c>
      <c r="G20" s="393">
        <f ca="1">'CompanyP&amp;L'!AD16</f>
        <v>0.22211488936423543</v>
      </c>
      <c r="J20"/>
      <c r="K20"/>
      <c r="L20"/>
      <c r="M20"/>
      <c r="N20"/>
      <c r="O20"/>
      <c r="P20"/>
      <c r="Q20"/>
      <c r="R20"/>
      <c r="S20"/>
      <c r="T20"/>
      <c r="U20"/>
    </row>
    <row r="21" spans="2:21" ht="14.5" x14ac:dyDescent="0.35">
      <c r="B21" s="375" t="str">
        <f>'CompanyP&amp;L'!Y17</f>
        <v>G&amp;A</v>
      </c>
      <c r="C21" s="456">
        <f>IF($C$1="Dollars", 'CompanyP&amp;L'!Z17, 'CompanyP&amp;L'!Z17/$C$2)</f>
        <v>1193990</v>
      </c>
      <c r="D21" s="456">
        <f>IF($C$1="Dollars", 'CompanyP&amp;L'!AA17, 'CompanyP&amp;L'!AA17/$C$2)</f>
        <v>1594190</v>
      </c>
      <c r="E21" s="456">
        <f>IF($C$1="Dollars", 'CompanyP&amp;L'!AB17, 'CompanyP&amp;L'!AB17/$C$2)</f>
        <v>2151365</v>
      </c>
      <c r="F21" s="456">
        <f>IF($C$1="Dollars", 'CompanyP&amp;L'!AC17, 'CompanyP&amp;L'!AC17/$C$2)</f>
        <v>2525690</v>
      </c>
      <c r="G21" s="457">
        <f>IF($C$1="Dollars", 'CompanyP&amp;L'!AD17, 'CompanyP&amp;L'!AD17/$C$2)</f>
        <v>2896565</v>
      </c>
      <c r="J21"/>
      <c r="K21"/>
      <c r="L21"/>
      <c r="M21"/>
      <c r="N21"/>
      <c r="O21"/>
      <c r="P21"/>
      <c r="Q21"/>
      <c r="R21"/>
      <c r="S21"/>
      <c r="T21"/>
      <c r="U21"/>
    </row>
    <row r="22" spans="2:21" ht="14.5" x14ac:dyDescent="0.35">
      <c r="B22" s="398" t="str">
        <f>'CompanyP&amp;L'!Y18</f>
        <v>G&amp;A as a % of Revenue</v>
      </c>
      <c r="C22" s="392">
        <f ca="1">'CompanyP&amp;L'!Z18</f>
        <v>6.6214601792947886E-2</v>
      </c>
      <c r="D22" s="392">
        <f ca="1">'CompanyP&amp;L'!AA18</f>
        <v>5.4363229752462085E-2</v>
      </c>
      <c r="E22" s="392">
        <f ca="1">'CompanyP&amp;L'!AB18</f>
        <v>5.2523838202309603E-2</v>
      </c>
      <c r="F22" s="392">
        <f ca="1">'CompanyP&amp;L'!AC18</f>
        <v>4.7701755809608282E-2</v>
      </c>
      <c r="G22" s="393">
        <f ca="1">'CompanyP&amp;L'!AD18</f>
        <v>4.4358665126832106E-2</v>
      </c>
      <c r="J22"/>
      <c r="K22"/>
      <c r="L22"/>
      <c r="M22"/>
      <c r="N22"/>
      <c r="O22"/>
      <c r="P22"/>
      <c r="Q22"/>
      <c r="R22"/>
      <c r="S22"/>
      <c r="T22"/>
      <c r="U22"/>
    </row>
    <row r="23" spans="2:21" ht="14.5" x14ac:dyDescent="0.35">
      <c r="B23" s="375" t="str">
        <f>'CompanyP&amp;L'!Y19</f>
        <v>EBITDA</v>
      </c>
      <c r="C23" s="458">
        <f ca="1">IF($C$1="Dollars", 'CompanyP&amp;L'!Z19, 'CompanyP&amp;L'!Z19/$C$2)</f>
        <v>3425589.7523493343</v>
      </c>
      <c r="D23" s="458">
        <f ca="1">IF($C$1="Dollars", 'CompanyP&amp;L'!AA19, 'CompanyP&amp;L'!AA19/$C$2)</f>
        <v>5319840.5771799944</v>
      </c>
      <c r="E23" s="458">
        <f ca="1">IF($C$1="Dollars", 'CompanyP&amp;L'!AB19, 'CompanyP&amp;L'!AB19/$C$2)</f>
        <v>7172498.3208547309</v>
      </c>
      <c r="F23" s="458">
        <f ca="1">IF($C$1="Dollars", 'CompanyP&amp;L'!AC19, 'CompanyP&amp;L'!AC19/$C$2)</f>
        <v>9326898.2467775866</v>
      </c>
      <c r="G23" s="459">
        <f ca="1">IF($C$1="Dollars", 'CompanyP&amp;L'!AD19, 'CompanyP&amp;L'!AD19/$C$2)</f>
        <v>11607257.706832279</v>
      </c>
      <c r="J23"/>
      <c r="K23"/>
      <c r="L23"/>
      <c r="M23"/>
      <c r="N23"/>
      <c r="O23"/>
      <c r="P23"/>
      <c r="Q23"/>
      <c r="R23"/>
      <c r="S23"/>
      <c r="T23"/>
      <c r="U23"/>
    </row>
    <row r="24" spans="2:21" ht="14.5" x14ac:dyDescent="0.35">
      <c r="B24" s="398" t="str">
        <f>'CompanyP&amp;L'!Y20</f>
        <v>EBITDA as a % of Revenue</v>
      </c>
      <c r="C24" s="392">
        <f ca="1">'CompanyP&amp;L'!Z20</f>
        <v>0.18997149168570435</v>
      </c>
      <c r="D24" s="392">
        <f ca="1">'CompanyP&amp;L'!AA20</f>
        <v>0.18141107116699173</v>
      </c>
      <c r="E24" s="392">
        <f ca="1">'CompanyP&amp;L'!AB20</f>
        <v>0.17511075122580835</v>
      </c>
      <c r="F24" s="392">
        <f ca="1">'CompanyP&amp;L'!AC20</f>
        <v>0.17615361450884631</v>
      </c>
      <c r="G24" s="393">
        <f ca="1">'CompanyP&amp;L'!AD20</f>
        <v>0.17775622423740331</v>
      </c>
      <c r="K24"/>
      <c r="L24"/>
      <c r="M24"/>
      <c r="N24"/>
      <c r="O24"/>
      <c r="P24"/>
      <c r="Q24"/>
      <c r="R24"/>
      <c r="S24"/>
      <c r="T24"/>
      <c r="U24"/>
    </row>
    <row r="25" spans="2:21" ht="14.5" x14ac:dyDescent="0.35">
      <c r="B25" s="375" t="str">
        <f>'CompanyP&amp;L'!Y21</f>
        <v>Depreciation</v>
      </c>
      <c r="C25" s="456">
        <f>IF($C$1="Dollars", 'CompanyP&amp;L'!Z21, 'CompanyP&amp;L'!Z21/$C$2)</f>
        <v>980237.6953125</v>
      </c>
      <c r="D25" s="456">
        <f>IF($C$1="Dollars", 'CompanyP&amp;L'!AA21, 'CompanyP&amp;L'!AA21/$C$2)</f>
        <v>1904553.9158463334</v>
      </c>
      <c r="E25" s="456">
        <f>IF($C$1="Dollars", 'CompanyP&amp;L'!AB21, 'CompanyP&amp;L'!AB21/$C$2)</f>
        <v>2697828.4763295101</v>
      </c>
      <c r="F25" s="456">
        <f>IF($C$1="Dollars", 'CompanyP&amp;L'!AC21, 'CompanyP&amp;L'!AC21/$C$2)</f>
        <v>3378639.3442231151</v>
      </c>
      <c r="G25" s="457">
        <f>IF($C$1="Dollars", 'CompanyP&amp;L'!AD21, 'CompanyP&amp;L'!AD21/$C$2)</f>
        <v>3962930.6614181707</v>
      </c>
      <c r="K25"/>
      <c r="L25"/>
      <c r="M25"/>
      <c r="N25"/>
      <c r="O25"/>
      <c r="P25"/>
      <c r="Q25"/>
      <c r="R25"/>
      <c r="S25"/>
      <c r="T25"/>
      <c r="U25"/>
    </row>
    <row r="26" spans="2:21" ht="14.5" x14ac:dyDescent="0.35">
      <c r="B26" s="398" t="str">
        <f>'CompanyP&amp;L'!Y22</f>
        <v>Depreciation as a % of Revenue</v>
      </c>
      <c r="C26" s="392">
        <f ca="1">'CompanyP&amp;L'!Z22</f>
        <v>5.4360630036729092E-2</v>
      </c>
      <c r="D26" s="392">
        <f ca="1">'CompanyP&amp;L'!AA22</f>
        <v>6.494690225324809E-2</v>
      </c>
      <c r="E26" s="392">
        <f ca="1">'CompanyP&amp;L'!AB22</f>
        <v>6.5865302442084273E-2</v>
      </c>
      <c r="F26" s="392">
        <f ca="1">'CompanyP&amp;L'!AC22</f>
        <v>6.3811088837848709E-2</v>
      </c>
      <c r="G26" s="393">
        <f ca="1">'CompanyP&amp;L'!AD22</f>
        <v>6.0689235052796636E-2</v>
      </c>
      <c r="K26"/>
      <c r="L26"/>
      <c r="M26"/>
      <c r="N26"/>
      <c r="O26"/>
      <c r="P26"/>
      <c r="Q26"/>
      <c r="R26"/>
      <c r="S26"/>
      <c r="T26"/>
      <c r="U26"/>
    </row>
    <row r="27" spans="2:21" ht="14.5" x14ac:dyDescent="0.35">
      <c r="B27" s="375" t="str">
        <f>'CompanyP&amp;L'!Y23</f>
        <v>EBIT</v>
      </c>
      <c r="C27" s="458">
        <f ca="1">IF($C$1="Dollars", 'CompanyP&amp;L'!Z23, 'CompanyP&amp;L'!Z23/$C$2)</f>
        <v>2445352.0570368338</v>
      </c>
      <c r="D27" s="458">
        <f ca="1">IF($C$1="Dollars", 'CompanyP&amp;L'!AA23, 'CompanyP&amp;L'!AA23/$C$2)</f>
        <v>3415286.6613336606</v>
      </c>
      <c r="E27" s="458">
        <f ca="1">IF($C$1="Dollars", 'CompanyP&amp;L'!AB23, 'CompanyP&amp;L'!AB23/$C$2)</f>
        <v>4474669.8445252217</v>
      </c>
      <c r="F27" s="458">
        <f ca="1">IF($C$1="Dollars", 'CompanyP&amp;L'!AC23, 'CompanyP&amp;L'!AC23/$C$2)</f>
        <v>5948258.902554471</v>
      </c>
      <c r="G27" s="459">
        <f ca="1">IF($C$1="Dollars", 'CompanyP&amp;L'!AD23, 'CompanyP&amp;L'!AD23/$C$2)</f>
        <v>7644327.045414106</v>
      </c>
      <c r="K27"/>
      <c r="L27"/>
      <c r="M27"/>
      <c r="N27"/>
      <c r="O27"/>
      <c r="P27"/>
      <c r="Q27"/>
      <c r="R27"/>
      <c r="S27"/>
      <c r="T27"/>
      <c r="U27"/>
    </row>
    <row r="28" spans="2:21" ht="14.5" x14ac:dyDescent="0.35">
      <c r="B28" s="398" t="str">
        <f>'CompanyP&amp;L'!Y24</f>
        <v>EBIT as a % of Revenue</v>
      </c>
      <c r="C28" s="392">
        <f ca="1">'CompanyP&amp;L'!Z24</f>
        <v>0.13561086164897523</v>
      </c>
      <c r="D28" s="392">
        <f ca="1">'CompanyP&amp;L'!AA24</f>
        <v>0.11646416891374363</v>
      </c>
      <c r="E28" s="392">
        <f ca="1">'CompanyP&amp;L'!AB24</f>
        <v>0.10924544878372411</v>
      </c>
      <c r="F28" s="392">
        <f ca="1">'CompanyP&amp;L'!AC24</f>
        <v>0.1123425256709976</v>
      </c>
      <c r="G28" s="393">
        <f ca="1">'CompanyP&amp;L'!AD24</f>
        <v>0.11706698918460666</v>
      </c>
      <c r="K28"/>
      <c r="L28"/>
      <c r="M28"/>
      <c r="N28"/>
      <c r="O28"/>
      <c r="P28"/>
      <c r="Q28"/>
      <c r="R28"/>
      <c r="S28"/>
      <c r="T28"/>
      <c r="U28"/>
    </row>
    <row r="29" spans="2:21" ht="14.5" x14ac:dyDescent="0.35">
      <c r="B29" s="375" t="str">
        <f>'CompanyP&amp;L'!Y25</f>
        <v>Interest Expense</v>
      </c>
      <c r="C29" s="456">
        <f>IF($C$1="Dollars", 'CompanyP&amp;L'!Z25, 'CompanyP&amp;L'!Z25/$C$2)</f>
        <v>500000</v>
      </c>
      <c r="D29" s="456">
        <f>IF($C$1="Dollars", 'CompanyP&amp;L'!AA25, 'CompanyP&amp;L'!AA25/$C$2)</f>
        <v>500000</v>
      </c>
      <c r="E29" s="456">
        <f>IF($C$1="Dollars", 'CompanyP&amp;L'!AB25, 'CompanyP&amp;L'!AB25/$C$2)</f>
        <v>500000</v>
      </c>
      <c r="F29" s="456">
        <f>IF($C$1="Dollars", 'CompanyP&amp;L'!AC25, 'CompanyP&amp;L'!AC25/$C$2)</f>
        <v>500000</v>
      </c>
      <c r="G29" s="457">
        <f>IF($C$1="Dollars", 'CompanyP&amp;L'!AD25, 'CompanyP&amp;L'!AD25/$C$2)</f>
        <v>500000</v>
      </c>
      <c r="K29"/>
      <c r="L29"/>
      <c r="M29"/>
      <c r="N29"/>
      <c r="O29"/>
      <c r="P29"/>
      <c r="Q29"/>
      <c r="R29"/>
      <c r="S29"/>
      <c r="T29"/>
      <c r="U29"/>
    </row>
    <row r="30" spans="2:21" ht="14.5" x14ac:dyDescent="0.35">
      <c r="B30" s="398" t="str">
        <f>'CompanyP&amp;L'!Y26</f>
        <v>Interest Expense as a % of Revenue</v>
      </c>
      <c r="C30" s="392">
        <f ca="1">'CompanyP&amp;L'!Z26</f>
        <v>2.7728289932473425E-2</v>
      </c>
      <c r="D30" s="392">
        <f ca="1">'CompanyP&amp;L'!AA26</f>
        <v>1.7050423648518082E-2</v>
      </c>
      <c r="E30" s="392">
        <f ca="1">'CompanyP&amp;L'!AB26</f>
        <v>1.2207096007025679E-2</v>
      </c>
      <c r="F30" s="392">
        <f ca="1">'CompanyP&amp;L'!AC26</f>
        <v>9.4433116909850932E-3</v>
      </c>
      <c r="G30" s="393">
        <f ca="1">'CompanyP&amp;L'!AD26</f>
        <v>7.657115432733618E-3</v>
      </c>
      <c r="K30"/>
      <c r="L30"/>
      <c r="M30"/>
      <c r="N30"/>
      <c r="O30"/>
      <c r="P30"/>
      <c r="Q30"/>
      <c r="R30"/>
      <c r="S30"/>
      <c r="T30"/>
      <c r="U30"/>
    </row>
    <row r="31" spans="2:21" ht="14.5" x14ac:dyDescent="0.35">
      <c r="B31" s="375" t="str">
        <f>'CompanyP&amp;L'!Y27</f>
        <v>Net Income</v>
      </c>
      <c r="C31" s="458">
        <f ca="1">IF($C$1="Dollars", 'CompanyP&amp;L'!Z27, 'CompanyP&amp;L'!Z27/$C$2)</f>
        <v>1945352.0570368341</v>
      </c>
      <c r="D31" s="458">
        <f ca="1">IF($C$1="Dollars", 'CompanyP&amp;L'!AA27, 'CompanyP&amp;L'!AA27/$C$2)</f>
        <v>2915286.6613336606</v>
      </c>
      <c r="E31" s="458">
        <f ca="1">IF($C$1="Dollars", 'CompanyP&amp;L'!AB27, 'CompanyP&amp;L'!AB27/$C$2)</f>
        <v>3974669.8445252213</v>
      </c>
      <c r="F31" s="458">
        <f ca="1">IF($C$1="Dollars", 'CompanyP&amp;L'!AC27, 'CompanyP&amp;L'!AC27/$C$2)</f>
        <v>5448258.902554471</v>
      </c>
      <c r="G31" s="459">
        <f ca="1">IF($C$1="Dollars", 'CompanyP&amp;L'!AD27, 'CompanyP&amp;L'!AD27/$C$2)</f>
        <v>7144327.045414106</v>
      </c>
      <c r="K31"/>
      <c r="L31"/>
      <c r="M31"/>
      <c r="N31"/>
      <c r="O31"/>
      <c r="P31"/>
      <c r="Q31"/>
      <c r="R31"/>
      <c r="S31"/>
      <c r="T31"/>
      <c r="U31"/>
    </row>
    <row r="32" spans="2:21" ht="15" thickBot="1" x14ac:dyDescent="0.4">
      <c r="B32" s="400" t="str">
        <f>'CompanyP&amp;L'!Y28</f>
        <v>Net Income as a % of Revenue</v>
      </c>
      <c r="C32" s="394">
        <f ca="1">'CompanyP&amp;L'!Z28</f>
        <v>0.10788257171650183</v>
      </c>
      <c r="D32" s="394">
        <f ca="1">'CompanyP&amp;L'!AA28</f>
        <v>9.9413745265225548E-2</v>
      </c>
      <c r="E32" s="394">
        <f ca="1">'CompanyP&amp;L'!AB28</f>
        <v>9.7038352776698408E-2</v>
      </c>
      <c r="F32" s="394">
        <f ca="1">'CompanyP&amp;L'!AC28</f>
        <v>0.1028992139800125</v>
      </c>
      <c r="G32" s="395">
        <f ca="1">'CompanyP&amp;L'!AD28</f>
        <v>0.10940987375187304</v>
      </c>
    </row>
    <row r="33" spans="2:7" x14ac:dyDescent="0.3">
      <c r="B33" s="339"/>
      <c r="C33" s="401"/>
      <c r="D33" s="401"/>
      <c r="E33" s="401"/>
      <c r="F33" s="401"/>
      <c r="G33" s="402"/>
    </row>
    <row r="34" spans="2:7" x14ac:dyDescent="0.3">
      <c r="B34" s="340" t="s">
        <v>147</v>
      </c>
      <c r="C34" s="341"/>
      <c r="D34" s="341"/>
      <c r="E34" s="341"/>
      <c r="F34" s="341"/>
      <c r="G34" s="342"/>
    </row>
    <row r="35" spans="2:7" x14ac:dyDescent="0.3">
      <c r="B35" s="343"/>
      <c r="C35" s="344" t="str">
        <f>BalanceSheet!AB3</f>
        <v>Year</v>
      </c>
      <c r="D35" s="344"/>
      <c r="E35" s="344"/>
      <c r="F35" s="344"/>
      <c r="G35" s="345"/>
    </row>
    <row r="36" spans="2:7" x14ac:dyDescent="0.3">
      <c r="B36" s="343"/>
      <c r="C36" s="359">
        <f>BalanceSheet!AB4</f>
        <v>1</v>
      </c>
      <c r="D36" s="359">
        <f>BalanceSheet!AC4</f>
        <v>2</v>
      </c>
      <c r="E36" s="359">
        <f>BalanceSheet!AD4</f>
        <v>3</v>
      </c>
      <c r="F36" s="359">
        <f>BalanceSheet!AE4</f>
        <v>4</v>
      </c>
      <c r="G36" s="360">
        <f>BalanceSheet!AF4</f>
        <v>5</v>
      </c>
    </row>
    <row r="37" spans="2:7" x14ac:dyDescent="0.3">
      <c r="B37" s="362" t="str">
        <f>BalanceSheet!AA6</f>
        <v>Cash and cash equivalents</v>
      </c>
      <c r="C37" s="456">
        <f ca="1">IF($C$1="Dollars",BalanceSheet!AB6,BalanceSheet!AB6/$C$2)</f>
        <v>4185627.8938802932</v>
      </c>
      <c r="D37" s="456">
        <f ca="1">IF($C$1="Dollars",BalanceSheet!AC6,BalanceSheet!AC6/$C$2)</f>
        <v>227918.89779319847</v>
      </c>
      <c r="E37" s="456">
        <f ca="1">IF($C$1="Dollars",BalanceSheet!AD6,BalanceSheet!AD6/$C$2)</f>
        <v>-1915862.6869993228</v>
      </c>
      <c r="F37" s="456">
        <f ca="1">IF($C$1="Dollars",BalanceSheet!AE6,BalanceSheet!AE6/$C$2)</f>
        <v>-1945152.1061768346</v>
      </c>
      <c r="G37" s="457">
        <f ca="1">IF($C$1="Dollars",BalanceSheet!AF6,BalanceSheet!AF6/$C$2)</f>
        <v>264796.87324628048</v>
      </c>
    </row>
    <row r="38" spans="2:7" x14ac:dyDescent="0.3">
      <c r="B38" s="363" t="str">
        <f>BalanceSheet!AA7</f>
        <v>Accounts receivable</v>
      </c>
      <c r="C38" s="460">
        <f ca="1">IF($C$1="Dollars",BalanceSheet!AB7,BalanceSheet!AB7/$C$2)</f>
        <v>2777199.2440994857</v>
      </c>
      <c r="D38" s="460">
        <f ca="1">IF($C$1="Dollars",BalanceSheet!AC7,BalanceSheet!AC7/$C$2)</f>
        <v>4204628.934900702</v>
      </c>
      <c r="E38" s="460">
        <f ca="1">IF($C$1="Dollars",BalanceSheet!AD7,BalanceSheet!AD7/$C$2)</f>
        <v>5675332.7400931623</v>
      </c>
      <c r="F38" s="460">
        <f ca="1">IF($C$1="Dollars",BalanceSheet!AE7,BalanceSheet!AE7/$C$2)</f>
        <v>7190626.221607239</v>
      </c>
      <c r="G38" s="461">
        <f ca="1">IF($C$1="Dollars",BalanceSheet!AF7,BalanceSheet!AF7/$C$2)</f>
        <v>8751865.0231817216</v>
      </c>
    </row>
    <row r="39" spans="2:7" x14ac:dyDescent="0.3">
      <c r="B39" s="363" t="str">
        <f>BalanceSheet!AA8</f>
        <v>Inventory</v>
      </c>
      <c r="C39" s="460">
        <f ca="1">IF($C$1="Dollars",BalanceSheet!AB8,BalanceSheet!AB8/$C$2)</f>
        <v>277719.92440994858</v>
      </c>
      <c r="D39" s="460">
        <f ca="1">IF($C$1="Dollars",BalanceSheet!AC8,BalanceSheet!AC8/$C$2)</f>
        <v>420462.89349007024</v>
      </c>
      <c r="E39" s="460">
        <f ca="1">IF($C$1="Dollars",BalanceSheet!AD8,BalanceSheet!AD8/$C$2)</f>
        <v>567533.27400931623</v>
      </c>
      <c r="F39" s="460">
        <f ca="1">IF($C$1="Dollars",BalanceSheet!AE8,BalanceSheet!AE8/$C$2)</f>
        <v>719062.6221607239</v>
      </c>
      <c r="G39" s="461">
        <f ca="1">IF($C$1="Dollars",BalanceSheet!AF8,BalanceSheet!AF8/$C$2)</f>
        <v>875186.50231817225</v>
      </c>
    </row>
    <row r="40" spans="2:7" x14ac:dyDescent="0.3">
      <c r="B40" s="363" t="str">
        <f>BalanceSheet!AA9</f>
        <v>Prepaids and other current assets</v>
      </c>
      <c r="C40" s="460">
        <f ca="1">IF($C$1="Dollars",BalanceSheet!AB9,BalanceSheet!AB9/$C$2)</f>
        <v>27771.992440994858</v>
      </c>
      <c r="D40" s="460">
        <f ca="1">IF($C$1="Dollars",BalanceSheet!AC9,BalanceSheet!AC9/$C$2)</f>
        <v>42046.28934900702</v>
      </c>
      <c r="E40" s="460">
        <f ca="1">IF($C$1="Dollars",BalanceSheet!AD9,BalanceSheet!AD9/$C$2)</f>
        <v>56753.327400931623</v>
      </c>
      <c r="F40" s="460">
        <f ca="1">IF($C$1="Dollars",BalanceSheet!AE9,BalanceSheet!AE9/$C$2)</f>
        <v>71906.262216072399</v>
      </c>
      <c r="G40" s="461">
        <f ca="1">IF($C$1="Dollars",BalanceSheet!AF9,BalanceSheet!AF9/$C$2)</f>
        <v>87518.650231817213</v>
      </c>
    </row>
    <row r="41" spans="2:7" x14ac:dyDescent="0.3">
      <c r="B41" s="364" t="str">
        <f>BalanceSheet!AA10</f>
        <v>Total current assets</v>
      </c>
      <c r="C41" s="462">
        <f ca="1">IF($C$1="Dollars",BalanceSheet!AB10,BalanceSheet!AB10/$C$2)</f>
        <v>7268319.0548307225</v>
      </c>
      <c r="D41" s="462">
        <f ca="1">IF($C$1="Dollars",BalanceSheet!AC10,BalanceSheet!AC10/$C$2)</f>
        <v>4895057.0155329788</v>
      </c>
      <c r="E41" s="462">
        <f ca="1">IF($C$1="Dollars",BalanceSheet!AD10,BalanceSheet!AD10/$C$2)</f>
        <v>4383756.6545040868</v>
      </c>
      <c r="F41" s="462">
        <f ca="1">IF($C$1="Dollars",BalanceSheet!AE10,BalanceSheet!AE10/$C$2)</f>
        <v>6036442.9998072013</v>
      </c>
      <c r="G41" s="463">
        <f ca="1">IF($C$1="Dollars",BalanceSheet!AF10,BalanceSheet!AF10/$C$2)</f>
        <v>9979367.0489779916</v>
      </c>
    </row>
    <row r="42" spans="2:7" x14ac:dyDescent="0.3">
      <c r="B42" s="365"/>
      <c r="C42" s="460"/>
      <c r="D42" s="460"/>
      <c r="E42" s="460"/>
      <c r="F42" s="460"/>
      <c r="G42" s="461"/>
    </row>
    <row r="43" spans="2:7" x14ac:dyDescent="0.3">
      <c r="B43" s="363" t="str">
        <f>BalanceSheet!AA12</f>
        <v>PP&amp;E, net</v>
      </c>
      <c r="C43" s="456">
        <f>IF($C$1="Dollars",BalanceSheet!AB12,BalanceSheet!AB12/$C$2)</f>
        <v>10519762.3046875</v>
      </c>
      <c r="D43" s="456">
        <f>IF($C$1="Dollars",BalanceSheet!AC12,BalanceSheet!AC12/$C$2)</f>
        <v>16115208.388841167</v>
      </c>
      <c r="E43" s="456">
        <f>IF($C$1="Dollars",BalanceSheet!AD12,BalanceSheet!AD12/$C$2)</f>
        <v>20917379.912511662</v>
      </c>
      <c r="F43" s="456">
        <f>IF($C$1="Dollars",BalanceSheet!AE12,BalanceSheet!AE12/$C$2)</f>
        <v>25038740.568288546</v>
      </c>
      <c r="G43" s="457">
        <f>IF($C$1="Dollars",BalanceSheet!AF12,BalanceSheet!AF12/$C$2)</f>
        <v>28575809.906870373</v>
      </c>
    </row>
    <row r="44" spans="2:7" x14ac:dyDescent="0.3">
      <c r="B44" s="366" t="str">
        <f>BalanceSheet!AA13</f>
        <v>Total assets</v>
      </c>
      <c r="C44" s="464">
        <f ca="1">IF($C$1="Dollars",BalanceSheet!AB13,BalanceSheet!AB13/$C$2)</f>
        <v>17788081.359518223</v>
      </c>
      <c r="D44" s="464">
        <f ca="1">IF($C$1="Dollars",BalanceSheet!AC13,BalanceSheet!AC13/$C$2)</f>
        <v>21010265.404374145</v>
      </c>
      <c r="E44" s="464">
        <f ca="1">IF($C$1="Dollars",BalanceSheet!AD13,BalanceSheet!AD13/$C$2)</f>
        <v>25301136.567015748</v>
      </c>
      <c r="F44" s="464">
        <f ca="1">IF($C$1="Dollars",BalanceSheet!AE13,BalanceSheet!AE13/$C$2)</f>
        <v>31075183.568095747</v>
      </c>
      <c r="G44" s="465">
        <f ca="1">IF($C$1="Dollars",BalanceSheet!AF13,BalanceSheet!AF13/$C$2)</f>
        <v>38555176.955848366</v>
      </c>
    </row>
    <row r="45" spans="2:7" x14ac:dyDescent="0.3">
      <c r="B45" s="365"/>
      <c r="C45" s="460"/>
      <c r="D45" s="460"/>
      <c r="E45" s="460"/>
      <c r="F45" s="460"/>
      <c r="G45" s="461"/>
    </row>
    <row r="46" spans="2:7" x14ac:dyDescent="0.3">
      <c r="B46" s="363" t="str">
        <f>BalanceSheet!AA15</f>
        <v>Accounts payable</v>
      </c>
      <c r="C46" s="460">
        <f ca="1">IF($C$1="Dollars",BalanceSheet!AB15,BalanceSheet!AB15/$C$2)</f>
        <v>555439.84881989716</v>
      </c>
      <c r="D46" s="460">
        <f ca="1">IF($C$1="Dollars",BalanceSheet!AC15,BalanceSheet!AC15/$C$2)</f>
        <v>840925.78698014049</v>
      </c>
      <c r="E46" s="460">
        <f ca="1">IF($C$1="Dollars",BalanceSheet!AD15,BalanceSheet!AD15/$C$2)</f>
        <v>1135066.5480186325</v>
      </c>
      <c r="F46" s="460">
        <f ca="1">IF($C$1="Dollars",BalanceSheet!AE15,BalanceSheet!AE15/$C$2)</f>
        <v>1438125.2443214478</v>
      </c>
      <c r="G46" s="461">
        <f ca="1">IF($C$1="Dollars",BalanceSheet!AF15,BalanceSheet!AF15/$C$2)</f>
        <v>1750373.0046363445</v>
      </c>
    </row>
    <row r="47" spans="2:7" x14ac:dyDescent="0.3">
      <c r="B47" s="363" t="str">
        <f>BalanceSheet!AA16</f>
        <v>Accrued liabilities</v>
      </c>
      <c r="C47" s="460">
        <f ca="1">IF($C$1="Dollars",BalanceSheet!AB16,BalanceSheet!AB16/$C$2)</f>
        <v>27771.992440994858</v>
      </c>
      <c r="D47" s="460">
        <f ca="1">IF($C$1="Dollars",BalanceSheet!AC16,BalanceSheet!AC16/$C$2)</f>
        <v>42046.28934900702</v>
      </c>
      <c r="E47" s="460">
        <f ca="1">IF($C$1="Dollars",BalanceSheet!AD16,BalanceSheet!AD16/$C$2)</f>
        <v>56753.327400931623</v>
      </c>
      <c r="F47" s="460">
        <f ca="1">IF($C$1="Dollars",BalanceSheet!AE16,BalanceSheet!AE16/$C$2)</f>
        <v>71906.262216072399</v>
      </c>
      <c r="G47" s="461">
        <f ca="1">IF($C$1="Dollars",BalanceSheet!AF16,BalanceSheet!AF16/$C$2)</f>
        <v>87518.650231817213</v>
      </c>
    </row>
    <row r="48" spans="2:7" x14ac:dyDescent="0.3">
      <c r="B48" s="363" t="str">
        <f>BalanceSheet!AA17</f>
        <v>Other current liabilities</v>
      </c>
      <c r="C48" s="460">
        <f ca="1">IF($C$1="Dollars",BalanceSheet!AB17,BalanceSheet!AB17/$C$2)</f>
        <v>13885.996220497429</v>
      </c>
      <c r="D48" s="460">
        <f ca="1">IF($C$1="Dollars",BalanceSheet!AC17,BalanceSheet!AC17/$C$2)</f>
        <v>21023.14467450351</v>
      </c>
      <c r="E48" s="460">
        <f ca="1">IF($C$1="Dollars",BalanceSheet!AD17,BalanceSheet!AD17/$C$2)</f>
        <v>28376.663700465811</v>
      </c>
      <c r="F48" s="460">
        <f ca="1">IF($C$1="Dollars",BalanceSheet!AE17,BalanceSheet!AE17/$C$2)</f>
        <v>35953.131108036199</v>
      </c>
      <c r="G48" s="461">
        <f ca="1">IF($C$1="Dollars",BalanceSheet!AF17,BalanceSheet!AF17/$C$2)</f>
        <v>43759.325115908607</v>
      </c>
    </row>
    <row r="49" spans="2:7" x14ac:dyDescent="0.3">
      <c r="B49" s="364" t="str">
        <f>BalanceSheet!AA18</f>
        <v>Total current liabiilities</v>
      </c>
      <c r="C49" s="462">
        <f ca="1">IF($C$1="Dollars",BalanceSheet!AB18,BalanceSheet!AB18/$C$2)</f>
        <v>597097.8374813894</v>
      </c>
      <c r="D49" s="462">
        <f ca="1">IF($C$1="Dollars",BalanceSheet!AC18,BalanceSheet!AC18/$C$2)</f>
        <v>903995.22100365104</v>
      </c>
      <c r="E49" s="462">
        <f ca="1">IF($C$1="Dollars",BalanceSheet!AD18,BalanceSheet!AD18/$C$2)</f>
        <v>1220196.5391200299</v>
      </c>
      <c r="F49" s="462">
        <f ca="1">IF($C$1="Dollars",BalanceSheet!AE18,BalanceSheet!AE18/$C$2)</f>
        <v>1545984.6376455564</v>
      </c>
      <c r="G49" s="463">
        <f ca="1">IF($C$1="Dollars",BalanceSheet!AF18,BalanceSheet!AF18/$C$2)</f>
        <v>1881650.9799840704</v>
      </c>
    </row>
    <row r="50" spans="2:7" x14ac:dyDescent="0.3">
      <c r="B50" s="365"/>
      <c r="C50" s="460"/>
      <c r="D50" s="460"/>
      <c r="E50" s="460"/>
      <c r="F50" s="460"/>
      <c r="G50" s="461"/>
    </row>
    <row r="51" spans="2:7" x14ac:dyDescent="0.3">
      <c r="B51" s="363" t="str">
        <f>BalanceSheet!AA20</f>
        <v>Revolving credit facility</v>
      </c>
      <c r="C51" s="460">
        <f>IF($C$1="Dollars",BalanceSheet!AB20,BalanceSheet!AB20/$C$2)</f>
        <v>10000000</v>
      </c>
      <c r="D51" s="460">
        <f>IF($C$1="Dollars",BalanceSheet!AC20,BalanceSheet!AC20/$C$2)</f>
        <v>10000000</v>
      </c>
      <c r="E51" s="460">
        <f>IF($C$1="Dollars",BalanceSheet!AD20,BalanceSheet!AD20/$C$2)</f>
        <v>10000000</v>
      </c>
      <c r="F51" s="460">
        <f>IF($C$1="Dollars",BalanceSheet!AE20,BalanceSheet!AE20/$C$2)</f>
        <v>10000000</v>
      </c>
      <c r="G51" s="461">
        <f>IF($C$1="Dollars",BalanceSheet!AF20,BalanceSheet!AF20/$C$2)</f>
        <v>10000000</v>
      </c>
    </row>
    <row r="52" spans="2:7" x14ac:dyDescent="0.3">
      <c r="B52" s="364" t="str">
        <f>BalanceSheet!AA21</f>
        <v>Total liabilities</v>
      </c>
      <c r="C52" s="466">
        <f ca="1">IF($C$1="Dollars",BalanceSheet!AB21,BalanceSheet!AB21/$C$2)</f>
        <v>10597097.837481389</v>
      </c>
      <c r="D52" s="466">
        <f ca="1">IF($C$1="Dollars",BalanceSheet!AC21,BalanceSheet!AC21/$C$2)</f>
        <v>10903995.221003652</v>
      </c>
      <c r="E52" s="466">
        <f ca="1">IF($C$1="Dollars",BalanceSheet!AD21,BalanceSheet!AD21/$C$2)</f>
        <v>11220196.53912003</v>
      </c>
      <c r="F52" s="466">
        <f ca="1">IF($C$1="Dollars",BalanceSheet!AE21,BalanceSheet!AE21/$C$2)</f>
        <v>11545984.637645556</v>
      </c>
      <c r="G52" s="467">
        <f ca="1">IF($C$1="Dollars",BalanceSheet!AF21,BalanceSheet!AF21/$C$2)</f>
        <v>11881650.979984071</v>
      </c>
    </row>
    <row r="53" spans="2:7" x14ac:dyDescent="0.3">
      <c r="B53" s="365"/>
      <c r="C53" s="460"/>
      <c r="D53" s="460"/>
      <c r="E53" s="460"/>
      <c r="F53" s="460"/>
      <c r="G53" s="461"/>
    </row>
    <row r="54" spans="2:7" x14ac:dyDescent="0.3">
      <c r="B54" s="363" t="str">
        <f>BalanceSheet!AA23</f>
        <v>Shareholders' equity</v>
      </c>
      <c r="C54" s="460">
        <f>IF($C$1="Dollars",BalanceSheet!AB23,BalanceSheet!AB23/$C$2)</f>
        <v>5245631</v>
      </c>
      <c r="D54" s="460">
        <f>IF($C$1="Dollars",BalanceSheet!AC23,BalanceSheet!AC23/$C$2)</f>
        <v>5245631</v>
      </c>
      <c r="E54" s="460">
        <f>IF($C$1="Dollars",BalanceSheet!AD23,BalanceSheet!AD23/$C$2)</f>
        <v>5245631</v>
      </c>
      <c r="F54" s="460">
        <f>IF($C$1="Dollars",BalanceSheet!AE23,BalanceSheet!AE23/$C$2)</f>
        <v>5245631</v>
      </c>
      <c r="G54" s="461">
        <f>IF($C$1="Dollars",BalanceSheet!AF23,BalanceSheet!AF23/$C$2)</f>
        <v>5245631</v>
      </c>
    </row>
    <row r="55" spans="2:7" x14ac:dyDescent="0.3">
      <c r="B55" s="363" t="str">
        <f>BalanceSheet!AA24</f>
        <v>Retained earnings + Current Year Net Income</v>
      </c>
      <c r="C55" s="460">
        <f ca="1">IF($C$1="Dollars",BalanceSheet!AB24,BalanceSheet!AB24/$C$2)</f>
        <v>1945352.0570368341</v>
      </c>
      <c r="D55" s="460">
        <f ca="1">IF($C$1="Dollars",BalanceSheet!AC24,BalanceSheet!AC24/$C$2)</f>
        <v>4860638.7183704944</v>
      </c>
      <c r="E55" s="460">
        <f ca="1">IF($C$1="Dollars",BalanceSheet!AD24,BalanceSheet!AD24/$C$2)</f>
        <v>8835308.5628957152</v>
      </c>
      <c r="F55" s="460">
        <f ca="1">IF($C$1="Dollars",BalanceSheet!AE24,BalanceSheet!AE24/$C$2)</f>
        <v>14283567.465450186</v>
      </c>
      <c r="G55" s="461">
        <f ca="1">IF($C$1="Dollars",BalanceSheet!AF24,BalanceSheet!AF24/$C$2)</f>
        <v>21427894.510864288</v>
      </c>
    </row>
    <row r="56" spans="2:7" x14ac:dyDescent="0.3">
      <c r="B56" s="364" t="str">
        <f>BalanceSheet!AA25</f>
        <v>Total shareholders' equity</v>
      </c>
      <c r="C56" s="466">
        <f ca="1">IF($C$1="Dollars",BalanceSheet!AB25,BalanceSheet!AB25/$C$2)</f>
        <v>7190983.0570368338</v>
      </c>
      <c r="D56" s="466">
        <f ca="1">IF($C$1="Dollars",BalanceSheet!AC25,BalanceSheet!AC25/$C$2)</f>
        <v>10106269.718370494</v>
      </c>
      <c r="E56" s="466">
        <f ca="1">IF($C$1="Dollars",BalanceSheet!AD25,BalanceSheet!AD25/$C$2)</f>
        <v>14080939.562895715</v>
      </c>
      <c r="F56" s="466">
        <f ca="1">IF($C$1="Dollars",BalanceSheet!AE25,BalanceSheet!AE25/$C$2)</f>
        <v>19529198.465450186</v>
      </c>
      <c r="G56" s="467">
        <f ca="1">IF($C$1="Dollars",BalanceSheet!AF25,BalanceSheet!AF25/$C$2)</f>
        <v>26673525.510864288</v>
      </c>
    </row>
    <row r="57" spans="2:7" x14ac:dyDescent="0.3">
      <c r="B57" s="367"/>
      <c r="C57" s="460"/>
      <c r="D57" s="460"/>
      <c r="E57" s="460"/>
      <c r="F57" s="460"/>
      <c r="G57" s="461"/>
    </row>
    <row r="58" spans="2:7" ht="14.5" thickBot="1" x14ac:dyDescent="0.35">
      <c r="B58" s="368" t="str">
        <f>BalanceSheet!AA27</f>
        <v>Total liabilities and equity</v>
      </c>
      <c r="C58" s="468">
        <f ca="1">IF($C$1="Dollars",BalanceSheet!AB27,BalanceSheet!AB27/$C$2)</f>
        <v>17788080.894518223</v>
      </c>
      <c r="D58" s="468">
        <f ca="1">IF($C$1="Dollars",BalanceSheet!AC27,BalanceSheet!AC27/$C$2)</f>
        <v>21010264.939374145</v>
      </c>
      <c r="E58" s="468">
        <f ca="1">IF($C$1="Dollars",BalanceSheet!AD27,BalanceSheet!AD27/$C$2)</f>
        <v>25301136.102015745</v>
      </c>
      <c r="F58" s="468">
        <f ca="1">IF($C$1="Dollars",BalanceSheet!AE27,BalanceSheet!AE27/$C$2)</f>
        <v>31075183.10309574</v>
      </c>
      <c r="G58" s="469">
        <f ca="1">IF($C$1="Dollars",BalanceSheet!AF27,BalanceSheet!AF27/$C$2)</f>
        <v>38555176.490848362</v>
      </c>
    </row>
    <row r="59" spans="2:7" ht="14.5" thickTop="1" x14ac:dyDescent="0.3">
      <c r="B59" s="339"/>
      <c r="C59" s="401"/>
      <c r="D59" s="401"/>
      <c r="E59" s="401"/>
      <c r="F59" s="401"/>
      <c r="G59" s="402"/>
    </row>
    <row r="60" spans="2:7" x14ac:dyDescent="0.3">
      <c r="B60" s="340" t="s">
        <v>277</v>
      </c>
      <c r="C60" s="341"/>
      <c r="D60" s="341"/>
      <c r="E60" s="341"/>
      <c r="F60" s="341"/>
      <c r="G60" s="342"/>
    </row>
    <row r="61" spans="2:7" x14ac:dyDescent="0.3">
      <c r="B61" s="343"/>
      <c r="C61" s="344" t="str">
        <f>CashFlowStatement!Z4</f>
        <v>Year</v>
      </c>
      <c r="D61" s="344"/>
      <c r="E61" s="344"/>
      <c r="F61" s="344"/>
      <c r="G61" s="345"/>
    </row>
    <row r="62" spans="2:7" x14ac:dyDescent="0.3">
      <c r="B62" s="375" t="str">
        <f>CashFlowStatement!Y5</f>
        <v>Operating Activities</v>
      </c>
      <c r="C62" s="359">
        <f>CashFlowStatement!Z5</f>
        <v>1</v>
      </c>
      <c r="D62" s="359">
        <f>CashFlowStatement!AA5</f>
        <v>2</v>
      </c>
      <c r="E62" s="359">
        <f>CashFlowStatement!AB5</f>
        <v>3</v>
      </c>
      <c r="F62" s="359">
        <f>CashFlowStatement!AC5</f>
        <v>4</v>
      </c>
      <c r="G62" s="360">
        <f>CashFlowStatement!AD5</f>
        <v>5</v>
      </c>
    </row>
    <row r="63" spans="2:7" x14ac:dyDescent="0.3">
      <c r="B63" s="343" t="str">
        <f>CashFlowStatement!Y6</f>
        <v>Net Income</v>
      </c>
      <c r="C63" s="456">
        <f ca="1">IF($C$1="Dollars", CashFlowStatement!Z6, CashFlowStatement!Z6/$C$2)</f>
        <v>1945352.0570368341</v>
      </c>
      <c r="D63" s="456">
        <f ca="1">IF($C$1="Dollars", CashFlowStatement!AA6, CashFlowStatement!AA6/$C$2)</f>
        <v>2915286.6613336606</v>
      </c>
      <c r="E63" s="456">
        <f ca="1">IF($C$1="Dollars", CashFlowStatement!AB6, CashFlowStatement!AB6/$C$2)</f>
        <v>3974669.8445252213</v>
      </c>
      <c r="F63" s="456">
        <f ca="1">IF($C$1="Dollars", CashFlowStatement!AC6, CashFlowStatement!AC6/$C$2)</f>
        <v>5448258.902554471</v>
      </c>
      <c r="G63" s="457">
        <f ca="1">IF($C$1="Dollars", CashFlowStatement!AD6, CashFlowStatement!AD6/$C$2)</f>
        <v>7144327.045414106</v>
      </c>
    </row>
    <row r="64" spans="2:7" x14ac:dyDescent="0.3">
      <c r="B64" s="343" t="str">
        <f>CashFlowStatement!Y7</f>
        <v>Plus: Depreciation and Amortization</v>
      </c>
      <c r="C64" s="456">
        <f>IF($C$1="Dollars", CashFlowStatement!Z7, CashFlowStatement!Z7/$C$2)</f>
        <v>980237.6953125</v>
      </c>
      <c r="D64" s="456">
        <f>IF($C$1="Dollars", CashFlowStatement!AA7, CashFlowStatement!AA7/$C$2)</f>
        <v>1904553.9158463334</v>
      </c>
      <c r="E64" s="456">
        <f>IF($C$1="Dollars", CashFlowStatement!AB7, CashFlowStatement!AB7/$C$2)</f>
        <v>2697828.4763295101</v>
      </c>
      <c r="F64" s="456">
        <f>IF($C$1="Dollars", CashFlowStatement!AC7, CashFlowStatement!AC7/$C$2)</f>
        <v>3378639.3442231151</v>
      </c>
      <c r="G64" s="457">
        <f>IF($C$1="Dollars", CashFlowStatement!AD7, CashFlowStatement!AD7/$C$2)</f>
        <v>3962930.6614181707</v>
      </c>
    </row>
    <row r="65" spans="2:7" x14ac:dyDescent="0.3">
      <c r="B65" s="343"/>
      <c r="C65" s="460"/>
      <c r="D65" s="460"/>
      <c r="E65" s="460"/>
      <c r="F65" s="460"/>
      <c r="G65" s="461"/>
    </row>
    <row r="66" spans="2:7" x14ac:dyDescent="0.3">
      <c r="B66" s="375" t="str">
        <f>CashFlowStatement!Y9</f>
        <v xml:space="preserve">Changes in Working Capital </v>
      </c>
      <c r="C66" s="460"/>
      <c r="D66" s="460"/>
      <c r="E66" s="460"/>
      <c r="F66" s="460"/>
      <c r="G66" s="461"/>
    </row>
    <row r="67" spans="2:7" x14ac:dyDescent="0.3">
      <c r="B67" s="376" t="str">
        <f>CashFlowStatement!Y10</f>
        <v>(Increase)/Decrease in Accounts Receivables</v>
      </c>
      <c r="C67" s="456">
        <f ca="1">IF($C$1="Dollars", CashFlowStatement!Z10, CashFlowStatement!Z10/$C$2)</f>
        <v>-1385432.2440994857</v>
      </c>
      <c r="D67" s="456">
        <f ca="1">IF($C$1="Dollars", CashFlowStatement!AA10, CashFlowStatement!AA10/$C$2)</f>
        <v>-1427429.6908012163</v>
      </c>
      <c r="E67" s="456">
        <f ca="1">IF($C$1="Dollars", CashFlowStatement!AB10, CashFlowStatement!AB10/$C$2)</f>
        <v>-1470703.8051924603</v>
      </c>
      <c r="F67" s="456">
        <f ca="1">IF($C$1="Dollars", CashFlowStatement!AC10, CashFlowStatement!AC10/$C$2)</f>
        <v>-1515293.4815140767</v>
      </c>
      <c r="G67" s="457">
        <f ca="1">IF($C$1="Dollars", CashFlowStatement!AD10, CashFlowStatement!AD10/$C$2)</f>
        <v>-1561238.8015744826</v>
      </c>
    </row>
    <row r="68" spans="2:7" x14ac:dyDescent="0.3">
      <c r="B68" s="376" t="str">
        <f>CashFlowStatement!Y11</f>
        <v>(Increase)/Decrease in Inventory</v>
      </c>
      <c r="C68" s="456">
        <f ca="1">IF($C$1="Dollars", CashFlowStatement!Z11, CashFlowStatement!Z11/$C$2)</f>
        <v>-138543.22440994857</v>
      </c>
      <c r="D68" s="456">
        <f ca="1">IF($C$1="Dollars", CashFlowStatement!AA11, CashFlowStatement!AA11/$C$2)</f>
        <v>-142742.96908012166</v>
      </c>
      <c r="E68" s="456">
        <f ca="1">IF($C$1="Dollars", CashFlowStatement!AB11, CashFlowStatement!AB11/$C$2)</f>
        <v>-147070.38051924598</v>
      </c>
      <c r="F68" s="456">
        <f ca="1">IF($C$1="Dollars", CashFlowStatement!AC11, CashFlowStatement!AC11/$C$2)</f>
        <v>-151529.34815140767</v>
      </c>
      <c r="G68" s="457">
        <f ca="1">IF($C$1="Dollars", CashFlowStatement!AD11, CashFlowStatement!AD11/$C$2)</f>
        <v>-156123.88015744835</v>
      </c>
    </row>
    <row r="69" spans="2:7" x14ac:dyDescent="0.3">
      <c r="B69" s="376" t="str">
        <f>CashFlowStatement!Y12</f>
        <v>(Increase)/Decrease in Prepaid and Other Current Assets</v>
      </c>
      <c r="C69" s="456">
        <f ca="1">IF($C$1="Dollars", CashFlowStatement!Z12, CashFlowStatement!Z12/$C$2)</f>
        <v>-13854.322440994858</v>
      </c>
      <c r="D69" s="456">
        <f ca="1">IF($C$1="Dollars", CashFlowStatement!AA12, CashFlowStatement!AA12/$C$2)</f>
        <v>-14274.296908012162</v>
      </c>
      <c r="E69" s="456">
        <f ca="1">IF($C$1="Dollars", CashFlowStatement!AB12, CashFlowStatement!AB12/$C$2)</f>
        <v>-14707.038051924603</v>
      </c>
      <c r="F69" s="456">
        <f ca="1">IF($C$1="Dollars", CashFlowStatement!AC12, CashFlowStatement!AC12/$C$2)</f>
        <v>-15152.934815140776</v>
      </c>
      <c r="G69" s="457">
        <f ca="1">IF($C$1="Dollars", CashFlowStatement!AD12, CashFlowStatement!AD12/$C$2)</f>
        <v>-15612.388015744815</v>
      </c>
    </row>
    <row r="70" spans="2:7" x14ac:dyDescent="0.3">
      <c r="B70" s="376"/>
      <c r="C70" s="460"/>
      <c r="D70" s="460"/>
      <c r="E70" s="460"/>
      <c r="F70" s="460"/>
      <c r="G70" s="461"/>
    </row>
    <row r="71" spans="2:7" x14ac:dyDescent="0.3">
      <c r="B71" s="376" t="str">
        <f>CashFlowStatement!Y14</f>
        <v>Increase/(Decrease) in Account Payable</v>
      </c>
      <c r="C71" s="456">
        <f ca="1">IF($C$1="Dollars", CashFlowStatement!Z14, CashFlowStatement!Z14/$C$2)</f>
        <v>277086.44881989714</v>
      </c>
      <c r="D71" s="456">
        <f ca="1">IF($C$1="Dollars", CashFlowStatement!AA14, CashFlowStatement!AA14/$C$2)</f>
        <v>285485.93816024333</v>
      </c>
      <c r="E71" s="456">
        <f ca="1">IF($C$1="Dollars", CashFlowStatement!AB14, CashFlowStatement!AB14/$C$2)</f>
        <v>294140.76103849197</v>
      </c>
      <c r="F71" s="456">
        <f ca="1">IF($C$1="Dollars", CashFlowStatement!AC14, CashFlowStatement!AC14/$C$2)</f>
        <v>303058.69630281534</v>
      </c>
      <c r="G71" s="457">
        <f ca="1">IF($C$1="Dollars", CashFlowStatement!AD14, CashFlowStatement!AD14/$C$2)</f>
        <v>312247.7603148967</v>
      </c>
    </row>
    <row r="72" spans="2:7" x14ac:dyDescent="0.3">
      <c r="B72" s="376" t="str">
        <f>CashFlowStatement!Y15</f>
        <v>Increase/(Decrease) in Accrued Liabilities</v>
      </c>
      <c r="C72" s="456">
        <f ca="1">IF($C$1="Dollars", CashFlowStatement!Z15, CashFlowStatement!Z15/$C$2)</f>
        <v>13854.322440994858</v>
      </c>
      <c r="D72" s="456">
        <f ca="1">IF($C$1="Dollars", CashFlowStatement!AA15, CashFlowStatement!AA15/$C$2)</f>
        <v>14274.296908012162</v>
      </c>
      <c r="E72" s="456">
        <f ca="1">IF($C$1="Dollars", CashFlowStatement!AB15, CashFlowStatement!AB15/$C$2)</f>
        <v>14707.038051924603</v>
      </c>
      <c r="F72" s="456">
        <f ca="1">IF($C$1="Dollars", CashFlowStatement!AC15, CashFlowStatement!AC15/$C$2)</f>
        <v>15152.934815140776</v>
      </c>
      <c r="G72" s="457">
        <f ca="1">IF($C$1="Dollars", CashFlowStatement!AD15, CashFlowStatement!AD15/$C$2)</f>
        <v>15612.388015744815</v>
      </c>
    </row>
    <row r="73" spans="2:7" x14ac:dyDescent="0.3">
      <c r="B73" s="376" t="str">
        <f>CashFlowStatement!Y16</f>
        <v>Increase/(Decrease) in Other Current Liabilities</v>
      </c>
      <c r="C73" s="456">
        <f ca="1">IF($C$1="Dollars", CashFlowStatement!Z16, CashFlowStatement!Z16/$C$2)</f>
        <v>6927.161220497429</v>
      </c>
      <c r="D73" s="456">
        <f ca="1">IF($C$1="Dollars", CashFlowStatement!AA16, CashFlowStatement!AA16/$C$2)</f>
        <v>7137.148454006081</v>
      </c>
      <c r="E73" s="456">
        <f ca="1">IF($C$1="Dollars", CashFlowStatement!AB16, CashFlowStatement!AB16/$C$2)</f>
        <v>7353.5190259623014</v>
      </c>
      <c r="F73" s="456">
        <f ca="1">IF($C$1="Dollars", CashFlowStatement!AC16, CashFlowStatement!AC16/$C$2)</f>
        <v>7576.4674075703879</v>
      </c>
      <c r="G73" s="457">
        <f ca="1">IF($C$1="Dollars", CashFlowStatement!AD16, CashFlowStatement!AD16/$C$2)</f>
        <v>7806.1940078724074</v>
      </c>
    </row>
    <row r="74" spans="2:7" x14ac:dyDescent="0.3">
      <c r="B74" s="377" t="str">
        <f>CashFlowStatement!Y17</f>
        <v xml:space="preserve">Increase/(Decrease) in Net Working Capital </v>
      </c>
      <c r="C74" s="470">
        <f ca="1">IF($C$1="Dollars", CashFlowStatement!Z17, CashFlowStatement!Z17/$C$2)</f>
        <v>-1239961.8584690397</v>
      </c>
      <c r="D74" s="470">
        <f ca="1">IF($C$1="Dollars", CashFlowStatement!AA17, CashFlowStatement!AA17/$C$2)</f>
        <v>-1277549.5732670887</v>
      </c>
      <c r="E74" s="470">
        <f ca="1">IF($C$1="Dollars", CashFlowStatement!AB17, CashFlowStatement!AB17/$C$2)</f>
        <v>-1316279.905647252</v>
      </c>
      <c r="F74" s="470">
        <f ca="1">IF($C$1="Dollars", CashFlowStatement!AC17, CashFlowStatement!AC17/$C$2)</f>
        <v>-1356187.6659550986</v>
      </c>
      <c r="G74" s="471">
        <f ca="1">IF($C$1="Dollars", CashFlowStatement!AD17, CashFlowStatement!AD17/$C$2)</f>
        <v>-1397308.7274091619</v>
      </c>
    </row>
    <row r="75" spans="2:7" x14ac:dyDescent="0.3">
      <c r="B75" s="377" t="str">
        <f>CashFlowStatement!Y18</f>
        <v>Cash Flow from Operating Activities</v>
      </c>
      <c r="C75" s="472">
        <f ca="1">IF($C$1="Dollars", CashFlowStatement!Z18, CashFlowStatement!Z18/$C$2)</f>
        <v>1685627.8938802946</v>
      </c>
      <c r="D75" s="472">
        <f ca="1">IF($C$1="Dollars", CashFlowStatement!AA18, CashFlowStatement!AA18/$C$2)</f>
        <v>3542291.0039129052</v>
      </c>
      <c r="E75" s="472">
        <f ca="1">IF($C$1="Dollars", CashFlowStatement!AB18, CashFlowStatement!AB18/$C$2)</f>
        <v>5356218.4152074791</v>
      </c>
      <c r="F75" s="472">
        <f ca="1">IF($C$1="Dollars", CashFlowStatement!AC18, CashFlowStatement!AC18/$C$2)</f>
        <v>7470710.5808224883</v>
      </c>
      <c r="G75" s="473">
        <f ca="1">IF($C$1="Dollars", CashFlowStatement!AD18, CashFlowStatement!AD18/$C$2)</f>
        <v>9709948.979423115</v>
      </c>
    </row>
    <row r="76" spans="2:7" x14ac:dyDescent="0.3">
      <c r="B76" s="343"/>
      <c r="C76" s="460"/>
      <c r="D76" s="460"/>
      <c r="E76" s="460"/>
      <c r="F76" s="460"/>
      <c r="G76" s="461"/>
    </row>
    <row r="77" spans="2:7" x14ac:dyDescent="0.3">
      <c r="B77" s="375" t="str">
        <f>CashFlowStatement!Y20</f>
        <v>Investing Activities</v>
      </c>
      <c r="C77" s="460"/>
      <c r="D77" s="460"/>
      <c r="E77" s="460"/>
      <c r="F77" s="460"/>
      <c r="G77" s="461"/>
    </row>
    <row r="78" spans="2:7" x14ac:dyDescent="0.3">
      <c r="B78" s="343" t="str">
        <f>CashFlowStatement!Y21</f>
        <v>Capital Expenditures (Fixed Assets)</v>
      </c>
      <c r="C78" s="456">
        <f>IF($C$1="Dollars", CashFlowStatement!Z21, CashFlowStatement!Z21/$C$2)</f>
        <v>-7500000</v>
      </c>
      <c r="D78" s="456">
        <f>IF($C$1="Dollars", CashFlowStatement!AA21, CashFlowStatement!AA21/$C$2)</f>
        <v>-7500000</v>
      </c>
      <c r="E78" s="456">
        <f>IF($C$1="Dollars", CashFlowStatement!AB21, CashFlowStatement!AB21/$C$2)</f>
        <v>-7500000</v>
      </c>
      <c r="F78" s="456">
        <f>IF($C$1="Dollars", CashFlowStatement!AC21, CashFlowStatement!AC21/$C$2)</f>
        <v>-7500000</v>
      </c>
      <c r="G78" s="457">
        <f>IF($C$1="Dollars", CashFlowStatement!AD21, CashFlowStatement!AD21/$C$2)</f>
        <v>-7500000</v>
      </c>
    </row>
    <row r="79" spans="2:7" x14ac:dyDescent="0.3">
      <c r="B79" s="375" t="str">
        <f>CashFlowStatement!Y22</f>
        <v>Cash Flow From Investing Activities</v>
      </c>
      <c r="C79" s="472">
        <f>IF($C$1="Dollars", CashFlowStatement!Z22, CashFlowStatement!Z22/$C$2)</f>
        <v>-7500000</v>
      </c>
      <c r="D79" s="472">
        <f>IF($C$1="Dollars", CashFlowStatement!AA22, CashFlowStatement!AA22/$C$2)</f>
        <v>-7500000</v>
      </c>
      <c r="E79" s="472">
        <f>IF($C$1="Dollars", CashFlowStatement!AB22, CashFlowStatement!AB22/$C$2)</f>
        <v>-7500000</v>
      </c>
      <c r="F79" s="472">
        <f>IF($C$1="Dollars", CashFlowStatement!AC22, CashFlowStatement!AC22/$C$2)</f>
        <v>-7500000</v>
      </c>
      <c r="G79" s="473">
        <f>IF($C$1="Dollars", CashFlowStatement!AD22, CashFlowStatement!AD22/$C$2)</f>
        <v>-7500000</v>
      </c>
    </row>
    <row r="80" spans="2:7" x14ac:dyDescent="0.3">
      <c r="B80" s="343"/>
      <c r="C80" s="460"/>
      <c r="D80" s="460"/>
      <c r="E80" s="460"/>
      <c r="F80" s="460"/>
      <c r="G80" s="461"/>
    </row>
    <row r="81" spans="2:7" x14ac:dyDescent="0.3">
      <c r="B81" s="375" t="str">
        <f>CashFlowStatement!Y24</f>
        <v xml:space="preserve">Cash Flow from Financing Activities </v>
      </c>
      <c r="C81" s="456"/>
      <c r="D81" s="456"/>
      <c r="E81" s="456"/>
      <c r="F81" s="456"/>
      <c r="G81" s="457"/>
    </row>
    <row r="82" spans="2:7" x14ac:dyDescent="0.3">
      <c r="B82" s="343" t="str">
        <f>CashFlowStatement!Y25</f>
        <v>Proceeds from repayment of revolving credit facility</v>
      </c>
      <c r="C82" s="456">
        <f>IF($C$1="Dollars", CashFlowStatement!Z25, CashFlowStatement!Z25/$C$2)</f>
        <v>0</v>
      </c>
      <c r="D82" s="456">
        <f>IF($C$1="Dollars", CashFlowStatement!AA25, CashFlowStatement!AA25/$C$2)</f>
        <v>0</v>
      </c>
      <c r="E82" s="456">
        <f>IF($C$1="Dollars", CashFlowStatement!AB25, CashFlowStatement!AB25/$C$2)</f>
        <v>0</v>
      </c>
      <c r="F82" s="456">
        <f>IF($C$1="Dollars", CashFlowStatement!AC25, CashFlowStatement!AC25/$C$2)</f>
        <v>0</v>
      </c>
      <c r="G82" s="457">
        <f>IF($C$1="Dollars", CashFlowStatement!AD25, CashFlowStatement!AD25/$C$2)</f>
        <v>0</v>
      </c>
    </row>
    <row r="83" spans="2:7" x14ac:dyDescent="0.3">
      <c r="B83" s="375" t="str">
        <f>CashFlowStatement!Y26</f>
        <v>Cash Flow from Financing Activities</v>
      </c>
      <c r="C83" s="472">
        <f>IF($C$1="Dollars", CashFlowStatement!Z26, CashFlowStatement!Z26/$C$2)</f>
        <v>0</v>
      </c>
      <c r="D83" s="472">
        <f>IF($C$1="Dollars", CashFlowStatement!AA26, CashFlowStatement!AA26/$C$2)</f>
        <v>0</v>
      </c>
      <c r="E83" s="472">
        <f>IF($C$1="Dollars", CashFlowStatement!AB26, CashFlowStatement!AB26/$C$2)</f>
        <v>0</v>
      </c>
      <c r="F83" s="472">
        <f>IF($C$1="Dollars", CashFlowStatement!AC26, CashFlowStatement!AC26/$C$2)</f>
        <v>0</v>
      </c>
      <c r="G83" s="473">
        <f>IF($C$1="Dollars", CashFlowStatement!AD26, CashFlowStatement!AD26/$C$2)</f>
        <v>0</v>
      </c>
    </row>
    <row r="84" spans="2:7" x14ac:dyDescent="0.3">
      <c r="B84" s="343"/>
      <c r="C84" s="470"/>
      <c r="D84" s="470"/>
      <c r="E84" s="470"/>
      <c r="F84" s="470"/>
      <c r="G84" s="471"/>
    </row>
    <row r="85" spans="2:7" ht="14.5" thickBot="1" x14ac:dyDescent="0.35">
      <c r="B85" s="375" t="str">
        <f>CashFlowStatement!Y28</f>
        <v xml:space="preserve">Net Change in Cash </v>
      </c>
      <c r="C85" s="474">
        <f ca="1">IF($C$1="Dollars", CashFlowStatement!Z28, CashFlowStatement!Z28/$C$2)</f>
        <v>-5814372.1061197054</v>
      </c>
      <c r="D85" s="474">
        <f ca="1">IF($C$1="Dollars", CashFlowStatement!AA28, CashFlowStatement!AA28/$C$2)</f>
        <v>-3957708.9960870948</v>
      </c>
      <c r="E85" s="474">
        <f ca="1">IF($C$1="Dollars", CashFlowStatement!AB28, CashFlowStatement!AB28/$C$2)</f>
        <v>-2143781.5847925213</v>
      </c>
      <c r="F85" s="474">
        <f ca="1">IF($C$1="Dollars", CashFlowStatement!AC28, CashFlowStatement!AC28/$C$2)</f>
        <v>-29289.41917751194</v>
      </c>
      <c r="G85" s="475">
        <f ca="1">IF($C$1="Dollars", CashFlowStatement!AD28, CashFlowStatement!AD28/$C$2)</f>
        <v>2209948.979423115</v>
      </c>
    </row>
    <row r="86" spans="2:7" ht="14.5" thickTop="1" x14ac:dyDescent="0.3">
      <c r="B86" s="343"/>
      <c r="C86" s="470"/>
      <c r="D86" s="470"/>
      <c r="E86" s="470"/>
      <c r="F86" s="470"/>
      <c r="G86" s="471"/>
    </row>
    <row r="87" spans="2:7" x14ac:dyDescent="0.3">
      <c r="B87" s="375" t="str">
        <f>CashFlowStatement!Y30</f>
        <v xml:space="preserve">Beginning Cash Balance </v>
      </c>
      <c r="C87" s="470">
        <f>IF($C$1="Dollars", CashFlowStatement!Z30, CashFlowStatement!Z30/$C$2)</f>
        <v>10000000</v>
      </c>
      <c r="D87" s="470">
        <f ca="1">IF($C$1="Dollars", CashFlowStatement!AA30, CashFlowStatement!AA30/$C$2)</f>
        <v>4185627.8938802946</v>
      </c>
      <c r="E87" s="470">
        <f ca="1">IF($C$1="Dollars", CashFlowStatement!AB30, CashFlowStatement!AB30/$C$2)</f>
        <v>227918.89779319987</v>
      </c>
      <c r="F87" s="470">
        <f ca="1">IF($C$1="Dollars", CashFlowStatement!AC30, CashFlowStatement!AC30/$C$2)</f>
        <v>-1915862.6869993214</v>
      </c>
      <c r="G87" s="471">
        <f ca="1">IF($C$1="Dollars", CashFlowStatement!AD30, CashFlowStatement!AD30/$C$2)</f>
        <v>-1945152.1061768334</v>
      </c>
    </row>
    <row r="88" spans="2:7" ht="14.5" thickBot="1" x14ac:dyDescent="0.35">
      <c r="B88" s="378" t="str">
        <f>CashFlowStatement!Y31</f>
        <v>Ending Cash Balance</v>
      </c>
      <c r="C88" s="476">
        <f ca="1">IF($C$1="Dollars", CashFlowStatement!Z31, CashFlowStatement!Z31/$C$2)</f>
        <v>4185627.8938802946</v>
      </c>
      <c r="D88" s="476">
        <f ca="1">IF($C$1="Dollars", CashFlowStatement!AA31, CashFlowStatement!AA31/$C$2)</f>
        <v>227918.89779319987</v>
      </c>
      <c r="E88" s="476">
        <f ca="1">IF($C$1="Dollars", CashFlowStatement!AB31, CashFlowStatement!AB31/$C$2)</f>
        <v>-1915862.6869993214</v>
      </c>
      <c r="F88" s="476">
        <f ca="1">IF($C$1="Dollars", CashFlowStatement!AC31, CashFlowStatement!AC31/$C$2)</f>
        <v>-1945152.1061768334</v>
      </c>
      <c r="G88" s="477">
        <f ca="1">IF($C$1="Dollars", CashFlowStatement!AD31, CashFlowStatement!AD31/$C$2)</f>
        <v>264796.87324628164</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ControlSheet!$K$1:$K$3</xm:f>
          </x14:formula1>
          <xm:sqref>C1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1:AD32"/>
  <sheetViews>
    <sheetView workbookViewId="0">
      <pane xSplit="2" topLeftCell="C1" activePane="topRight" state="frozen"/>
      <selection pane="topRight" activeCell="D27" sqref="D27"/>
    </sheetView>
  </sheetViews>
  <sheetFormatPr defaultRowHeight="14.5" x14ac:dyDescent="0.35"/>
  <cols>
    <col min="1" max="1" width="2.7265625" style="163" customWidth="1"/>
    <col min="2" max="2" width="41.81640625" style="300" bestFit="1" customWidth="1"/>
    <col min="3" max="3" width="3.1796875" style="163" customWidth="1"/>
    <col min="4" max="4" width="13.7265625" style="163" bestFit="1" customWidth="1"/>
    <col min="5" max="13" width="11.90625" style="163" bestFit="1" customWidth="1"/>
    <col min="14" max="23" width="13.08984375" style="163" bestFit="1" customWidth="1"/>
    <col min="25" max="25" width="39.54296875" style="163" bestFit="1" customWidth="1"/>
    <col min="26" max="30" width="13.08984375" style="163" bestFit="1" customWidth="1"/>
    <col min="31" max="16384" width="8.7265625" style="163"/>
  </cols>
  <sheetData>
    <row r="1" spans="2:30" ht="15" thickBot="1" x14ac:dyDescent="0.4"/>
    <row r="2" spans="2:30" x14ac:dyDescent="0.35">
      <c r="B2" s="300" t="s">
        <v>274</v>
      </c>
      <c r="D2" s="163">
        <v>1</v>
      </c>
      <c r="E2" s="163">
        <v>1</v>
      </c>
      <c r="F2" s="163">
        <v>1</v>
      </c>
      <c r="G2" s="163">
        <v>1</v>
      </c>
      <c r="H2" s="163">
        <v>2</v>
      </c>
      <c r="I2" s="163">
        <v>2</v>
      </c>
      <c r="J2" s="163">
        <v>2</v>
      </c>
      <c r="K2" s="163">
        <v>2</v>
      </c>
      <c r="L2" s="163">
        <v>3</v>
      </c>
      <c r="M2" s="163">
        <v>3</v>
      </c>
      <c r="N2" s="163">
        <v>3</v>
      </c>
      <c r="O2" s="163">
        <v>3</v>
      </c>
      <c r="P2" s="163">
        <v>4</v>
      </c>
      <c r="Q2" s="163">
        <v>4</v>
      </c>
      <c r="R2" s="163">
        <v>4</v>
      </c>
      <c r="S2" s="163">
        <v>4</v>
      </c>
      <c r="T2" s="163">
        <v>5</v>
      </c>
      <c r="U2" s="163">
        <v>5</v>
      </c>
      <c r="V2" s="163">
        <v>5</v>
      </c>
      <c r="W2" s="163">
        <v>5</v>
      </c>
      <c r="Y2" s="397"/>
      <c r="Z2" s="370" t="s">
        <v>276</v>
      </c>
      <c r="AA2" s="372"/>
      <c r="AB2" s="372"/>
      <c r="AC2" s="372"/>
      <c r="AD2" s="373"/>
    </row>
    <row r="3" spans="2:30" x14ac:dyDescent="0.35">
      <c r="D3" s="208" t="s">
        <v>6</v>
      </c>
      <c r="E3" s="209"/>
      <c r="F3" s="209"/>
      <c r="G3" s="209"/>
      <c r="H3" s="208" t="s">
        <v>7</v>
      </c>
      <c r="I3" s="209"/>
      <c r="J3" s="209"/>
      <c r="K3" s="209"/>
      <c r="L3" s="208" t="s">
        <v>8</v>
      </c>
      <c r="M3" s="209"/>
      <c r="N3" s="209"/>
      <c r="O3" s="209"/>
      <c r="P3" s="208" t="s">
        <v>9</v>
      </c>
      <c r="Q3" s="209"/>
      <c r="R3" s="209"/>
      <c r="S3" s="209"/>
      <c r="T3" s="208" t="s">
        <v>10</v>
      </c>
      <c r="U3" s="209"/>
      <c r="V3" s="209"/>
      <c r="W3" s="209"/>
      <c r="Y3" s="343"/>
      <c r="Z3" s="344" t="s">
        <v>274</v>
      </c>
      <c r="AA3" s="344"/>
      <c r="AB3" s="344"/>
      <c r="AC3" s="344"/>
      <c r="AD3" s="345"/>
    </row>
    <row r="4" spans="2:30" x14ac:dyDescent="0.35">
      <c r="D4" s="201" t="s">
        <v>11</v>
      </c>
      <c r="E4" s="201" t="s">
        <v>12</v>
      </c>
      <c r="F4" s="201" t="s">
        <v>13</v>
      </c>
      <c r="G4" s="201" t="s">
        <v>14</v>
      </c>
      <c r="H4" s="201" t="s">
        <v>11</v>
      </c>
      <c r="I4" s="201" t="s">
        <v>12</v>
      </c>
      <c r="J4" s="201" t="s">
        <v>13</v>
      </c>
      <c r="K4" s="201" t="s">
        <v>14</v>
      </c>
      <c r="L4" s="201" t="s">
        <v>11</v>
      </c>
      <c r="M4" s="201" t="s">
        <v>12</v>
      </c>
      <c r="N4" s="201" t="s">
        <v>13</v>
      </c>
      <c r="O4" s="201" t="s">
        <v>14</v>
      </c>
      <c r="P4" s="201" t="s">
        <v>11</v>
      </c>
      <c r="Q4" s="201" t="s">
        <v>12</v>
      </c>
      <c r="R4" s="201" t="s">
        <v>13</v>
      </c>
      <c r="S4" s="201" t="s">
        <v>14</v>
      </c>
      <c r="T4" s="201" t="s">
        <v>11</v>
      </c>
      <c r="U4" s="201" t="s">
        <v>12</v>
      </c>
      <c r="V4" s="201" t="s">
        <v>13</v>
      </c>
      <c r="W4" s="201" t="s">
        <v>14</v>
      </c>
      <c r="Y4" s="343"/>
      <c r="Z4" s="359">
        <v>1</v>
      </c>
      <c r="AA4" s="359">
        <v>2</v>
      </c>
      <c r="AB4" s="359">
        <v>3</v>
      </c>
      <c r="AC4" s="359">
        <v>4</v>
      </c>
      <c r="AD4" s="360">
        <v>5</v>
      </c>
    </row>
    <row r="5" spans="2:30" x14ac:dyDescent="0.35">
      <c r="B5" s="301" t="s">
        <v>15</v>
      </c>
      <c r="D5" s="166">
        <f ca="1">'AllStores---&gt;'!D4</f>
        <v>3245861.0924999998</v>
      </c>
      <c r="E5" s="166">
        <f ca="1">'AllStores---&gt;'!E4</f>
        <v>4156966.0370306242</v>
      </c>
      <c r="F5" s="166">
        <f ca="1">'AllStores---&gt;'!F4</f>
        <v>5074899.7393568922</v>
      </c>
      <c r="G5" s="166">
        <f ca="1">'AllStores---&gt;'!G4</f>
        <v>5554398.4881989714</v>
      </c>
      <c r="H5" s="166">
        <f ca="1">'AllStores---&gt;'!H4</f>
        <v>6037489.0956178103</v>
      </c>
      <c r="I5" s="166">
        <f ca="1">'AllStores---&gt;'!I4</f>
        <v>6969513.5759537928</v>
      </c>
      <c r="J5" s="166">
        <f ca="1">'AllStores---&gt;'!J4</f>
        <v>7908524.0098575968</v>
      </c>
      <c r="K5" s="166">
        <f ca="1">'AllStores---&gt;'!K4</f>
        <v>8409257.869801404</v>
      </c>
      <c r="L5" s="166">
        <f ca="1">'AllStores---&gt;'!L4</f>
        <v>8913743.1605316177</v>
      </c>
      <c r="M5" s="166">
        <f ca="1">'AllStores---&gt;'!M4</f>
        <v>9867323.0980751105</v>
      </c>
      <c r="N5" s="166">
        <f ca="1">'AllStores---&gt;'!N4</f>
        <v>10828050.973838165</v>
      </c>
      <c r="O5" s="166">
        <f ca="1">'AllStores---&gt;'!O4</f>
        <v>11350665.480186325</v>
      </c>
      <c r="P5" s="166">
        <f ca="1">'AllStores---&gt;'!P4</f>
        <v>11877195.850966234</v>
      </c>
      <c r="Q5" s="166">
        <f ca="1">'AllStores---&gt;'!Q4</f>
        <v>12852986.540581562</v>
      </c>
      <c r="R5" s="166">
        <f ca="1">'AllStores---&gt;'!R4</f>
        <v>13836092.088162126</v>
      </c>
      <c r="S5" s="166">
        <f ca="1">'AllStores---&gt;'!S4</f>
        <v>14381252.443214478</v>
      </c>
      <c r="T5" s="166">
        <f ca="1">'AllStores---&gt;'!T4</f>
        <v>14930498.106214985</v>
      </c>
      <c r="U5" s="166">
        <f ca="1">'AllStores---&gt;'!U4</f>
        <v>15929174.80775759</v>
      </c>
      <c r="V5" s="166">
        <f ca="1">'AllStores---&gt;'!V4</f>
        <v>16935338.372795254</v>
      </c>
      <c r="W5" s="166">
        <f ca="1">'AllStores---&gt;'!W4</f>
        <v>17503730.046363443</v>
      </c>
      <c r="Y5" s="375" t="s">
        <v>15</v>
      </c>
      <c r="Z5" s="348">
        <f ca="1">SUMIFS($D5:$W5,$D$2:$W$2,Z$4)</f>
        <v>18032125.357086487</v>
      </c>
      <c r="AA5" s="348">
        <f ca="1">SUMIFS($D5:$W5,$D$2:$W$2,AA$4)</f>
        <v>29324784.551230602</v>
      </c>
      <c r="AB5" s="348">
        <f ca="1">SUMIFS($D5:$W5,$D$2:$W$2,AB$4)</f>
        <v>40959782.712631218</v>
      </c>
      <c r="AC5" s="348">
        <f ca="1">SUMIFS($D5:$W5,$D$2:$W$2,AC$4)</f>
        <v>52947526.922924399</v>
      </c>
      <c r="AD5" s="349">
        <f ca="1">SUMIFS($D5:$W5,$D$2:$W$2,AD$4)</f>
        <v>65298741.333131269</v>
      </c>
    </row>
    <row r="6" spans="2:30" x14ac:dyDescent="0.35">
      <c r="B6" s="336" t="str">
        <f>B5&amp;" as a % of Revenue"</f>
        <v>Revenue as a % of Revenue</v>
      </c>
      <c r="D6" s="302">
        <f ca="1">D5/D$5</f>
        <v>1</v>
      </c>
      <c r="E6" s="302">
        <f t="shared" ref="E6:V6" ca="1" si="0">E5/E$5</f>
        <v>1</v>
      </c>
      <c r="F6" s="302">
        <f t="shared" ca="1" si="0"/>
        <v>1</v>
      </c>
      <c r="G6" s="302">
        <f t="shared" ca="1" si="0"/>
        <v>1</v>
      </c>
      <c r="H6" s="302">
        <f t="shared" ca="1" si="0"/>
        <v>1</v>
      </c>
      <c r="I6" s="302">
        <f t="shared" ca="1" si="0"/>
        <v>1</v>
      </c>
      <c r="J6" s="302">
        <f t="shared" ca="1" si="0"/>
        <v>1</v>
      </c>
      <c r="K6" s="302">
        <f t="shared" ca="1" si="0"/>
        <v>1</v>
      </c>
      <c r="L6" s="302">
        <f t="shared" ca="1" si="0"/>
        <v>1</v>
      </c>
      <c r="M6" s="302">
        <f t="shared" ca="1" si="0"/>
        <v>1</v>
      </c>
      <c r="N6" s="302">
        <f t="shared" ca="1" si="0"/>
        <v>1</v>
      </c>
      <c r="O6" s="302">
        <f t="shared" ca="1" si="0"/>
        <v>1</v>
      </c>
      <c r="P6" s="302">
        <f t="shared" ca="1" si="0"/>
        <v>1</v>
      </c>
      <c r="Q6" s="302">
        <f t="shared" ca="1" si="0"/>
        <v>1</v>
      </c>
      <c r="R6" s="302">
        <f t="shared" ca="1" si="0"/>
        <v>1</v>
      </c>
      <c r="S6" s="302">
        <f t="shared" ca="1" si="0"/>
        <v>1</v>
      </c>
      <c r="T6" s="302">
        <f t="shared" ca="1" si="0"/>
        <v>1</v>
      </c>
      <c r="U6" s="302">
        <f t="shared" ca="1" si="0"/>
        <v>1</v>
      </c>
      <c r="V6" s="302">
        <f t="shared" ca="1" si="0"/>
        <v>1</v>
      </c>
      <c r="W6" s="302">
        <f ca="1">W5/W$5</f>
        <v>1</v>
      </c>
      <c r="Y6" s="398" t="str">
        <f>Y5&amp;" as a % of Revenue"</f>
        <v>Revenue as a % of Revenue</v>
      </c>
      <c r="Z6" s="390">
        <f ca="1">Z5/Z$5</f>
        <v>1</v>
      </c>
      <c r="AA6" s="390">
        <f t="shared" ref="AA6:AD6" ca="1" si="1">AA5/AA$5</f>
        <v>1</v>
      </c>
      <c r="AB6" s="390">
        <f t="shared" ca="1" si="1"/>
        <v>1</v>
      </c>
      <c r="AC6" s="390">
        <f t="shared" ca="1" si="1"/>
        <v>1</v>
      </c>
      <c r="AD6" s="391">
        <f t="shared" ca="1" si="1"/>
        <v>1</v>
      </c>
    </row>
    <row r="7" spans="2:30" x14ac:dyDescent="0.35">
      <c r="B7" s="301" t="s">
        <v>233</v>
      </c>
      <c r="D7" s="166">
        <f ca="1">'AllStores---&gt;'!D21</f>
        <v>941299.71682500013</v>
      </c>
      <c r="E7" s="166">
        <f ca="1">'AllStores---&gt;'!E21</f>
        <v>1205520.1507388812</v>
      </c>
      <c r="F7" s="166">
        <f ca="1">'AllStores---&gt;'!F21</f>
        <v>1471720.9244134987</v>
      </c>
      <c r="G7" s="166">
        <f ca="1">'AllStores---&gt;'!G21</f>
        <v>1610775.5615777017</v>
      </c>
      <c r="H7" s="166">
        <f ca="1">'AllStores---&gt;'!H21</f>
        <v>1750871.8377291649</v>
      </c>
      <c r="I7" s="166">
        <f ca="1">'AllStores---&gt;'!I21</f>
        <v>2021158.9370265999</v>
      </c>
      <c r="J7" s="166">
        <f ca="1">'AllStores---&gt;'!J21</f>
        <v>2293471.9628587025</v>
      </c>
      <c r="K7" s="166">
        <f ca="1">'AllStores---&gt;'!K21</f>
        <v>2438684.7822424071</v>
      </c>
      <c r="L7" s="166">
        <f ca="1">'AllStores---&gt;'!L21</f>
        <v>2584985.5165541694</v>
      </c>
      <c r="M7" s="166">
        <f ca="1">'AllStores---&gt;'!M21</f>
        <v>2861523.6984417816</v>
      </c>
      <c r="N7" s="166">
        <f ca="1">'AllStores---&gt;'!N21</f>
        <v>3140134.7824130673</v>
      </c>
      <c r="O7" s="166">
        <f ca="1">'AllStores---&gt;'!O21</f>
        <v>3291692.9892540341</v>
      </c>
      <c r="P7" s="166">
        <f ca="1">'AllStores---&gt;'!P21</f>
        <v>3444386.7967802086</v>
      </c>
      <c r="Q7" s="166">
        <f ca="1">'AllStores---&gt;'!Q21</f>
        <v>3727366.096768653</v>
      </c>
      <c r="R7" s="166">
        <f ca="1">'AllStores---&gt;'!R21</f>
        <v>4012466.7055670167</v>
      </c>
      <c r="S7" s="166">
        <f ca="1">'AllStores---&gt;'!S21</f>
        <v>4170563.2085321983</v>
      </c>
      <c r="T7" s="166">
        <f ca="1">'AllStores---&gt;'!T21</f>
        <v>4329844.4508023467</v>
      </c>
      <c r="U7" s="166">
        <f ca="1">'AllStores---&gt;'!U21</f>
        <v>4619460.6942497008</v>
      </c>
      <c r="V7" s="166">
        <f ca="1">'AllStores---&gt;'!V21</f>
        <v>4911248.128110623</v>
      </c>
      <c r="W7" s="166">
        <f ca="1">'AllStores---&gt;'!W21</f>
        <v>5076081.713445399</v>
      </c>
      <c r="Y7" s="375" t="s">
        <v>233</v>
      </c>
      <c r="Z7" s="348">
        <f ca="1">SUMIFS($D7:$W7,$D$2:$W$2,Z$4)</f>
        <v>5229316.3535550823</v>
      </c>
      <c r="AA7" s="348">
        <f ca="1">SUMIFS($D7:$W7,$D$2:$W$2,AA$4)</f>
        <v>8504187.5198568739</v>
      </c>
      <c r="AB7" s="348">
        <f ca="1">SUMIFS($D7:$W7,$D$2:$W$2,AB$4)</f>
        <v>11878336.986663051</v>
      </c>
      <c r="AC7" s="348">
        <f ca="1">SUMIFS($D7:$W7,$D$2:$W$2,AC$4)</f>
        <v>15354782.807648078</v>
      </c>
      <c r="AD7" s="349">
        <f ca="1">SUMIFS($D7:$W7,$D$2:$W$2,AD$4)</f>
        <v>18936634.986608069</v>
      </c>
    </row>
    <row r="8" spans="2:30" x14ac:dyDescent="0.35">
      <c r="B8" s="336" t="str">
        <f>B7&amp;" as a % of Revenue"</f>
        <v>Food &amp; Paper Costs as a % of Revenue</v>
      </c>
      <c r="D8" s="303">
        <f ca="1">D7/D$5</f>
        <v>0.29000000000000004</v>
      </c>
      <c r="E8" s="303">
        <f t="shared" ref="E8" ca="1" si="2">E7/E$5</f>
        <v>0.29000000000000004</v>
      </c>
      <c r="F8" s="303">
        <f t="shared" ref="F8" ca="1" si="3">F7/F$5</f>
        <v>0.28999999999999998</v>
      </c>
      <c r="G8" s="303">
        <f t="shared" ref="G8" ca="1" si="4">G7/G$5</f>
        <v>0.28999999999999998</v>
      </c>
      <c r="H8" s="303">
        <f t="shared" ref="H8" ca="1" si="5">H7/H$5</f>
        <v>0.28999999999999998</v>
      </c>
      <c r="I8" s="303">
        <f t="shared" ref="I8" ca="1" si="6">I7/I$5</f>
        <v>0.28999999999999998</v>
      </c>
      <c r="J8" s="303">
        <f t="shared" ref="J8" ca="1" si="7">J7/J$5</f>
        <v>0.28999999999999992</v>
      </c>
      <c r="K8" s="303">
        <f t="shared" ref="K8" ca="1" si="8">K7/K$5</f>
        <v>0.28999999999999998</v>
      </c>
      <c r="L8" s="303">
        <f t="shared" ref="L8" ca="1" si="9">L7/L$5</f>
        <v>0.29000000000000004</v>
      </c>
      <c r="M8" s="303">
        <f t="shared" ref="M8" ca="1" si="10">M7/M$5</f>
        <v>0.28999999999999998</v>
      </c>
      <c r="N8" s="303">
        <f t="shared" ref="N8" ca="1" si="11">N7/N$5</f>
        <v>0.28999999999999992</v>
      </c>
      <c r="O8" s="303">
        <f t="shared" ref="O8" ca="1" si="12">O7/O$5</f>
        <v>0.28999999999999998</v>
      </c>
      <c r="P8" s="303">
        <f t="shared" ref="P8" ca="1" si="13">P7/P$5</f>
        <v>0.29000000000000009</v>
      </c>
      <c r="Q8" s="303">
        <f t="shared" ref="Q8" ca="1" si="14">Q7/Q$5</f>
        <v>0.29000000000000004</v>
      </c>
      <c r="R8" s="303">
        <f t="shared" ref="R8" ca="1" si="15">R7/R$5</f>
        <v>0.29000000000000004</v>
      </c>
      <c r="S8" s="303">
        <f t="shared" ref="S8" ca="1" si="16">S7/S$5</f>
        <v>0.28999999999999998</v>
      </c>
      <c r="T8" s="303">
        <f t="shared" ref="T8" ca="1" si="17">T7/T$5</f>
        <v>0.29000000000000009</v>
      </c>
      <c r="U8" s="303">
        <f t="shared" ref="U8" ca="1" si="18">U7/U$5</f>
        <v>0.28999999999999998</v>
      </c>
      <c r="V8" s="303">
        <f t="shared" ref="V8" ca="1" si="19">V7/V$5</f>
        <v>0.28999999999999998</v>
      </c>
      <c r="W8" s="303">
        <f t="shared" ref="W8" ca="1" si="20">W7/W$5</f>
        <v>0.29000000000000004</v>
      </c>
      <c r="Y8" s="398" t="str">
        <f>Y7&amp;" as a % of Revenue"</f>
        <v>Food &amp; Paper Costs as a % of Revenue</v>
      </c>
      <c r="Z8" s="392">
        <f t="shared" ref="Z8:AD8" ca="1" si="21">Z7/Z$5</f>
        <v>0.29000000000000004</v>
      </c>
      <c r="AA8" s="392">
        <f t="shared" ca="1" si="21"/>
        <v>0.28999999999999998</v>
      </c>
      <c r="AB8" s="392">
        <f t="shared" ca="1" si="21"/>
        <v>0.28999999999999992</v>
      </c>
      <c r="AC8" s="392">
        <f ca="1">AC7/AC$5</f>
        <v>0.29000000000000004</v>
      </c>
      <c r="AD8" s="393">
        <f t="shared" ca="1" si="21"/>
        <v>0.29000000000000004</v>
      </c>
    </row>
    <row r="9" spans="2:30" x14ac:dyDescent="0.35">
      <c r="B9" s="301" t="s">
        <v>234</v>
      </c>
      <c r="D9" s="166">
        <f ca="1">'AllStores---&gt;'!D17</f>
        <v>921714.18731399998</v>
      </c>
      <c r="E9" s="166">
        <f ca="1">'AllStores---&gt;'!E17</f>
        <v>1235041.9141660344</v>
      </c>
      <c r="F9" s="166">
        <f ca="1">'AllStores---&gt;'!F17</f>
        <v>1550632.0687648733</v>
      </c>
      <c r="G9" s="166">
        <f ca="1">'AllStores---&gt;'!G17</f>
        <v>1714741.8159395317</v>
      </c>
      <c r="H9" s="166">
        <f ca="1">'AllStores---&gt;'!H17</f>
        <v>1880038.0106370295</v>
      </c>
      <c r="I9" s="166">
        <f ca="1">'AllStores---&gt;'!I17</f>
        <v>2200289.3844814235</v>
      </c>
      <c r="J9" s="166">
        <f ca="1">'AllStores---&gt;'!J17</f>
        <v>2522855.1737320567</v>
      </c>
      <c r="K9" s="166">
        <f ca="1">'AllStores---&gt;'!K17</f>
        <v>2693992.9341915408</v>
      </c>
      <c r="L9" s="166">
        <f ca="1">'AllStores---&gt;'!L17</f>
        <v>2866369.9147255691</v>
      </c>
      <c r="M9" s="166">
        <f ca="1">'AllStores---&gt;'!M17</f>
        <v>3193755.2438441799</v>
      </c>
      <c r="N9" s="166">
        <f ca="1">'AllStores---&gt;'!N17</f>
        <v>3523508.5576823978</v>
      </c>
      <c r="O9" s="166">
        <f ca="1">'AllStores---&gt;'!O17</f>
        <v>3701887.814930778</v>
      </c>
      <c r="P9" s="166">
        <f ca="1">'AllStores---&gt;'!P17</f>
        <v>3881560.6703779614</v>
      </c>
      <c r="Q9" s="166">
        <f ca="1">'AllStores---&gt;'!Q17</f>
        <v>4216296.6615148345</v>
      </c>
      <c r="R9" s="166">
        <f ca="1">'AllStores---&gt;'!R17</f>
        <v>4553455.8365382571</v>
      </c>
      <c r="S9" s="166">
        <f ca="1">'AllStores---&gt;'!S17</f>
        <v>4739296.5693048593</v>
      </c>
      <c r="T9" s="166">
        <f ca="1">'AllStores---&gt;'!T17</f>
        <v>4926486.9328970276</v>
      </c>
      <c r="U9" s="166">
        <f ca="1">'AllStores---&gt;'!U17</f>
        <v>5268796.8862506719</v>
      </c>
      <c r="V9" s="166">
        <f ca="1">'AllStores---&gt;'!V17</f>
        <v>5613586.9021827392</v>
      </c>
      <c r="W9" s="166">
        <f ca="1">'AllStores---&gt;'!W17</f>
        <v>5807115.7823689748</v>
      </c>
      <c r="Y9" s="375" t="s">
        <v>234</v>
      </c>
      <c r="Z9" s="348">
        <f ca="1">SUMIFS($D9:$W9,$D$2:$W$2,Z$4)</f>
        <v>5422129.9861844387</v>
      </c>
      <c r="AA9" s="348">
        <f ca="1">SUMIFS($D9:$W9,$D$2:$W$2,AA$4)</f>
        <v>9297175.5030420497</v>
      </c>
      <c r="AB9" s="348">
        <f ca="1">SUMIFS($D9:$W9,$D$2:$W$2,AB$4)</f>
        <v>13285521.531182926</v>
      </c>
      <c r="AC9" s="348">
        <f ca="1">SUMIFS($D9:$W9,$D$2:$W$2,AC$4)</f>
        <v>17390609.737735912</v>
      </c>
      <c r="AD9" s="349">
        <f ca="1">SUMIFS($D9:$W9,$D$2:$W$2,AD$4)</f>
        <v>21615986.503699414</v>
      </c>
    </row>
    <row r="10" spans="2:30" x14ac:dyDescent="0.35">
      <c r="B10" s="336" t="str">
        <f>B9&amp;" as a % of Revenue"</f>
        <v>Labor &amp; Benefits as a % of Revenue</v>
      </c>
      <c r="D10" s="303">
        <f ca="1">D9/D$5</f>
        <v>0.28396599886660123</v>
      </c>
      <c r="E10" s="303">
        <f ca="1">E9/E$5</f>
        <v>0.29710175718641213</v>
      </c>
      <c r="F10" s="303">
        <f t="shared" ref="F10" ca="1" si="22">F9/F$5</f>
        <v>0.30554930114961726</v>
      </c>
      <c r="G10" s="303">
        <f t="shared" ref="G10" ca="1" si="23">G9/G$5</f>
        <v>0.30871782418613275</v>
      </c>
      <c r="H10" s="303">
        <f t="shared" ref="H10" ca="1" si="24">H9/H$5</f>
        <v>0.31139402173026154</v>
      </c>
      <c r="I10" s="303">
        <f t="shared" ref="I10" ca="1" si="25">I9/I$5</f>
        <v>0.31570200136676096</v>
      </c>
      <c r="J10" s="303">
        <f t="shared" ref="J10" ca="1" si="26">J9/J$5</f>
        <v>0.31900455389494153</v>
      </c>
      <c r="K10" s="303">
        <f t="shared" ref="K10" ca="1" si="27">K9/K$5</f>
        <v>0.32036036662235962</v>
      </c>
      <c r="L10" s="303">
        <f t="shared" ref="L10" ca="1" si="28">L9/L$5</f>
        <v>0.32156747879132497</v>
      </c>
      <c r="M10" s="303">
        <f t="shared" ref="M10" ca="1" si="29">M9/M$5</f>
        <v>0.32366987602414771</v>
      </c>
      <c r="N10" s="303">
        <f t="shared" ref="N10" ca="1" si="30">N9/N$5</f>
        <v>0.3254056123484832</v>
      </c>
      <c r="O10" s="303">
        <f t="shared" ref="O10" ca="1" si="31">O9/O$5</f>
        <v>0.3261383943868999</v>
      </c>
      <c r="P10" s="303">
        <f t="shared" ref="P10" ca="1" si="32">P9/P$5</f>
        <v>0.32680783571167504</v>
      </c>
      <c r="Q10" s="303">
        <f t="shared" ref="Q10" ca="1" si="33">Q9/Q$5</f>
        <v>0.3280402300432238</v>
      </c>
      <c r="R10" s="303">
        <f t="shared" ref="R10" ca="1" si="34">R9/R$5</f>
        <v>0.3290998504147063</v>
      </c>
      <c r="S10" s="303">
        <f t="shared" ref="S10" ca="1" si="35">S9/S$5</f>
        <v>0.32954685887187851</v>
      </c>
      <c r="T10" s="303">
        <f t="shared" ref="T10" ca="1" si="36">T9/T$5</f>
        <v>0.329961324655761</v>
      </c>
      <c r="U10" s="303">
        <f t="shared" ref="U10" ca="1" si="37">U9/U$5</f>
        <v>0.33076395669188968</v>
      </c>
      <c r="V10" s="303">
        <f t="shared" ref="V10" ca="1" si="38">V9/V$5</f>
        <v>0.3314717886712169</v>
      </c>
      <c r="W10" s="303">
        <f t="shared" ref="W10" ca="1" si="39">W9/W$5</f>
        <v>0.33176447345721349</v>
      </c>
      <c r="Y10" s="398" t="str">
        <f>Y9&amp;" as a % of Revenue"</f>
        <v>Labor &amp; Benefits as a % of Revenue</v>
      </c>
      <c r="Z10" s="392">
        <f t="shared" ref="Z10:AD10" ca="1" si="40">Z9/Z$5</f>
        <v>0.30069278461696047</v>
      </c>
      <c r="AA10" s="392">
        <f t="shared" ca="1" si="40"/>
        <v>0.31704156212298235</v>
      </c>
      <c r="AB10" s="392">
        <f ca="1">AB9/AB$5</f>
        <v>0.3243552736691136</v>
      </c>
      <c r="AC10" s="392">
        <f t="shared" ca="1" si="40"/>
        <v>0.32844989649944151</v>
      </c>
      <c r="AD10" s="393">
        <f t="shared" ca="1" si="40"/>
        <v>0.33103220770247677</v>
      </c>
    </row>
    <row r="11" spans="2:30" x14ac:dyDescent="0.35">
      <c r="B11" s="301" t="s">
        <v>235</v>
      </c>
      <c r="D11" s="166">
        <f ca="1">'AllStores---&gt;'!D28</f>
        <v>284826.16588500002</v>
      </c>
      <c r="E11" s="166">
        <f ca="1">'AllStores---&gt;'!E28</f>
        <v>372592.57355528622</v>
      </c>
      <c r="F11" s="166">
        <f ca="1">'AllStores---&gt;'!F28</f>
        <v>460645.78905298951</v>
      </c>
      <c r="G11" s="166">
        <f ca="1">'AllStores---&gt;'!G28</f>
        <v>505534.73650435684</v>
      </c>
      <c r="H11" s="166">
        <f ca="1">'AllStores---&gt;'!H28</f>
        <v>550574.54201594798</v>
      </c>
      <c r="I11" s="166">
        <f ca="1">'AllStores---&gt;'!I28</f>
        <v>639219.57019005925</v>
      </c>
      <c r="J11" s="166">
        <f ca="1">'AllStores---&gt;'!J28</f>
        <v>728158.0084140189</v>
      </c>
      <c r="K11" s="166">
        <f ca="1">'AllStores---&gt;'!K28</f>
        <v>773938.83053165884</v>
      </c>
      <c r="L11" s="166">
        <f ca="1">'AllStores---&gt;'!L28</f>
        <v>819877.21274232795</v>
      </c>
      <c r="M11" s="166">
        <f ca="1">'AllStores---&gt;'!M28</f>
        <v>909427.57011915464</v>
      </c>
      <c r="N11" s="166">
        <f ca="1">'AllStores---&gt;'!N28</f>
        <v>999278.1409012028</v>
      </c>
      <c r="O11" s="166">
        <f ca="1">'AllStores---&gt;'!O28</f>
        <v>1045977.9501678256</v>
      </c>
      <c r="P11" s="166">
        <f ca="1">'AllStores---&gt;'!P28</f>
        <v>1092842.2257405818</v>
      </c>
      <c r="Q11" s="166">
        <f ca="1">'AllStores---&gt;'!Q28</f>
        <v>1183325.4347044257</v>
      </c>
      <c r="R11" s="166">
        <f ca="1">'AllStores---&gt;'!R28</f>
        <v>1274115.8677028094</v>
      </c>
      <c r="S11" s="166">
        <f ca="1">'AllStores---&gt;'!S28</f>
        <v>1321762.6026150079</v>
      </c>
      <c r="T11" s="166">
        <f ca="1">'AllStores---&gt;'!T28</f>
        <v>1369580.9204610293</v>
      </c>
      <c r="U11" s="166">
        <f ca="1">'AllStores---&gt;'!U28</f>
        <v>1461025.3419258189</v>
      </c>
      <c r="V11" s="166">
        <f ca="1">'AllStores---&gt;'!V28</f>
        <v>1552784.2116574005</v>
      </c>
      <c r="W11" s="166">
        <f ca="1">'AllStores---&gt;'!W28</f>
        <v>1601406.6619472646</v>
      </c>
      <c r="Y11" s="375" t="s">
        <v>235</v>
      </c>
      <c r="Z11" s="348">
        <f ca="1">SUMIFS($D11:$W11,$D$2:$W$2,Z$4)</f>
        <v>1623599.2649976327</v>
      </c>
      <c r="AA11" s="348">
        <f ca="1">SUMIFS($D11:$W11,$D$2:$W$2,AA$4)</f>
        <v>2691890.9511516849</v>
      </c>
      <c r="AB11" s="348">
        <f ca="1">SUMIFS($D11:$W11,$D$2:$W$2,AB$4)</f>
        <v>3774560.8739305111</v>
      </c>
      <c r="AC11" s="348">
        <f ca="1">SUMIFS($D11:$W11,$D$2:$W$2,AC$4)</f>
        <v>4872046.1307628248</v>
      </c>
      <c r="AD11" s="349">
        <f ca="1">SUMIFS($D11:$W11,$D$2:$W$2,AD$4)</f>
        <v>5984797.1359915128</v>
      </c>
    </row>
    <row r="12" spans="2:30" x14ac:dyDescent="0.35">
      <c r="B12" s="336" t="str">
        <f>B11&amp;" as a % of Revenue"</f>
        <v>Other Operating Expenses as a % of Revenue</v>
      </c>
      <c r="D12" s="303">
        <f ca="1">D11/D$5</f>
        <v>8.7750571502622013E-2</v>
      </c>
      <c r="E12" s="303">
        <f ca="1">E11/E$5</f>
        <v>8.9630891914006111E-2</v>
      </c>
      <c r="F12" s="303">
        <f t="shared" ref="F12" ca="1" si="41">F11/F$5</f>
        <v>9.0769436385232716E-2</v>
      </c>
      <c r="G12" s="303">
        <f t="shared" ref="G12" ca="1" si="42">G11/G$5</f>
        <v>9.1015208501592018E-2</v>
      </c>
      <c r="H12" s="303">
        <f t="shared" ref="H12" ca="1" si="43">H11/H$5</f>
        <v>9.1192635431105201E-2</v>
      </c>
      <c r="I12" s="303">
        <f t="shared" ref="I12" ca="1" si="44">I11/I$5</f>
        <v>9.171652558300393E-2</v>
      </c>
      <c r="J12" s="303">
        <f t="shared" ref="J12" ca="1" si="45">J11/J$5</f>
        <v>9.2072554563456435E-2</v>
      </c>
      <c r="K12" s="303">
        <f t="shared" ref="K12" ca="1" si="46">K11/K$5</f>
        <v>9.2034141717898879E-2</v>
      </c>
      <c r="L12" s="303">
        <f t="shared" ref="L12" ca="1" si="47">L11/L$5</f>
        <v>9.197900343063399E-2</v>
      </c>
      <c r="M12" s="303">
        <f t="shared" ref="M12" ca="1" si="48">M11/M$5</f>
        <v>9.2165581392238308E-2</v>
      </c>
      <c r="N12" s="303">
        <f t="shared" ref="N12" ca="1" si="49">N11/N$5</f>
        <v>9.2286058064888626E-2</v>
      </c>
      <c r="O12" s="303">
        <f t="shared" ref="O12" ca="1" si="50">O11/O$5</f>
        <v>9.2151244523387674E-2</v>
      </c>
      <c r="P12" s="303">
        <f t="shared" ref="P12" ca="1" si="51">P11/P$5</f>
        <v>9.2011804760437355E-2</v>
      </c>
      <c r="Q12" s="303">
        <f t="shared" ref="Q12" ca="1" si="52">Q11/Q$5</f>
        <v>9.2066184848808186E-2</v>
      </c>
      <c r="R12" s="303">
        <f t="shared" ref="R12" ca="1" si="53">R11/R$5</f>
        <v>9.2086396909205059E-2</v>
      </c>
      <c r="S12" s="303">
        <f t="shared" ref="S12" ca="1" si="54">S11/S$5</f>
        <v>9.1908726853526343E-2</v>
      </c>
      <c r="T12" s="303">
        <f t="shared" ref="T12" ca="1" si="55">T11/T$5</f>
        <v>9.1730423909362147E-2</v>
      </c>
      <c r="U12" s="303">
        <f t="shared" ref="U12" ca="1" si="56">U11/U$5</f>
        <v>9.172008968187681E-2</v>
      </c>
      <c r="V12" s="303">
        <f t="shared" ref="V12" ca="1" si="57">V11/V$5</f>
        <v>9.1688998322689341E-2</v>
      </c>
      <c r="W12" s="303">
        <f t="shared" ref="W12" ca="1" si="58">W11/W$5</f>
        <v>9.1489451545784736E-2</v>
      </c>
      <c r="Y12" s="398" t="str">
        <f>Y11&amp;" as a % of Revenue"</f>
        <v>Other Operating Expenses as a % of Revenue</v>
      </c>
      <c r="Z12" s="392">
        <f t="shared" ref="Z12:AD12" ca="1" si="59">Z11/Z$5</f>
        <v>9.0039262308010223E-2</v>
      </c>
      <c r="AA12" s="392">
        <f t="shared" ca="1" si="59"/>
        <v>9.1795762265497044E-2</v>
      </c>
      <c r="AB12" s="392">
        <f t="shared" ca="1" si="59"/>
        <v>9.2152853944864999E-2</v>
      </c>
      <c r="AC12" s="392">
        <f t="shared" ca="1" si="59"/>
        <v>9.2016500371302545E-2</v>
      </c>
      <c r="AD12" s="393">
        <f t="shared" ca="1" si="59"/>
        <v>9.1652565023561131E-2</v>
      </c>
    </row>
    <row r="13" spans="2:30" x14ac:dyDescent="0.35">
      <c r="B13" s="301" t="s">
        <v>236</v>
      </c>
      <c r="D13" s="166">
        <f>'AllStores---&gt;'!D32</f>
        <v>195000</v>
      </c>
      <c r="E13" s="166">
        <f ca="1">'AllStores---&gt;'!E32</f>
        <v>260000</v>
      </c>
      <c r="F13" s="166">
        <f ca="1">'AllStores---&gt;'!F32</f>
        <v>325000</v>
      </c>
      <c r="G13" s="166">
        <f ca="1">'AllStores---&gt;'!G32</f>
        <v>357500</v>
      </c>
      <c r="H13" s="166">
        <f ca="1">'AllStores---&gt;'!H32</f>
        <v>390000</v>
      </c>
      <c r="I13" s="166">
        <f ca="1">'AllStores---&gt;'!I32</f>
        <v>455000</v>
      </c>
      <c r="J13" s="166">
        <f ca="1">'AllStores---&gt;'!J32</f>
        <v>520000</v>
      </c>
      <c r="K13" s="166">
        <f ca="1">'AllStores---&gt;'!K32</f>
        <v>552500</v>
      </c>
      <c r="L13" s="166">
        <f ca="1">'AllStores---&gt;'!L32</f>
        <v>585000</v>
      </c>
      <c r="M13" s="166">
        <f ca="1">'AllStores---&gt;'!M32</f>
        <v>650000</v>
      </c>
      <c r="N13" s="166">
        <f ca="1">'AllStores---&gt;'!N32</f>
        <v>715000</v>
      </c>
      <c r="O13" s="166">
        <f ca="1">'AllStores---&gt;'!O32</f>
        <v>747500</v>
      </c>
      <c r="P13" s="166">
        <f ca="1">'AllStores---&gt;'!P32</f>
        <v>780000</v>
      </c>
      <c r="Q13" s="166">
        <f ca="1">'AllStores---&gt;'!Q32</f>
        <v>845000</v>
      </c>
      <c r="R13" s="166">
        <f ca="1">'AllStores---&gt;'!R32</f>
        <v>910000</v>
      </c>
      <c r="S13" s="166">
        <f ca="1">'AllStores---&gt;'!S32</f>
        <v>942500</v>
      </c>
      <c r="T13" s="166">
        <f ca="1">'AllStores---&gt;'!T32</f>
        <v>975000</v>
      </c>
      <c r="U13" s="166">
        <f ca="1">'AllStores---&gt;'!U32</f>
        <v>1040000</v>
      </c>
      <c r="V13" s="166">
        <f ca="1">'AllStores---&gt;'!V32</f>
        <v>1105000</v>
      </c>
      <c r="W13" s="166">
        <f ca="1">'AllStores---&gt;'!W32</f>
        <v>1137500</v>
      </c>
      <c r="Y13" s="375" t="s">
        <v>236</v>
      </c>
      <c r="Z13" s="348">
        <f ca="1">SUMIFS($D13:$W13,$D$2:$W$2,Z$4)</f>
        <v>1137500</v>
      </c>
      <c r="AA13" s="348">
        <f ca="1">SUMIFS($D13:$W13,$D$2:$W$2,AA$4)</f>
        <v>1917500</v>
      </c>
      <c r="AB13" s="348">
        <f ca="1">SUMIFS($D13:$W13,$D$2:$W$2,AB$4)</f>
        <v>2697500</v>
      </c>
      <c r="AC13" s="348">
        <f ca="1">SUMIFS($D13:$W13,$D$2:$W$2,AC$4)</f>
        <v>3477500</v>
      </c>
      <c r="AD13" s="349">
        <f ca="1">SUMIFS($D13:$W13,$D$2:$W$2,AD$4)</f>
        <v>4257500</v>
      </c>
    </row>
    <row r="14" spans="2:30" x14ac:dyDescent="0.35">
      <c r="B14" s="336" t="str">
        <f>B13&amp;" as a % of Revenue"</f>
        <v>Occupancy Costs as a % of Revenue</v>
      </c>
      <c r="D14" s="303">
        <f ca="1">D13/D$5</f>
        <v>6.0076508033746062E-2</v>
      </c>
      <c r="E14" s="303">
        <f ca="1">E13/E$5</f>
        <v>6.2545615644654495E-2</v>
      </c>
      <c r="F14" s="303">
        <f t="shared" ref="F14" ca="1" si="60">F13/F$5</f>
        <v>6.4040674041214662E-2</v>
      </c>
      <c r="G14" s="303">
        <f t="shared" ref="G14" ca="1" si="61">G13/G$5</f>
        <v>6.436340510310061E-2</v>
      </c>
      <c r="H14" s="303">
        <f t="shared" ref="H14" ca="1" si="62">H13/H$5</f>
        <v>6.4596389960037137E-2</v>
      </c>
      <c r="I14" s="303">
        <f t="shared" ref="I14" ca="1" si="63">I13/I$5</f>
        <v>6.5284326523136482E-2</v>
      </c>
      <c r="J14" s="303">
        <f t="shared" ref="J14" ca="1" si="64">J13/J$5</f>
        <v>6.5751839325750905E-2</v>
      </c>
      <c r="K14" s="303">
        <f t="shared" ref="K14" ca="1" si="65">K13/K$5</f>
        <v>6.5701398215422785E-2</v>
      </c>
      <c r="L14" s="303">
        <f t="shared" ref="L14" ca="1" si="66">L13/L$5</f>
        <v>6.5628994403862814E-2</v>
      </c>
      <c r="M14" s="303">
        <f t="shared" ref="M14" ca="1" si="67">M13/M$5</f>
        <v>6.5873995767585652E-2</v>
      </c>
      <c r="N14" s="303">
        <f t="shared" ref="N14" ca="1" si="68">N13/N$5</f>
        <v>6.6032197458944689E-2</v>
      </c>
      <c r="O14" s="303">
        <f t="shared" ref="O14" ca="1" si="69">O13/O$5</f>
        <v>6.5855169576165634E-2</v>
      </c>
      <c r="P14" s="303">
        <f t="shared" ref="P14" ca="1" si="70">P13/P$5</f>
        <v>6.5672066857139971E-2</v>
      </c>
      <c r="Q14" s="303">
        <f t="shared" ref="Q14" ca="1" si="71">Q13/Q$5</f>
        <v>6.574347505399053E-2</v>
      </c>
      <c r="R14" s="303">
        <f t="shared" ref="R14" ca="1" si="72">R13/R$5</f>
        <v>6.577001614340057E-2</v>
      </c>
      <c r="S14" s="303">
        <f t="shared" ref="S14" ca="1" si="73">S13/S$5</f>
        <v>6.5536712029883093E-2</v>
      </c>
      <c r="T14" s="303">
        <f t="shared" ref="T14" ca="1" si="74">T13/T$5</f>
        <v>6.5302576850677571E-2</v>
      </c>
      <c r="U14" s="303">
        <f t="shared" ref="U14" ca="1" si="75">U13/U$5</f>
        <v>6.5289006652969536E-2</v>
      </c>
      <c r="V14" s="303">
        <f t="shared" ref="V14" ca="1" si="76">V13/V$5</f>
        <v>6.5248179615652685E-2</v>
      </c>
      <c r="W14" s="303">
        <f t="shared" ref="W14" ca="1" si="77">W13/W$5</f>
        <v>6.4986148494464796E-2</v>
      </c>
      <c r="Y14" s="398" t="str">
        <f>Y13&amp;" as a % of Revenue"</f>
        <v>Occupancy Costs as a % of Revenue</v>
      </c>
      <c r="Z14" s="392">
        <f t="shared" ref="Z14:AD14" ca="1" si="78">Z13/Z$5</f>
        <v>6.3081859596377035E-2</v>
      </c>
      <c r="AA14" s="392">
        <f t="shared" ca="1" si="78"/>
        <v>6.5388374692066847E-2</v>
      </c>
      <c r="AB14" s="392">
        <f t="shared" ca="1" si="78"/>
        <v>6.5857282957903537E-2</v>
      </c>
      <c r="AC14" s="392">
        <f ca="1">AC13/AC$5</f>
        <v>6.5678232810801332E-2</v>
      </c>
      <c r="AD14" s="393">
        <f t="shared" ca="1" si="78"/>
        <v>6.5200337909726749E-2</v>
      </c>
    </row>
    <row r="15" spans="2:30" x14ac:dyDescent="0.35">
      <c r="B15" s="301" t="s">
        <v>237</v>
      </c>
      <c r="D15" s="172">
        <f ca="1">D5-D7-D9-D11-D13</f>
        <v>903021.02247599978</v>
      </c>
      <c r="E15" s="172">
        <f t="shared" ref="E15:W15" ca="1" si="79">E5-E7-E9-E11-E13</f>
        <v>1083811.3985704225</v>
      </c>
      <c r="F15" s="172">
        <f t="shared" ca="1" si="79"/>
        <v>1266900.9571255308</v>
      </c>
      <c r="G15" s="172">
        <f t="shared" ca="1" si="79"/>
        <v>1365846.3741773809</v>
      </c>
      <c r="H15" s="172">
        <f t="shared" ca="1" si="79"/>
        <v>1466004.7052356675</v>
      </c>
      <c r="I15" s="172">
        <f t="shared" ca="1" si="79"/>
        <v>1653845.6842557108</v>
      </c>
      <c r="J15" s="172">
        <f t="shared" ca="1" si="79"/>
        <v>1844038.8648528182</v>
      </c>
      <c r="K15" s="172">
        <f t="shared" ca="1" si="79"/>
        <v>1950141.3228357974</v>
      </c>
      <c r="L15" s="172">
        <f t="shared" ca="1" si="79"/>
        <v>2057510.5165095516</v>
      </c>
      <c r="M15" s="172">
        <f t="shared" ca="1" si="79"/>
        <v>2252616.5856699948</v>
      </c>
      <c r="N15" s="172">
        <f t="shared" ca="1" si="79"/>
        <v>2450129.4928414975</v>
      </c>
      <c r="O15" s="172">
        <f t="shared" ca="1" si="79"/>
        <v>2563606.725833687</v>
      </c>
      <c r="P15" s="172">
        <f t="shared" ca="1" si="79"/>
        <v>2678406.1580674825</v>
      </c>
      <c r="Q15" s="172">
        <f t="shared" ca="1" si="79"/>
        <v>2880998.3475936484</v>
      </c>
      <c r="R15" s="172">
        <f t="shared" ca="1" si="79"/>
        <v>3086053.6783540426</v>
      </c>
      <c r="S15" s="172">
        <f t="shared" ca="1" si="79"/>
        <v>3207130.0627624132</v>
      </c>
      <c r="T15" s="172">
        <f t="shared" ca="1" si="79"/>
        <v>3329585.8020545822</v>
      </c>
      <c r="U15" s="172">
        <f t="shared" ca="1" si="79"/>
        <v>3539891.8853313979</v>
      </c>
      <c r="V15" s="172">
        <f t="shared" ca="1" si="79"/>
        <v>3752719.1308444915</v>
      </c>
      <c r="W15" s="172">
        <f t="shared" ca="1" si="79"/>
        <v>3881625.8886018051</v>
      </c>
      <c r="Y15" s="375" t="s">
        <v>237</v>
      </c>
      <c r="Z15" s="396">
        <f ca="1">SUMIFS($D15:$W15,$D$2:$W$2,Z$4)</f>
        <v>4619579.7523493338</v>
      </c>
      <c r="AA15" s="396">
        <f ca="1">SUMIFS($D15:$W15,$D$2:$W$2,AA$4)</f>
        <v>6914030.5771799944</v>
      </c>
      <c r="AB15" s="396">
        <f ca="1">SUMIFS($D15:$W15,$D$2:$W$2,AB$4)</f>
        <v>9323863.3208547309</v>
      </c>
      <c r="AC15" s="396">
        <f ca="1">SUMIFS($D15:$W15,$D$2:$W$2,AC$4)</f>
        <v>11852588.246777587</v>
      </c>
      <c r="AD15" s="399">
        <f ca="1">SUMIFS($D15:$W15,$D$2:$W$2,AD$4)</f>
        <v>14503822.706832279</v>
      </c>
    </row>
    <row r="16" spans="2:30" x14ac:dyDescent="0.35">
      <c r="B16" s="336" t="str">
        <f>B15&amp;" as a % of Revenue"</f>
        <v>SLEBITDA as a % of Revenue</v>
      </c>
      <c r="D16" s="303">
        <f ca="1">D15/D$5</f>
        <v>0.2782069215970307</v>
      </c>
      <c r="E16" s="303">
        <f ca="1">E15/E$5</f>
        <v>0.26072173525492726</v>
      </c>
      <c r="F16" s="303">
        <f t="shared" ref="F16" ca="1" si="80">F15/F$5</f>
        <v>0.24964058842393538</v>
      </c>
      <c r="G16" s="303">
        <f t="shared" ref="G16" ca="1" si="81">G15/G$5</f>
        <v>0.24590356220917456</v>
      </c>
      <c r="H16" s="303">
        <f t="shared" ref="H16" ca="1" si="82">H15/H$5</f>
        <v>0.24281695287859609</v>
      </c>
      <c r="I16" s="303">
        <f t="shared" ref="I16" ca="1" si="83">I15/I$5</f>
        <v>0.23729714652709871</v>
      </c>
      <c r="J16" s="303">
        <f t="shared" ref="J16" ca="1" si="84">J15/J$5</f>
        <v>0.23317105221585113</v>
      </c>
      <c r="K16" s="303">
        <f t="shared" ref="K16" ca="1" si="85">K15/K$5</f>
        <v>0.23190409344431873</v>
      </c>
      <c r="L16" s="303">
        <f t="shared" ref="L16" ca="1" si="86">L15/L$5</f>
        <v>0.23082452337417822</v>
      </c>
      <c r="M16" s="303">
        <f t="shared" ref="M16" ca="1" si="87">M15/M$5</f>
        <v>0.22829054681602845</v>
      </c>
      <c r="N16" s="303">
        <f t="shared" ref="N16" ca="1" si="88">N15/N$5</f>
        <v>0.22627613212768358</v>
      </c>
      <c r="O16" s="303">
        <f t="shared" ref="O16" ca="1" si="89">O15/O$5</f>
        <v>0.2258551915135468</v>
      </c>
      <c r="P16" s="303">
        <f t="shared" ref="P16" ca="1" si="90">P15/P$5</f>
        <v>0.2255082926707476</v>
      </c>
      <c r="Q16" s="303">
        <f t="shared" ref="Q16" ca="1" si="91">Q15/Q$5</f>
        <v>0.22415011005397747</v>
      </c>
      <c r="R16" s="303">
        <f t="shared" ref="R16" ca="1" si="92">R15/R$5</f>
        <v>0.22304373653268803</v>
      </c>
      <c r="S16" s="303">
        <f t="shared" ref="S16" ca="1" si="93">S15/S$5</f>
        <v>0.22300770224471214</v>
      </c>
      <c r="T16" s="303">
        <f t="shared" ref="T16" ca="1" si="94">T15/T$5</f>
        <v>0.22300567458419926</v>
      </c>
      <c r="U16" s="303">
        <f t="shared" ref="U16" ca="1" si="95">U15/U$5</f>
        <v>0.22222694697326395</v>
      </c>
      <c r="V16" s="303">
        <f t="shared" ref="V16" ca="1" si="96">V15/V$5</f>
        <v>0.22159103339044109</v>
      </c>
      <c r="W16" s="303">
        <f t="shared" ref="W16" ca="1" si="97">W15/W$5</f>
        <v>0.22175992650253695</v>
      </c>
      <c r="Y16" s="398" t="str">
        <f>Y15&amp;" as a % of Revenue"</f>
        <v>SLEBITDA as a % of Revenue</v>
      </c>
      <c r="Z16" s="392">
        <f t="shared" ref="Z16:AD16" ca="1" si="98">Z15/Z$5</f>
        <v>0.25618609347865223</v>
      </c>
      <c r="AA16" s="392">
        <f ca="1">AA15/AA$5</f>
        <v>0.23577430091945381</v>
      </c>
      <c r="AB16" s="392">
        <f t="shared" ca="1" si="98"/>
        <v>0.22763458942811796</v>
      </c>
      <c r="AC16" s="392">
        <f t="shared" ca="1" si="98"/>
        <v>0.22385537031845459</v>
      </c>
      <c r="AD16" s="393">
        <f t="shared" ca="1" si="98"/>
        <v>0.22211488936423543</v>
      </c>
    </row>
    <row r="17" spans="2:30" x14ac:dyDescent="0.35">
      <c r="B17" s="301" t="s">
        <v>238</v>
      </c>
      <c r="D17" s="166">
        <f>'G&amp;A'!G53</f>
        <v>251060</v>
      </c>
      <c r="E17" s="166">
        <f>'G&amp;A'!H53</f>
        <v>251060</v>
      </c>
      <c r="F17" s="166">
        <f>'G&amp;A'!I53</f>
        <v>345935</v>
      </c>
      <c r="G17" s="166">
        <f>'G&amp;A'!J53</f>
        <v>345935</v>
      </c>
      <c r="H17" s="166">
        <f>'G&amp;A'!K53</f>
        <v>345935</v>
      </c>
      <c r="I17" s="166">
        <f>'G&amp;A'!L53</f>
        <v>345935</v>
      </c>
      <c r="J17" s="166">
        <f>'G&amp;A'!M53</f>
        <v>451160</v>
      </c>
      <c r="K17" s="166">
        <f>'G&amp;A'!N53</f>
        <v>451160</v>
      </c>
      <c r="L17" s="166">
        <f>'G&amp;A'!O53</f>
        <v>451160</v>
      </c>
      <c r="M17" s="166">
        <f>'G&amp;A'!P53</f>
        <v>566735</v>
      </c>
      <c r="N17" s="166">
        <f>'G&amp;A'!Q53</f>
        <v>566735</v>
      </c>
      <c r="O17" s="166">
        <f>'G&amp;A'!R53</f>
        <v>566735</v>
      </c>
      <c r="P17" s="166">
        <f>'G&amp;A'!S53</f>
        <v>566735</v>
      </c>
      <c r="Q17" s="166">
        <f>'G&amp;A'!T53</f>
        <v>652985</v>
      </c>
      <c r="R17" s="166">
        <f>'G&amp;A'!U53</f>
        <v>652985</v>
      </c>
      <c r="S17" s="166">
        <f>'G&amp;A'!V53</f>
        <v>652985</v>
      </c>
      <c r="T17" s="166">
        <f>'G&amp;A'!W53</f>
        <v>713360</v>
      </c>
      <c r="U17" s="166">
        <f>'G&amp;A'!X53</f>
        <v>713360</v>
      </c>
      <c r="V17" s="166">
        <f>'G&amp;A'!Y53</f>
        <v>713360</v>
      </c>
      <c r="W17" s="166">
        <f>'G&amp;A'!Z53</f>
        <v>756485</v>
      </c>
      <c r="Y17" s="375" t="s">
        <v>238</v>
      </c>
      <c r="Z17" s="348">
        <f>SUMIFS($D17:$W17,$D$2:$W$2,Z$4)</f>
        <v>1193990</v>
      </c>
      <c r="AA17" s="348">
        <f>SUMIFS($D17:$W17,$D$2:$W$2,AA$4)</f>
        <v>1594190</v>
      </c>
      <c r="AB17" s="348">
        <f>SUMIFS($D17:$W17,$D$2:$W$2,AB$4)</f>
        <v>2151365</v>
      </c>
      <c r="AC17" s="348">
        <f>SUMIFS($D17:$W17,$D$2:$W$2,AC$4)</f>
        <v>2525690</v>
      </c>
      <c r="AD17" s="349">
        <f>SUMIFS($D17:$W17,$D$2:$W$2,AD$4)</f>
        <v>2896565</v>
      </c>
    </row>
    <row r="18" spans="2:30" x14ac:dyDescent="0.35">
      <c r="B18" s="336" t="str">
        <f>B17&amp;" as a % of Revenue"</f>
        <v>G&amp;A as a % of Revenue</v>
      </c>
      <c r="D18" s="303">
        <f ca="1">D17/D$5</f>
        <v>7.7347733881806588E-2</v>
      </c>
      <c r="E18" s="303">
        <f ca="1">E17/E$5</f>
        <v>6.0395008706719065E-2</v>
      </c>
      <c r="F18" s="303">
        <f t="shared" ref="F18" ca="1" si="99">F17/F$5</f>
        <v>6.8165878690607987E-2</v>
      </c>
      <c r="G18" s="303">
        <f t="shared" ref="G18" ca="1" si="100">G17/G$5</f>
        <v>6.2281271452702409E-2</v>
      </c>
      <c r="H18" s="303">
        <f t="shared" ref="H18" ca="1" si="101">H17/H$5</f>
        <v>5.729782605339858E-2</v>
      </c>
      <c r="I18" s="303">
        <f t="shared" ref="I18" ca="1" si="102">I17/I$5</f>
        <v>4.9635458232486197E-2</v>
      </c>
      <c r="J18" s="303">
        <f t="shared" ref="J18" ca="1" si="103">J17/J$5</f>
        <v>5.7047307365780349E-2</v>
      </c>
      <c r="K18" s="303">
        <f t="shared" ref="K18" ca="1" si="104">K17/K$5</f>
        <v>5.3650394242298907E-2</v>
      </c>
      <c r="L18" s="303">
        <f t="shared" ref="L18" ca="1" si="105">L17/L$5</f>
        <v>5.0613977974780767E-2</v>
      </c>
      <c r="M18" s="303">
        <f t="shared" ref="M18" ca="1" si="106">M17/M$5</f>
        <v>5.7435536909757931E-2</v>
      </c>
      <c r="N18" s="303">
        <f t="shared" ref="N18" ca="1" si="107">N17/N$5</f>
        <v>5.2339520876776242E-2</v>
      </c>
      <c r="O18" s="303">
        <f t="shared" ref="O18" ca="1" si="108">O17/O$5</f>
        <v>4.9929671611703322E-2</v>
      </c>
      <c r="P18" s="303">
        <f t="shared" ref="P18" ca="1" si="109">P17/P$5</f>
        <v>4.7716229243950282E-2</v>
      </c>
      <c r="Q18" s="303">
        <f t="shared" ref="Q18" ca="1" si="110">Q17/Q$5</f>
        <v>5.0804145630923087E-2</v>
      </c>
      <c r="R18" s="303">
        <f t="shared" ref="R18" ca="1" si="111">R17/R$5</f>
        <v>4.7194323067470796E-2</v>
      </c>
      <c r="S18" s="303">
        <f t="shared" ref="S18" ca="1" si="112">S17/S$5</f>
        <v>4.540529432873551E-2</v>
      </c>
      <c r="T18" s="303">
        <f t="shared" ref="T18" ca="1" si="113">T17/T$5</f>
        <v>4.777871407405062E-2</v>
      </c>
      <c r="U18" s="303">
        <f t="shared" ref="U18" ca="1" si="114">U17/U$5</f>
        <v>4.4783236332656101E-2</v>
      </c>
      <c r="V18" s="303">
        <f t="shared" ref="V18" ca="1" si="115">V17/V$5</f>
        <v>4.21225714123276E-2</v>
      </c>
      <c r="W18" s="303">
        <f t="shared" ref="W18" ca="1" si="116">W17/W$5</f>
        <v>4.3218502456118864E-2</v>
      </c>
      <c r="Y18" s="398" t="str">
        <f>Y17&amp;" as a % of Revenue"</f>
        <v>G&amp;A as a % of Revenue</v>
      </c>
      <c r="Z18" s="392">
        <f ca="1">Z17/Z$5</f>
        <v>6.6214601792947886E-2</v>
      </c>
      <c r="AA18" s="392">
        <f t="shared" ref="AA18:AD18" ca="1" si="117">AA17/AA$5</f>
        <v>5.4363229752462085E-2</v>
      </c>
      <c r="AB18" s="392">
        <f t="shared" ca="1" si="117"/>
        <v>5.2523838202309603E-2</v>
      </c>
      <c r="AC18" s="392">
        <f t="shared" ca="1" si="117"/>
        <v>4.7701755809608282E-2</v>
      </c>
      <c r="AD18" s="393">
        <f t="shared" ca="1" si="117"/>
        <v>4.4358665126832106E-2</v>
      </c>
    </row>
    <row r="19" spans="2:30" x14ac:dyDescent="0.35">
      <c r="B19" s="301" t="s">
        <v>239</v>
      </c>
      <c r="D19" s="167">
        <f ca="1">D15-D17</f>
        <v>651961.02247599978</v>
      </c>
      <c r="E19" s="167">
        <f t="shared" ref="E19:W19" ca="1" si="118">E15-E17</f>
        <v>832751.39857042255</v>
      </c>
      <c r="F19" s="167">
        <f t="shared" ca="1" si="118"/>
        <v>920965.95712553081</v>
      </c>
      <c r="G19" s="167">
        <f t="shared" ca="1" si="118"/>
        <v>1019911.3741773809</v>
      </c>
      <c r="H19" s="167">
        <f t="shared" ca="1" si="118"/>
        <v>1120069.7052356675</v>
      </c>
      <c r="I19" s="167">
        <f t="shared" ca="1" si="118"/>
        <v>1307910.6842557108</v>
      </c>
      <c r="J19" s="167">
        <f t="shared" ca="1" si="118"/>
        <v>1392878.8648528182</v>
      </c>
      <c r="K19" s="167">
        <f t="shared" ca="1" si="118"/>
        <v>1498981.3228357974</v>
      </c>
      <c r="L19" s="167">
        <f t="shared" ca="1" si="118"/>
        <v>1606350.5165095516</v>
      </c>
      <c r="M19" s="167">
        <f t="shared" ca="1" si="118"/>
        <v>1685881.5856699948</v>
      </c>
      <c r="N19" s="167">
        <f t="shared" ca="1" si="118"/>
        <v>1883394.4928414975</v>
      </c>
      <c r="O19" s="167">
        <f t="shared" ca="1" si="118"/>
        <v>1996871.725833687</v>
      </c>
      <c r="P19" s="167">
        <f t="shared" ca="1" si="118"/>
        <v>2111671.1580674825</v>
      </c>
      <c r="Q19" s="167">
        <f t="shared" ca="1" si="118"/>
        <v>2228013.3475936484</v>
      </c>
      <c r="R19" s="167">
        <f t="shared" ca="1" si="118"/>
        <v>2433068.6783540426</v>
      </c>
      <c r="S19" s="167">
        <f t="shared" ca="1" si="118"/>
        <v>2554145.0627624132</v>
      </c>
      <c r="T19" s="167">
        <f t="shared" ca="1" si="118"/>
        <v>2616225.8020545822</v>
      </c>
      <c r="U19" s="167">
        <f t="shared" ca="1" si="118"/>
        <v>2826531.8853313979</v>
      </c>
      <c r="V19" s="167">
        <f t="shared" ca="1" si="118"/>
        <v>3039359.1308444915</v>
      </c>
      <c r="W19" s="167">
        <f t="shared" ca="1" si="118"/>
        <v>3125140.8886018051</v>
      </c>
      <c r="Y19" s="375" t="s">
        <v>239</v>
      </c>
      <c r="Z19" s="337">
        <f ca="1">SUMIFS($D19:$W19,$D$2:$W$2,Z$4)</f>
        <v>3425589.7523493343</v>
      </c>
      <c r="AA19" s="337">
        <f ca="1">SUMIFS($D19:$W19,$D$2:$W$2,AA$4)</f>
        <v>5319840.5771799944</v>
      </c>
      <c r="AB19" s="337">
        <f ca="1">SUMIFS($D19:$W19,$D$2:$W$2,AB$4)</f>
        <v>7172498.3208547309</v>
      </c>
      <c r="AC19" s="337">
        <f ca="1">SUMIFS($D19:$W19,$D$2:$W$2,AC$4)</f>
        <v>9326898.2467775866</v>
      </c>
      <c r="AD19" s="379">
        <f ca="1">SUMIFS($D19:$W19,$D$2:$W$2,AD$4)</f>
        <v>11607257.706832279</v>
      </c>
    </row>
    <row r="20" spans="2:30" x14ac:dyDescent="0.35">
      <c r="B20" s="336" t="str">
        <f>B19&amp;" as a % of Revenue"</f>
        <v>EBITDA as a % of Revenue</v>
      </c>
      <c r="D20" s="303">
        <f ca="1">D19/D$5</f>
        <v>0.2008591877152241</v>
      </c>
      <c r="E20" s="303">
        <f ca="1">E19/E$5</f>
        <v>0.20032672654820818</v>
      </c>
      <c r="F20" s="303">
        <f t="shared" ref="F20" ca="1" si="119">F19/F$5</f>
        <v>0.18147470973332738</v>
      </c>
      <c r="G20" s="303">
        <f t="shared" ref="G20" ca="1" si="120">G19/G$5</f>
        <v>0.18362229075647216</v>
      </c>
      <c r="H20" s="303">
        <f t="shared" ref="H20" ca="1" si="121">H19/H$5</f>
        <v>0.1855191268251975</v>
      </c>
      <c r="I20" s="303">
        <f t="shared" ref="I20" ca="1" si="122">I19/I$5</f>
        <v>0.18766168829461249</v>
      </c>
      <c r="J20" s="303">
        <f t="shared" ref="J20" ca="1" si="123">J19/J$5</f>
        <v>0.17612374485007079</v>
      </c>
      <c r="K20" s="303">
        <f t="shared" ref="K20" ca="1" si="124">K19/K$5</f>
        <v>0.17825369920201983</v>
      </c>
      <c r="L20" s="303">
        <f t="shared" ref="L20" ca="1" si="125">L19/L$5</f>
        <v>0.18021054539939743</v>
      </c>
      <c r="M20" s="303">
        <f t="shared" ref="M20" ca="1" si="126">M19/M$5</f>
        <v>0.17085500990627051</v>
      </c>
      <c r="N20" s="303">
        <f t="shared" ref="N20" ca="1" si="127">N19/N$5</f>
        <v>0.17393661125090734</v>
      </c>
      <c r="O20" s="303">
        <f t="shared" ref="O20" ca="1" si="128">O19/O$5</f>
        <v>0.17592551990184349</v>
      </c>
      <c r="P20" s="303">
        <f t="shared" ref="P20" ca="1" si="129">P19/P$5</f>
        <v>0.17779206342679732</v>
      </c>
      <c r="Q20" s="303">
        <f t="shared" ref="Q20" ca="1" si="130">Q19/Q$5</f>
        <v>0.17334596442305439</v>
      </c>
      <c r="R20" s="303">
        <f t="shared" ref="R20" ca="1" si="131">R19/R$5</f>
        <v>0.17584941346521724</v>
      </c>
      <c r="S20" s="303">
        <f t="shared" ref="S20" ca="1" si="132">S19/S$5</f>
        <v>0.17760240791597662</v>
      </c>
      <c r="T20" s="303">
        <f t="shared" ref="T20" ca="1" si="133">T19/T$5</f>
        <v>0.17522696051014863</v>
      </c>
      <c r="U20" s="303">
        <f t="shared" ref="U20" ca="1" si="134">U19/U$5</f>
        <v>0.17744371064060785</v>
      </c>
      <c r="V20" s="303">
        <f t="shared" ref="V20" ca="1" si="135">V19/V$5</f>
        <v>0.1794684619781135</v>
      </c>
      <c r="W20" s="303">
        <f t="shared" ref="W20" ca="1" si="136">W19/W$5</f>
        <v>0.1785414240464181</v>
      </c>
      <c r="Y20" s="398" t="str">
        <f>Y19&amp;" as a % of Revenue"</f>
        <v>EBITDA as a % of Revenue</v>
      </c>
      <c r="Z20" s="392">
        <f t="shared" ref="Z20:AD20" ca="1" si="137">Z19/Z$5</f>
        <v>0.18997149168570435</v>
      </c>
      <c r="AA20" s="392">
        <f t="shared" ca="1" si="137"/>
        <v>0.18141107116699173</v>
      </c>
      <c r="AB20" s="392">
        <f t="shared" ca="1" si="137"/>
        <v>0.17511075122580835</v>
      </c>
      <c r="AC20" s="392">
        <f ca="1">AC19/AC$5</f>
        <v>0.17615361450884631</v>
      </c>
      <c r="AD20" s="393">
        <f t="shared" ca="1" si="137"/>
        <v>0.17775622423740331</v>
      </c>
    </row>
    <row r="21" spans="2:30" x14ac:dyDescent="0.35">
      <c r="B21" s="301" t="s">
        <v>240</v>
      </c>
      <c r="D21" s="166">
        <f>-CapEx!E13</f>
        <v>150000</v>
      </c>
      <c r="E21" s="166">
        <f>-CapEx!F13</f>
        <v>191250</v>
      </c>
      <c r="F21" s="166">
        <f>-CapEx!G13</f>
        <v>277828.125</v>
      </c>
      <c r="G21" s="166">
        <f>-CapEx!H13</f>
        <v>361159.5703125</v>
      </c>
      <c r="H21" s="166">
        <f>-CapEx!I13</f>
        <v>394491.08642578125</v>
      </c>
      <c r="I21" s="166">
        <f>-CapEx!J13</f>
        <v>426572.67068481445</v>
      </c>
      <c r="J21" s="166">
        <f>-CapEx!K13</f>
        <v>504326.19553413388</v>
      </c>
      <c r="K21" s="166">
        <f>-CapEx!L13</f>
        <v>579163.96320160385</v>
      </c>
      <c r="L21" s="166">
        <f>-CapEx!M13</f>
        <v>604320.31458154379</v>
      </c>
      <c r="M21" s="166">
        <f>-CapEx!N13</f>
        <v>628533.30278473592</v>
      </c>
      <c r="N21" s="166">
        <f>-CapEx!O13</f>
        <v>698713.30393030832</v>
      </c>
      <c r="O21" s="166">
        <f>-CapEx!P13</f>
        <v>766261.55503292184</v>
      </c>
      <c r="P21" s="166">
        <f>-CapEx!Q13</f>
        <v>784401.74671918724</v>
      </c>
      <c r="Q21" s="166">
        <f>-CapEx!R13</f>
        <v>801861.6812172177</v>
      </c>
      <c r="R21" s="166">
        <f>-CapEx!S13</f>
        <v>865541.8681715721</v>
      </c>
      <c r="S21" s="166">
        <f>-CapEx!T13</f>
        <v>926834.04811513808</v>
      </c>
      <c r="T21" s="166">
        <f>-CapEx!U13</f>
        <v>938952.77131082048</v>
      </c>
      <c r="U21" s="166">
        <f>-CapEx!V13</f>
        <v>950617.04238666466</v>
      </c>
      <c r="V21" s="166">
        <f>-CapEx!W13</f>
        <v>1008718.9032971647</v>
      </c>
      <c r="W21" s="166">
        <f>-CapEx!X13</f>
        <v>1064641.9444235209</v>
      </c>
      <c r="Y21" s="375" t="s">
        <v>240</v>
      </c>
      <c r="Z21" s="348">
        <f>SUMIFS($D21:$W21,$D$2:$W$2,Z$4)</f>
        <v>980237.6953125</v>
      </c>
      <c r="AA21" s="348">
        <f>SUMIFS($D21:$W21,$D$2:$W$2,AA$4)</f>
        <v>1904553.9158463334</v>
      </c>
      <c r="AB21" s="348">
        <f>SUMIFS($D21:$W21,$D$2:$W$2,AB$4)</f>
        <v>2697828.4763295101</v>
      </c>
      <c r="AC21" s="348">
        <f>SUMIFS($D21:$W21,$D$2:$W$2,AC$4)</f>
        <v>3378639.3442231151</v>
      </c>
      <c r="AD21" s="349">
        <f>SUMIFS($D21:$W21,$D$2:$W$2,AD$4)</f>
        <v>3962930.6614181707</v>
      </c>
    </row>
    <row r="22" spans="2:30" x14ac:dyDescent="0.35">
      <c r="B22" s="336" t="str">
        <f>B21&amp;" as a % of Revenue"</f>
        <v>Depreciation as a % of Revenue</v>
      </c>
      <c r="D22" s="303">
        <f t="shared" ref="D22:W22" ca="1" si="138">D21/D$5</f>
        <v>4.621269848749697E-2</v>
      </c>
      <c r="E22" s="303">
        <f t="shared" ca="1" si="138"/>
        <v>4.6007111507846817E-2</v>
      </c>
      <c r="F22" s="303">
        <f t="shared" ca="1" si="138"/>
        <v>5.4745539669559515E-2</v>
      </c>
      <c r="G22" s="303">
        <f t="shared" ca="1" si="138"/>
        <v>6.5022264981497033E-2</v>
      </c>
      <c r="H22" s="303">
        <f t="shared" ca="1" si="138"/>
        <v>6.5340256550047382E-2</v>
      </c>
      <c r="I22" s="303">
        <f t="shared" ca="1" si="138"/>
        <v>6.1205515426008349E-2</v>
      </c>
      <c r="J22" s="303">
        <f t="shared" ca="1" si="138"/>
        <v>6.37699518779377E-2</v>
      </c>
      <c r="K22" s="303">
        <f t="shared" ca="1" si="138"/>
        <v>6.8872184938155737E-2</v>
      </c>
      <c r="L22" s="303">
        <f t="shared" ca="1" si="138"/>
        <v>6.7796469305662826E-2</v>
      </c>
      <c r="M22" s="303">
        <f t="shared" ca="1" si="138"/>
        <v>6.3698461734505121E-2</v>
      </c>
      <c r="N22" s="303">
        <f t="shared" ca="1" si="138"/>
        <v>6.4528076716528326E-2</v>
      </c>
      <c r="O22" s="303">
        <f t="shared" ca="1" si="138"/>
        <v>6.7508073105537719E-2</v>
      </c>
      <c r="P22" s="303">
        <f t="shared" ca="1" si="138"/>
        <v>6.6042671735127997E-2</v>
      </c>
      <c r="Q22" s="303">
        <f t="shared" ca="1" si="138"/>
        <v>6.2387187498053331E-2</v>
      </c>
      <c r="R22" s="303">
        <f t="shared" ca="1" si="138"/>
        <v>6.2556816090586137E-2</v>
      </c>
      <c r="S22" s="303">
        <f t="shared" ca="1" si="138"/>
        <v>6.4447380488925857E-2</v>
      </c>
      <c r="T22" s="303">
        <f t="shared" ca="1" si="138"/>
        <v>6.288824154634004E-2</v>
      </c>
      <c r="U22" s="303">
        <f t="shared" ca="1" si="138"/>
        <v>5.967773308154728E-2</v>
      </c>
      <c r="V22" s="303">
        <f t="shared" ca="1" si="138"/>
        <v>5.9562961252522709E-2</v>
      </c>
      <c r="W22" s="303">
        <f t="shared" ca="1" si="138"/>
        <v>6.0823718236257297E-2</v>
      </c>
      <c r="Y22" s="398" t="str">
        <f>Y21&amp;" as a % of Revenue"</f>
        <v>Depreciation as a % of Revenue</v>
      </c>
      <c r="Z22" s="392">
        <f t="shared" ref="Z22" ca="1" si="139">Z21/Z$5</f>
        <v>5.4360630036729092E-2</v>
      </c>
      <c r="AA22" s="392">
        <f t="shared" ref="AA22" ca="1" si="140">AA21/AA$5</f>
        <v>6.494690225324809E-2</v>
      </c>
      <c r="AB22" s="392">
        <f t="shared" ref="AB22" ca="1" si="141">AB21/AB$5</f>
        <v>6.5865302442084273E-2</v>
      </c>
      <c r="AC22" s="392">
        <f t="shared" ref="AC22" ca="1" si="142">AC21/AC$5</f>
        <v>6.3811088837848709E-2</v>
      </c>
      <c r="AD22" s="393">
        <f ca="1">AD21/AD$5</f>
        <v>6.0689235052796636E-2</v>
      </c>
    </row>
    <row r="23" spans="2:30" x14ac:dyDescent="0.35">
      <c r="B23" s="301" t="s">
        <v>241</v>
      </c>
      <c r="D23" s="167">
        <f t="shared" ref="D23:W23" ca="1" si="143">D19-D21</f>
        <v>501961.02247599978</v>
      </c>
      <c r="E23" s="167">
        <f t="shared" ca="1" si="143"/>
        <v>641501.39857042255</v>
      </c>
      <c r="F23" s="167">
        <f t="shared" ca="1" si="143"/>
        <v>643137.83212553081</v>
      </c>
      <c r="G23" s="167">
        <f t="shared" ca="1" si="143"/>
        <v>658751.80386488093</v>
      </c>
      <c r="H23" s="167">
        <f t="shared" ca="1" si="143"/>
        <v>725578.61880988628</v>
      </c>
      <c r="I23" s="167">
        <f t="shared" ca="1" si="143"/>
        <v>881338.01357089635</v>
      </c>
      <c r="J23" s="167">
        <f t="shared" ca="1" si="143"/>
        <v>888552.66931868438</v>
      </c>
      <c r="K23" s="167">
        <f t="shared" ca="1" si="143"/>
        <v>919817.35963419359</v>
      </c>
      <c r="L23" s="167">
        <f t="shared" ca="1" si="143"/>
        <v>1002030.2019280078</v>
      </c>
      <c r="M23" s="167">
        <f t="shared" ca="1" si="143"/>
        <v>1057348.282885259</v>
      </c>
      <c r="N23" s="167">
        <f t="shared" ca="1" si="143"/>
        <v>1184681.1889111893</v>
      </c>
      <c r="O23" s="167">
        <f t="shared" ca="1" si="143"/>
        <v>1230610.170800765</v>
      </c>
      <c r="P23" s="167">
        <f t="shared" ca="1" si="143"/>
        <v>1327269.4113482954</v>
      </c>
      <c r="Q23" s="167">
        <f t="shared" ca="1" si="143"/>
        <v>1426151.6663764305</v>
      </c>
      <c r="R23" s="167">
        <f t="shared" ca="1" si="143"/>
        <v>1567526.8101824704</v>
      </c>
      <c r="S23" s="167">
        <f t="shared" ca="1" si="143"/>
        <v>1627311.0146472752</v>
      </c>
      <c r="T23" s="167">
        <f t="shared" ca="1" si="143"/>
        <v>1677273.0307437617</v>
      </c>
      <c r="U23" s="167">
        <f t="shared" ca="1" si="143"/>
        <v>1875914.8429447333</v>
      </c>
      <c r="V23" s="167">
        <f t="shared" ca="1" si="143"/>
        <v>2030640.2275473268</v>
      </c>
      <c r="W23" s="167">
        <f t="shared" ca="1" si="143"/>
        <v>2060498.9441782841</v>
      </c>
      <c r="Y23" s="375" t="s">
        <v>241</v>
      </c>
      <c r="Z23" s="337">
        <f ca="1">SUMIFS($D23:$W23,$D$2:$W$2,Z$4)</f>
        <v>2445352.0570368338</v>
      </c>
      <c r="AA23" s="337">
        <f ca="1">SUMIFS($D23:$W23,$D$2:$W$2,AA$4)</f>
        <v>3415286.6613336606</v>
      </c>
      <c r="AB23" s="337">
        <f ca="1">SUMIFS($D23:$W23,$D$2:$W$2,AB$4)</f>
        <v>4474669.8445252217</v>
      </c>
      <c r="AC23" s="337">
        <f ca="1">SUMIFS($D23:$W23,$D$2:$W$2,AC$4)</f>
        <v>5948258.902554471</v>
      </c>
      <c r="AD23" s="379">
        <f ca="1">SUMIFS($D23:$W23,$D$2:$W$2,AD$4)</f>
        <v>7644327.045414106</v>
      </c>
    </row>
    <row r="24" spans="2:30" x14ac:dyDescent="0.35">
      <c r="B24" s="336" t="str">
        <f>B23&amp;" as a % of Revenue"</f>
        <v>EBIT as a % of Revenue</v>
      </c>
      <c r="D24" s="303">
        <f ca="1">D23/D$5</f>
        <v>0.15464648922772711</v>
      </c>
      <c r="E24" s="303">
        <f ca="1">E23/E$5</f>
        <v>0.15431961504036137</v>
      </c>
      <c r="F24" s="303">
        <f t="shared" ref="F24" ca="1" si="144">F23/F$5</f>
        <v>0.12672917006376785</v>
      </c>
      <c r="G24" s="303">
        <f t="shared" ref="G24" ca="1" si="145">G23/G$5</f>
        <v>0.11860002577497514</v>
      </c>
      <c r="H24" s="303">
        <f t="shared" ref="H24" ca="1" si="146">H23/H$5</f>
        <v>0.12017887027515013</v>
      </c>
      <c r="I24" s="303">
        <f t="shared" ref="I24" ca="1" si="147">I23/I$5</f>
        <v>0.12645617286860417</v>
      </c>
      <c r="J24" s="303">
        <f t="shared" ref="J24" ca="1" si="148">J23/J$5</f>
        <v>0.1123537929721331</v>
      </c>
      <c r="K24" s="303">
        <f t="shared" ref="K24" ca="1" si="149">K23/K$5</f>
        <v>0.10938151426386408</v>
      </c>
      <c r="L24" s="303">
        <f t="shared" ref="L24" ca="1" si="150">L23/L$5</f>
        <v>0.11241407609373462</v>
      </c>
      <c r="M24" s="303">
        <f t="shared" ref="M24" ca="1" si="151">M23/M$5</f>
        <v>0.1071565481717654</v>
      </c>
      <c r="N24" s="303">
        <f t="shared" ref="N24" ca="1" si="152">N23/N$5</f>
        <v>0.10940853453437903</v>
      </c>
      <c r="O24" s="303">
        <f t="shared" ref="O24" ca="1" si="153">O23/O$5</f>
        <v>0.10841744679630574</v>
      </c>
      <c r="P24" s="303">
        <f t="shared" ref="P24" ca="1" si="154">P23/P$5</f>
        <v>0.11174939169166932</v>
      </c>
      <c r="Q24" s="303">
        <f t="shared" ref="Q24" ca="1" si="155">Q23/Q$5</f>
        <v>0.11095877692500106</v>
      </c>
      <c r="R24" s="303">
        <f t="shared" ref="R24" ca="1" si="156">R23/R$5</f>
        <v>0.11329259737463108</v>
      </c>
      <c r="S24" s="303">
        <f t="shared" ref="S24" ca="1" si="157">S23/S$5</f>
        <v>0.11315502742705077</v>
      </c>
      <c r="T24" s="303">
        <f t="shared" ref="T24" ca="1" si="158">T23/T$5</f>
        <v>0.11233871896380859</v>
      </c>
      <c r="U24" s="303">
        <f t="shared" ref="U24" ca="1" si="159">U23/U$5</f>
        <v>0.11776597755906057</v>
      </c>
      <c r="V24" s="303">
        <f t="shared" ref="V24" ca="1" si="160">V23/V$5</f>
        <v>0.11990550072559078</v>
      </c>
      <c r="W24" s="303">
        <f t="shared" ref="W24" ca="1" si="161">W23/W$5</f>
        <v>0.11771770581016081</v>
      </c>
      <c r="Y24" s="398" t="str">
        <f>Y23&amp;" as a % of Revenue"</f>
        <v>EBIT as a % of Revenue</v>
      </c>
      <c r="Z24" s="392">
        <f t="shared" ref="Z24:AD24" ca="1" si="162">Z23/Z$5</f>
        <v>0.13561086164897523</v>
      </c>
      <c r="AA24" s="392">
        <f t="shared" ca="1" si="162"/>
        <v>0.11646416891374363</v>
      </c>
      <c r="AB24" s="392">
        <f t="shared" ca="1" si="162"/>
        <v>0.10924544878372411</v>
      </c>
      <c r="AC24" s="392">
        <f t="shared" ca="1" si="162"/>
        <v>0.1123425256709976</v>
      </c>
      <c r="AD24" s="393">
        <f t="shared" ca="1" si="162"/>
        <v>0.11706698918460666</v>
      </c>
    </row>
    <row r="25" spans="2:30" x14ac:dyDescent="0.35">
      <c r="B25" s="301" t="s">
        <v>165</v>
      </c>
      <c r="D25" s="166">
        <f>'Interest Expense'!E7</f>
        <v>125000</v>
      </c>
      <c r="E25" s="166">
        <f>'Interest Expense'!F7</f>
        <v>125000</v>
      </c>
      <c r="F25" s="166">
        <f>'Interest Expense'!G7</f>
        <v>125000</v>
      </c>
      <c r="G25" s="166">
        <f>'Interest Expense'!H7</f>
        <v>125000</v>
      </c>
      <c r="H25" s="166">
        <f>'Interest Expense'!I7</f>
        <v>125000</v>
      </c>
      <c r="I25" s="166">
        <f>'Interest Expense'!J7</f>
        <v>125000</v>
      </c>
      <c r="J25" s="166">
        <f>'Interest Expense'!K7</f>
        <v>125000</v>
      </c>
      <c r="K25" s="166">
        <f>'Interest Expense'!L7</f>
        <v>125000</v>
      </c>
      <c r="L25" s="166">
        <f>'Interest Expense'!M7</f>
        <v>125000</v>
      </c>
      <c r="M25" s="166">
        <f>'Interest Expense'!N7</f>
        <v>125000</v>
      </c>
      <c r="N25" s="166">
        <f>'Interest Expense'!O7</f>
        <v>125000</v>
      </c>
      <c r="O25" s="166">
        <f>'Interest Expense'!P7</f>
        <v>125000</v>
      </c>
      <c r="P25" s="166">
        <f>'Interest Expense'!Q7</f>
        <v>125000</v>
      </c>
      <c r="Q25" s="166">
        <f>'Interest Expense'!R7</f>
        <v>125000</v>
      </c>
      <c r="R25" s="166">
        <f>'Interest Expense'!S7</f>
        <v>125000</v>
      </c>
      <c r="S25" s="166">
        <f>'Interest Expense'!T7</f>
        <v>125000</v>
      </c>
      <c r="T25" s="166">
        <f>'Interest Expense'!U7</f>
        <v>125000</v>
      </c>
      <c r="U25" s="166">
        <f>'Interest Expense'!V7</f>
        <v>125000</v>
      </c>
      <c r="V25" s="166">
        <f>'Interest Expense'!W7</f>
        <v>125000</v>
      </c>
      <c r="W25" s="166">
        <f>'Interest Expense'!X7</f>
        <v>125000</v>
      </c>
      <c r="Y25" s="375" t="s">
        <v>165</v>
      </c>
      <c r="Z25" s="348">
        <f>SUMIFS($D25:$W25,$D$2:$W$2,Z$4)</f>
        <v>500000</v>
      </c>
      <c r="AA25" s="348">
        <f>SUMIFS($D25:$W25,$D$2:$W$2,AA$4)</f>
        <v>500000</v>
      </c>
      <c r="AB25" s="348">
        <f>SUMIFS($D25:$W25,$D$2:$W$2,AB$4)</f>
        <v>500000</v>
      </c>
      <c r="AC25" s="348">
        <f>SUMIFS($D25:$W25,$D$2:$W$2,AC$4)</f>
        <v>500000</v>
      </c>
      <c r="AD25" s="349">
        <f>SUMIFS($D25:$W25,$D$2:$W$2,AD$4)</f>
        <v>500000</v>
      </c>
    </row>
    <row r="26" spans="2:30" x14ac:dyDescent="0.35">
      <c r="B26" s="336" t="str">
        <f>B25&amp;" as a % of Revenue"</f>
        <v>Interest Expense as a % of Revenue</v>
      </c>
      <c r="D26" s="303">
        <f ca="1">D25/D$5</f>
        <v>3.8510582072914142E-2</v>
      </c>
      <c r="E26" s="303">
        <f ca="1">E25/E$5</f>
        <v>3.0070007521468507E-2</v>
      </c>
      <c r="F26" s="303">
        <f t="shared" ref="F26" ca="1" si="163">F25/F$5</f>
        <v>2.4631028477390255E-2</v>
      </c>
      <c r="G26" s="303">
        <f t="shared" ref="G26" ca="1" si="164">G25/G$5</f>
        <v>2.2504687098986228E-2</v>
      </c>
      <c r="H26" s="303">
        <f t="shared" ref="H26" ca="1" si="165">H25/H$5</f>
        <v>2.0703971141037544E-2</v>
      </c>
      <c r="I26" s="303">
        <f t="shared" ref="I26" ca="1" si="166">I25/I$5</f>
        <v>1.7935254539323209E-2</v>
      </c>
      <c r="J26" s="303">
        <f t="shared" ref="J26" ca="1" si="167">J25/J$5</f>
        <v>1.5805730607151659E-2</v>
      </c>
      <c r="K26" s="303">
        <f t="shared" ref="K26" ca="1" si="168">K25/K$5</f>
        <v>1.4864569731996105E-2</v>
      </c>
      <c r="L26" s="303">
        <f t="shared" ref="L26" ca="1" si="169">L25/L$5</f>
        <v>1.402328940253479E-2</v>
      </c>
      <c r="M26" s="303">
        <f t="shared" ref="M26" ca="1" si="170">M25/M$5</f>
        <v>1.2668076109151088E-2</v>
      </c>
      <c r="N26" s="303">
        <f t="shared" ref="N26" ca="1" si="171">N25/N$5</f>
        <v>1.1544090464850469E-2</v>
      </c>
      <c r="O26" s="303">
        <f t="shared" ref="O26" ca="1" si="172">O25/O$5</f>
        <v>1.1012570163238401E-2</v>
      </c>
      <c r="P26" s="303">
        <f t="shared" ref="P26" ca="1" si="173">P25/P$5</f>
        <v>1.0524369688644227E-2</v>
      </c>
      <c r="Q26" s="303">
        <f t="shared" ref="Q26" ca="1" si="174">Q25/Q$5</f>
        <v>9.7253661322471204E-3</v>
      </c>
      <c r="R26" s="303">
        <f t="shared" ref="R26" ca="1" si="175">R25/R$5</f>
        <v>9.0343428768407379E-3</v>
      </c>
      <c r="S26" s="303">
        <f t="shared" ref="S26" ca="1" si="176">S25/S$5</f>
        <v>8.6918716220004116E-3</v>
      </c>
      <c r="T26" s="303">
        <f t="shared" ref="T26" ca="1" si="177">T25/T$5</f>
        <v>8.3721252372663552E-3</v>
      </c>
      <c r="U26" s="303">
        <f t="shared" ref="U26" ca="1" si="178">U25/U$5</f>
        <v>7.8472363765588384E-3</v>
      </c>
      <c r="V26" s="303">
        <f t="shared" ref="V26" ca="1" si="179">V25/V$5</f>
        <v>7.3810157936258693E-3</v>
      </c>
      <c r="W26" s="303">
        <f t="shared" ref="W26" ca="1" si="180">W25/W$5</f>
        <v>7.141334999391737E-3</v>
      </c>
      <c r="Y26" s="398" t="str">
        <f>Y25&amp;" as a % of Revenue"</f>
        <v>Interest Expense as a % of Revenue</v>
      </c>
      <c r="Z26" s="392">
        <f ca="1">Z25/Z$5</f>
        <v>2.7728289932473425E-2</v>
      </c>
      <c r="AA26" s="392">
        <f t="shared" ref="AA26:AD26" ca="1" si="181">AA25/AA$5</f>
        <v>1.7050423648518082E-2</v>
      </c>
      <c r="AB26" s="392">
        <f t="shared" ca="1" si="181"/>
        <v>1.2207096007025679E-2</v>
      </c>
      <c r="AC26" s="392">
        <f t="shared" ca="1" si="181"/>
        <v>9.4433116909850932E-3</v>
      </c>
      <c r="AD26" s="393">
        <f t="shared" ca="1" si="181"/>
        <v>7.657115432733618E-3</v>
      </c>
    </row>
    <row r="27" spans="2:30" x14ac:dyDescent="0.35">
      <c r="B27" s="301" t="s">
        <v>242</v>
      </c>
      <c r="D27" s="167">
        <f ca="1">D23-D25</f>
        <v>376961.02247599978</v>
      </c>
      <c r="E27" s="167">
        <f t="shared" ref="E27:W27" ca="1" si="182">E23-E25</f>
        <v>516501.39857042255</v>
      </c>
      <c r="F27" s="167">
        <f t="shared" ca="1" si="182"/>
        <v>518137.83212553081</v>
      </c>
      <c r="G27" s="167">
        <f t="shared" ca="1" si="182"/>
        <v>533751.80386488093</v>
      </c>
      <c r="H27" s="167">
        <f t="shared" ca="1" si="182"/>
        <v>600578.61880988628</v>
      </c>
      <c r="I27" s="167">
        <f t="shared" ca="1" si="182"/>
        <v>756338.01357089635</v>
      </c>
      <c r="J27" s="167">
        <f t="shared" ca="1" si="182"/>
        <v>763552.66931868438</v>
      </c>
      <c r="K27" s="167">
        <f t="shared" ca="1" si="182"/>
        <v>794817.35963419359</v>
      </c>
      <c r="L27" s="167">
        <f t="shared" ca="1" si="182"/>
        <v>877030.20192800777</v>
      </c>
      <c r="M27" s="167">
        <f t="shared" ca="1" si="182"/>
        <v>932348.28288525902</v>
      </c>
      <c r="N27" s="167">
        <f t="shared" ca="1" si="182"/>
        <v>1059681.1889111893</v>
      </c>
      <c r="O27" s="167">
        <f t="shared" ca="1" si="182"/>
        <v>1105610.170800765</v>
      </c>
      <c r="P27" s="167">
        <f t="shared" ca="1" si="182"/>
        <v>1202269.4113482954</v>
      </c>
      <c r="Q27" s="167">
        <f t="shared" ca="1" si="182"/>
        <v>1301151.6663764305</v>
      </c>
      <c r="R27" s="167">
        <f t="shared" ca="1" si="182"/>
        <v>1442526.8101824704</v>
      </c>
      <c r="S27" s="167">
        <f t="shared" ca="1" si="182"/>
        <v>1502311.0146472752</v>
      </c>
      <c r="T27" s="167">
        <f t="shared" ca="1" si="182"/>
        <v>1552273.0307437617</v>
      </c>
      <c r="U27" s="167">
        <f t="shared" ca="1" si="182"/>
        <v>1750914.8429447333</v>
      </c>
      <c r="V27" s="167">
        <f t="shared" ca="1" si="182"/>
        <v>1905640.2275473268</v>
      </c>
      <c r="W27" s="167">
        <f t="shared" ca="1" si="182"/>
        <v>1935498.9441782841</v>
      </c>
      <c r="Y27" s="375" t="s">
        <v>242</v>
      </c>
      <c r="Z27" s="337">
        <f ca="1">SUMIFS($D27:$W27,$D$2:$W$2,Z$4)</f>
        <v>1945352.0570368341</v>
      </c>
      <c r="AA27" s="337">
        <f ca="1">SUMIFS($D27:$W27,$D$2:$W$2,AA$4)</f>
        <v>2915286.6613336606</v>
      </c>
      <c r="AB27" s="337">
        <f ca="1">SUMIFS($D27:$W27,$D$2:$W$2,AB$4)</f>
        <v>3974669.8445252213</v>
      </c>
      <c r="AC27" s="337">
        <f ca="1">SUMIFS($D27:$W27,$D$2:$W$2,AC$4)</f>
        <v>5448258.902554471</v>
      </c>
      <c r="AD27" s="379">
        <f ca="1">SUMIFS($D27:$W27,$D$2:$W$2,AD$4)</f>
        <v>7144327.045414106</v>
      </c>
    </row>
    <row r="28" spans="2:30" ht="15" thickBot="1" x14ac:dyDescent="0.4">
      <c r="B28" s="336" t="str">
        <f>B27&amp;" as a % of Revenue"</f>
        <v>Net Income as a % of Revenue</v>
      </c>
      <c r="D28" s="303">
        <f ca="1">D27/D$5</f>
        <v>0.11613590715481298</v>
      </c>
      <c r="E28" s="303">
        <f ca="1">E27/E$5</f>
        <v>0.12424960751889287</v>
      </c>
      <c r="F28" s="303">
        <f t="shared" ref="F28" ca="1" si="183">F27/F$5</f>
        <v>0.10209814158637762</v>
      </c>
      <c r="G28" s="303">
        <f t="shared" ref="G28" ca="1" si="184">G27/G$5</f>
        <v>9.6095338675988906E-2</v>
      </c>
      <c r="H28" s="303">
        <f t="shared" ref="H28" ca="1" si="185">H27/H$5</f>
        <v>9.9474899134112588E-2</v>
      </c>
      <c r="I28" s="303">
        <f t="shared" ref="I28" ca="1" si="186">I27/I$5</f>
        <v>0.10852091832928094</v>
      </c>
      <c r="J28" s="303">
        <f t="shared" ref="J28" ca="1" si="187">J27/J$5</f>
        <v>9.6548062364981438E-2</v>
      </c>
      <c r="K28" s="303">
        <f t="shared" ref="K28" ca="1" si="188">K27/K$5</f>
        <v>9.4516944531867986E-2</v>
      </c>
      <c r="L28" s="303">
        <f t="shared" ref="L28" ca="1" si="189">L27/L$5</f>
        <v>9.8390786691199827E-2</v>
      </c>
      <c r="M28" s="303">
        <f t="shared" ref="M28" ca="1" si="190">M27/M$5</f>
        <v>9.448847206261432E-2</v>
      </c>
      <c r="N28" s="303">
        <f t="shared" ref="N28" ca="1" si="191">N27/N$5</f>
        <v>9.7864444069528558E-2</v>
      </c>
      <c r="O28" s="303">
        <f t="shared" ref="O28" ca="1" si="192">O27/O$5</f>
        <v>9.740487663306735E-2</v>
      </c>
      <c r="P28" s="303">
        <f t="shared" ref="P28" ca="1" si="193">P27/P$5</f>
        <v>0.10122502200302509</v>
      </c>
      <c r="Q28" s="303">
        <f t="shared" ref="Q28" ca="1" si="194">Q27/Q$5</f>
        <v>0.10123341079275394</v>
      </c>
      <c r="R28" s="303">
        <f t="shared" ref="R28" ca="1" si="195">R27/R$5</f>
        <v>0.10425825449779035</v>
      </c>
      <c r="S28" s="303">
        <f t="shared" ref="S28" ca="1" si="196">S27/S$5</f>
        <v>0.10446315580505036</v>
      </c>
      <c r="T28" s="303">
        <f t="shared" ref="T28" ca="1" si="197">T27/T$5</f>
        <v>0.10396659372654224</v>
      </c>
      <c r="U28" s="303">
        <f t="shared" ref="U28" ca="1" si="198">U27/U$5</f>
        <v>0.10991874118250174</v>
      </c>
      <c r="V28" s="303">
        <f t="shared" ref="V28" ca="1" si="199">V27/V$5</f>
        <v>0.11252448493196492</v>
      </c>
      <c r="W28" s="303">
        <f t="shared" ref="W28" ca="1" si="200">W27/W$5</f>
        <v>0.11057637081076907</v>
      </c>
      <c r="Y28" s="400" t="str">
        <f>Y27&amp;" as a % of Revenue"</f>
        <v>Net Income as a % of Revenue</v>
      </c>
      <c r="Z28" s="394">
        <f t="shared" ref="Z28:AD28" ca="1" si="201">Z27/Z$5</f>
        <v>0.10788257171650183</v>
      </c>
      <c r="AA28" s="394">
        <f t="shared" ca="1" si="201"/>
        <v>9.9413745265225548E-2</v>
      </c>
      <c r="AB28" s="394">
        <f t="shared" ca="1" si="201"/>
        <v>9.7038352776698408E-2</v>
      </c>
      <c r="AC28" s="394">
        <f ca="1">AC27/AC$5</f>
        <v>0.1028992139800125</v>
      </c>
      <c r="AD28" s="395">
        <f t="shared" ca="1" si="201"/>
        <v>0.10940987375187304</v>
      </c>
    </row>
    <row r="31" spans="2:30" x14ac:dyDescent="0.35">
      <c r="AD31" s="174"/>
    </row>
    <row r="32" spans="2:30" x14ac:dyDescent="0.35">
      <c r="AD32" s="174"/>
    </row>
  </sheetData>
  <pageMargins left="0.7" right="0.7" top="0.75" bottom="0.75" header="0.3" footer="0.3"/>
  <pageSetup orientation="portrait" r:id="rId1"/>
  <ignoredErrors>
    <ignoredError sqref="D9:W9 D7 E7:W7 D11:W11 D13:W1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1:AF29"/>
  <sheetViews>
    <sheetView workbookViewId="0">
      <pane xSplit="4" topLeftCell="E1" activePane="topRight" state="frozen"/>
      <selection pane="topRight" activeCell="H28" sqref="H28"/>
    </sheetView>
  </sheetViews>
  <sheetFormatPr defaultRowHeight="14" x14ac:dyDescent="0.3"/>
  <cols>
    <col min="1" max="1" width="8.7265625" style="163"/>
    <col min="2" max="2" width="23.7265625" style="163" bestFit="1" customWidth="1"/>
    <col min="3" max="3" width="10.36328125" style="163" bestFit="1" customWidth="1"/>
    <col min="4" max="4" width="11.1796875" style="163" bestFit="1" customWidth="1"/>
    <col min="5" max="5" width="2.6328125" style="163" customWidth="1"/>
    <col min="6" max="6" width="13.08984375" style="163" bestFit="1" customWidth="1"/>
    <col min="7" max="7" width="13.08984375" style="163" customWidth="1"/>
    <col min="8" max="15" width="13.08984375" style="163" bestFit="1" customWidth="1"/>
    <col min="16" max="25" width="13.08984375" style="163" customWidth="1"/>
    <col min="26" max="26" width="8.7265625" style="163"/>
    <col min="27" max="27" width="31.08984375" style="163" bestFit="1" customWidth="1"/>
    <col min="28" max="32" width="13.08984375" style="163" bestFit="1" customWidth="1"/>
    <col min="33" max="16384" width="8.7265625" style="163"/>
  </cols>
  <sheetData>
    <row r="1" spans="2:32" ht="14.5" thickBot="1" x14ac:dyDescent="0.35">
      <c r="B1" s="163" t="s">
        <v>250</v>
      </c>
      <c r="F1" s="192">
        <f ca="1">'AllStores---&gt;'!D4</f>
        <v>3245861.0924999998</v>
      </c>
      <c r="G1" s="192">
        <f ca="1">'AllStores---&gt;'!E4</f>
        <v>4156966.0370306242</v>
      </c>
      <c r="H1" s="192">
        <f ca="1">'AllStores---&gt;'!F4</f>
        <v>5074899.7393568922</v>
      </c>
      <c r="I1" s="192">
        <f ca="1">'AllStores---&gt;'!G4</f>
        <v>5554398.4881989714</v>
      </c>
      <c r="J1" s="192">
        <f ca="1">'AllStores---&gt;'!H4</f>
        <v>6037489.0956178103</v>
      </c>
      <c r="K1" s="192">
        <f ca="1">'AllStores---&gt;'!I4</f>
        <v>6969513.5759537928</v>
      </c>
      <c r="L1" s="192">
        <f ca="1">'AllStores---&gt;'!J4</f>
        <v>7908524.0098575968</v>
      </c>
      <c r="M1" s="192">
        <f ca="1">'AllStores---&gt;'!K4</f>
        <v>8409257.869801404</v>
      </c>
      <c r="N1" s="192">
        <f ca="1">'AllStores---&gt;'!L4</f>
        <v>8913743.1605316177</v>
      </c>
      <c r="O1" s="192">
        <f ca="1">'AllStores---&gt;'!M4</f>
        <v>9867323.0980751105</v>
      </c>
      <c r="P1" s="192">
        <f ca="1">'AllStores---&gt;'!N4</f>
        <v>10828050.973838165</v>
      </c>
      <c r="Q1" s="192">
        <f ca="1">'AllStores---&gt;'!O4</f>
        <v>11350665.480186325</v>
      </c>
      <c r="R1" s="192">
        <f ca="1">'AllStores---&gt;'!P4</f>
        <v>11877195.850966234</v>
      </c>
      <c r="S1" s="192">
        <f ca="1">'AllStores---&gt;'!Q4</f>
        <v>12852986.540581562</v>
      </c>
      <c r="T1" s="192">
        <f ca="1">'AllStores---&gt;'!R4</f>
        <v>13836092.088162126</v>
      </c>
      <c r="U1" s="192">
        <f ca="1">'AllStores---&gt;'!S4</f>
        <v>14381252.443214478</v>
      </c>
      <c r="V1" s="192">
        <f ca="1">'AllStores---&gt;'!T4</f>
        <v>14930498.106214985</v>
      </c>
      <c r="W1" s="192">
        <f ca="1">'AllStores---&gt;'!U4</f>
        <v>15929174.80775759</v>
      </c>
      <c r="X1" s="192">
        <f ca="1">'AllStores---&gt;'!V4</f>
        <v>16935338.372795254</v>
      </c>
      <c r="Y1" s="192">
        <f ca="1">'AllStores---&gt;'!W4</f>
        <v>17503730.046363443</v>
      </c>
      <c r="AB1" s="163" t="s">
        <v>14</v>
      </c>
      <c r="AC1" s="163" t="s">
        <v>14</v>
      </c>
      <c r="AD1" s="163" t="s">
        <v>14</v>
      </c>
      <c r="AE1" s="163" t="s">
        <v>14</v>
      </c>
      <c r="AF1" s="163" t="s">
        <v>14</v>
      </c>
    </row>
    <row r="2" spans="2:32" x14ac:dyDescent="0.3">
      <c r="B2" s="163" t="s">
        <v>274</v>
      </c>
      <c r="F2" s="163">
        <v>1</v>
      </c>
      <c r="G2" s="163">
        <v>1</v>
      </c>
      <c r="H2" s="163">
        <v>1</v>
      </c>
      <c r="I2" s="163">
        <v>1</v>
      </c>
      <c r="J2" s="163">
        <v>2</v>
      </c>
      <c r="K2" s="163">
        <v>2</v>
      </c>
      <c r="L2" s="163">
        <v>2</v>
      </c>
      <c r="M2" s="163">
        <v>2</v>
      </c>
      <c r="N2" s="163">
        <v>3</v>
      </c>
      <c r="O2" s="163">
        <v>3</v>
      </c>
      <c r="P2" s="163">
        <v>3</v>
      </c>
      <c r="Q2" s="163">
        <v>3</v>
      </c>
      <c r="R2" s="163">
        <v>4</v>
      </c>
      <c r="S2" s="163">
        <v>4</v>
      </c>
      <c r="T2" s="163">
        <v>4</v>
      </c>
      <c r="U2" s="163">
        <v>4</v>
      </c>
      <c r="V2" s="163">
        <v>5</v>
      </c>
      <c r="W2" s="163">
        <v>5</v>
      </c>
      <c r="X2" s="163">
        <v>5</v>
      </c>
      <c r="Y2" s="163">
        <v>5</v>
      </c>
      <c r="AA2" s="369" t="s">
        <v>276</v>
      </c>
      <c r="AB2" s="370"/>
      <c r="AC2" s="370"/>
      <c r="AD2" s="370"/>
      <c r="AE2" s="370"/>
      <c r="AF2" s="371"/>
    </row>
    <row r="3" spans="2:32" x14ac:dyDescent="0.3">
      <c r="F3" s="306" t="s">
        <v>6</v>
      </c>
      <c r="G3" s="307"/>
      <c r="H3" s="307"/>
      <c r="I3" s="307"/>
      <c r="J3" s="306" t="s">
        <v>7</v>
      </c>
      <c r="K3" s="307"/>
      <c r="L3" s="307"/>
      <c r="M3" s="307"/>
      <c r="N3" s="306" t="s">
        <v>8</v>
      </c>
      <c r="O3" s="307"/>
      <c r="P3" s="307"/>
      <c r="Q3" s="307"/>
      <c r="R3" s="306" t="s">
        <v>9</v>
      </c>
      <c r="S3" s="307"/>
      <c r="T3" s="307"/>
      <c r="U3" s="307"/>
      <c r="V3" s="306" t="s">
        <v>10</v>
      </c>
      <c r="W3" s="307"/>
      <c r="X3" s="307"/>
      <c r="Y3" s="307"/>
      <c r="AA3" s="343"/>
      <c r="AB3" s="344" t="s">
        <v>274</v>
      </c>
      <c r="AC3" s="344"/>
      <c r="AD3" s="344"/>
      <c r="AE3" s="344"/>
      <c r="AF3" s="345"/>
    </row>
    <row r="4" spans="2:32" x14ac:dyDescent="0.3">
      <c r="B4" s="310" t="s">
        <v>172</v>
      </c>
      <c r="C4" s="311"/>
      <c r="D4" s="311"/>
      <c r="F4" s="308" t="s">
        <v>11</v>
      </c>
      <c r="G4" s="308" t="s">
        <v>12</v>
      </c>
      <c r="H4" s="308" t="s">
        <v>13</v>
      </c>
      <c r="I4" s="308" t="s">
        <v>14</v>
      </c>
      <c r="J4" s="308" t="s">
        <v>11</v>
      </c>
      <c r="K4" s="308" t="s">
        <v>12</v>
      </c>
      <c r="L4" s="308" t="s">
        <v>13</v>
      </c>
      <c r="M4" s="308" t="s">
        <v>14</v>
      </c>
      <c r="N4" s="308" t="s">
        <v>11</v>
      </c>
      <c r="O4" s="308" t="s">
        <v>12</v>
      </c>
      <c r="P4" s="308" t="s">
        <v>13</v>
      </c>
      <c r="Q4" s="308" t="s">
        <v>14</v>
      </c>
      <c r="R4" s="308" t="s">
        <v>11</v>
      </c>
      <c r="S4" s="308" t="s">
        <v>12</v>
      </c>
      <c r="T4" s="308" t="s">
        <v>13</v>
      </c>
      <c r="U4" s="308" t="s">
        <v>14</v>
      </c>
      <c r="V4" s="308" t="s">
        <v>11</v>
      </c>
      <c r="W4" s="308" t="s">
        <v>12</v>
      </c>
      <c r="X4" s="308" t="s">
        <v>13</v>
      </c>
      <c r="Y4" s="308" t="s">
        <v>14</v>
      </c>
      <c r="AA4" s="343"/>
      <c r="AB4" s="359">
        <v>1</v>
      </c>
      <c r="AC4" s="359">
        <v>2</v>
      </c>
      <c r="AD4" s="359">
        <v>3</v>
      </c>
      <c r="AE4" s="359">
        <v>4</v>
      </c>
      <c r="AF4" s="360">
        <v>5</v>
      </c>
    </row>
    <row r="5" spans="2:32" x14ac:dyDescent="0.3">
      <c r="B5" s="312"/>
      <c r="C5" s="313" t="s">
        <v>70</v>
      </c>
      <c r="D5" s="314" t="s">
        <v>167</v>
      </c>
      <c r="AA5" s="343"/>
      <c r="AB5" s="300"/>
      <c r="AC5" s="300"/>
      <c r="AD5" s="300"/>
      <c r="AE5" s="300"/>
      <c r="AF5" s="346"/>
    </row>
    <row r="6" spans="2:32" x14ac:dyDescent="0.3">
      <c r="B6" s="315" t="s">
        <v>148</v>
      </c>
      <c r="C6" s="316"/>
      <c r="D6" s="317">
        <f>Inputs!D80</f>
        <v>10000000</v>
      </c>
      <c r="F6" s="192">
        <f ca="1">CashFlowStatement!D31</f>
        <v>9070069.6485822499</v>
      </c>
      <c r="G6" s="192">
        <f ca="1">CashFlowStatement!E31</f>
        <v>6870101.5844752174</v>
      </c>
      <c r="H6" s="192">
        <f ca="1">CashFlowStatement!F31</f>
        <v>4755292.2098097429</v>
      </c>
      <c r="I6" s="192">
        <f ca="1">CashFlowStatement!G31</f>
        <v>4185627.8938802932</v>
      </c>
      <c r="J6" s="192">
        <f ca="1">CashFlowStatement!H31</f>
        <v>3714514.5522960303</v>
      </c>
      <c r="K6" s="192">
        <f ca="1">CashFlowStatement!I31</f>
        <v>1980344.2816013889</v>
      </c>
      <c r="L6" s="192">
        <f ca="1">CashFlowStatement!J31</f>
        <v>328015.97728225472</v>
      </c>
      <c r="M6" s="192">
        <f ca="1">CashFlowStatement!K31</f>
        <v>227918.89779319847</v>
      </c>
      <c r="N6" s="192">
        <f ca="1">CashFlowStatement!L31</f>
        <v>233512.2467009793</v>
      </c>
      <c r="O6" s="192">
        <f ca="1">CashFlowStatement!M31</f>
        <v>-1132333.1896797391</v>
      </c>
      <c r="P6" s="192">
        <f ca="1">CashFlowStatement!N31</f>
        <v>-2303864.4212422087</v>
      </c>
      <c r="Q6" s="192">
        <f ca="1">CashFlowStatement!O31</f>
        <v>-1915862.6869993228</v>
      </c>
      <c r="R6" s="192">
        <f ca="1">CashFlowStatement!P31</f>
        <v>-1414813.8698558495</v>
      </c>
      <c r="S6" s="192">
        <f ca="1">CashFlowStatement!Q31</f>
        <v>-2248466.8558650604</v>
      </c>
      <c r="T6" s="192">
        <f ca="1">CashFlowStatement!R31</f>
        <v>-2880337.9100533202</v>
      </c>
      <c r="U6" s="192">
        <f ca="1">CashFlowStatement!S31</f>
        <v>-1945152.1061768346</v>
      </c>
      <c r="V6" s="192">
        <f ca="1">CashFlowStatement!T31</f>
        <v>-949713.73831497924</v>
      </c>
      <c r="W6" s="192">
        <f ca="1">CashFlowStatement!U31</f>
        <v>-1195089.6769238971</v>
      </c>
      <c r="X6" s="192">
        <f ca="1">CashFlowStatement!V31</f>
        <v>-1230988.7414337602</v>
      </c>
      <c r="Y6" s="192">
        <f ca="1">CashFlowStatement!W31</f>
        <v>264796.87324628048</v>
      </c>
      <c r="AA6" s="347" t="s">
        <v>148</v>
      </c>
      <c r="AB6" s="230">
        <f t="shared" ref="AB6:AF10" ca="1" si="0">SUMIFS($F6:$Y6,$F$2:$Y$2,AB$4,$F$4:$Y$4,AB$1)</f>
        <v>4185627.8938802932</v>
      </c>
      <c r="AC6" s="230">
        <f t="shared" ca="1" si="0"/>
        <v>227918.89779319847</v>
      </c>
      <c r="AD6" s="230">
        <f t="shared" ca="1" si="0"/>
        <v>-1915862.6869993228</v>
      </c>
      <c r="AE6" s="230">
        <f t="shared" ca="1" si="0"/>
        <v>-1945152.1061768346</v>
      </c>
      <c r="AF6" s="361">
        <f t="shared" ca="1" si="0"/>
        <v>264796.87324628048</v>
      </c>
    </row>
    <row r="7" spans="2:32" x14ac:dyDescent="0.3">
      <c r="B7" s="315" t="s">
        <v>149</v>
      </c>
      <c r="C7" s="318">
        <f>Inputs!C81</f>
        <v>0.5</v>
      </c>
      <c r="D7" s="317">
        <f>Inputs!D81</f>
        <v>1391767</v>
      </c>
      <c r="F7" s="174">
        <f ca="1">$C7*F$1</f>
        <v>1622930.5462499999</v>
      </c>
      <c r="G7" s="174">
        <f t="shared" ref="G7:Y9" ca="1" si="1">$C7*G$1</f>
        <v>2078483.0185153121</v>
      </c>
      <c r="H7" s="174">
        <f t="shared" ca="1" si="1"/>
        <v>2537449.8696784461</v>
      </c>
      <c r="I7" s="174">
        <f t="shared" ca="1" si="1"/>
        <v>2777199.2440994857</v>
      </c>
      <c r="J7" s="174">
        <f t="shared" ca="1" si="1"/>
        <v>3018744.5478089051</v>
      </c>
      <c r="K7" s="174">
        <f t="shared" ca="1" si="1"/>
        <v>3484756.7879768964</v>
      </c>
      <c r="L7" s="174">
        <f t="shared" ca="1" si="1"/>
        <v>3954262.0049287984</v>
      </c>
      <c r="M7" s="174">
        <f t="shared" ca="1" si="1"/>
        <v>4204628.934900702</v>
      </c>
      <c r="N7" s="174">
        <f t="shared" ca="1" si="1"/>
        <v>4456871.5802658089</v>
      </c>
      <c r="O7" s="174">
        <f t="shared" ca="1" si="1"/>
        <v>4933661.5490375552</v>
      </c>
      <c r="P7" s="174">
        <f t="shared" ca="1" si="1"/>
        <v>5414025.4869190827</v>
      </c>
      <c r="Q7" s="174">
        <f t="shared" ca="1" si="1"/>
        <v>5675332.7400931623</v>
      </c>
      <c r="R7" s="174">
        <f t="shared" ca="1" si="1"/>
        <v>5938597.9254831169</v>
      </c>
      <c r="S7" s="174">
        <f t="shared" ca="1" si="1"/>
        <v>6426493.2702907808</v>
      </c>
      <c r="T7" s="174">
        <f t="shared" ca="1" si="1"/>
        <v>6918046.044081063</v>
      </c>
      <c r="U7" s="174">
        <f t="shared" ca="1" si="1"/>
        <v>7190626.221607239</v>
      </c>
      <c r="V7" s="174">
        <f t="shared" ca="1" si="1"/>
        <v>7465249.0531074926</v>
      </c>
      <c r="W7" s="174">
        <f t="shared" ca="1" si="1"/>
        <v>7964587.403878795</v>
      </c>
      <c r="X7" s="174">
        <f t="shared" ca="1" si="1"/>
        <v>8467669.186397627</v>
      </c>
      <c r="Y7" s="174">
        <f t="shared" ca="1" si="1"/>
        <v>8751865.0231817216</v>
      </c>
      <c r="AA7" s="350" t="s">
        <v>149</v>
      </c>
      <c r="AB7" s="384">
        <f t="shared" ca="1" si="0"/>
        <v>2777199.2440994857</v>
      </c>
      <c r="AC7" s="384">
        <f t="shared" ca="1" si="0"/>
        <v>4204628.934900702</v>
      </c>
      <c r="AD7" s="384">
        <f t="shared" ca="1" si="0"/>
        <v>5675332.7400931623</v>
      </c>
      <c r="AE7" s="384">
        <f t="shared" ca="1" si="0"/>
        <v>7190626.221607239</v>
      </c>
      <c r="AF7" s="385">
        <f t="shared" ca="1" si="0"/>
        <v>8751865.0231817216</v>
      </c>
    </row>
    <row r="8" spans="2:32" x14ac:dyDescent="0.3">
      <c r="B8" s="315" t="s">
        <v>150</v>
      </c>
      <c r="C8" s="318">
        <f>Inputs!C82</f>
        <v>0.05</v>
      </c>
      <c r="D8" s="317">
        <f>Inputs!D82</f>
        <v>139176.70000000001</v>
      </c>
      <c r="F8" s="174">
        <f ca="1">$C8*F$1</f>
        <v>162293.05462499999</v>
      </c>
      <c r="G8" s="174">
        <f t="shared" ca="1" si="1"/>
        <v>207848.30185153123</v>
      </c>
      <c r="H8" s="174">
        <f t="shared" ca="1" si="1"/>
        <v>253744.98696784463</v>
      </c>
      <c r="I8" s="174">
        <f t="shared" ca="1" si="1"/>
        <v>277719.92440994858</v>
      </c>
      <c r="J8" s="174">
        <f t="shared" ca="1" si="1"/>
        <v>301874.45478089055</v>
      </c>
      <c r="K8" s="174">
        <f t="shared" ca="1" si="1"/>
        <v>348475.67879768967</v>
      </c>
      <c r="L8" s="174">
        <f t="shared" ca="1" si="1"/>
        <v>395426.20049287984</v>
      </c>
      <c r="M8" s="174">
        <f t="shared" ca="1" si="1"/>
        <v>420462.89349007024</v>
      </c>
      <c r="N8" s="174">
        <f t="shared" ca="1" si="1"/>
        <v>445687.15802658093</v>
      </c>
      <c r="O8" s="174">
        <f t="shared" ca="1" si="1"/>
        <v>493366.15490375552</v>
      </c>
      <c r="P8" s="174">
        <f t="shared" ca="1" si="1"/>
        <v>541402.54869190825</v>
      </c>
      <c r="Q8" s="174">
        <f t="shared" ca="1" si="1"/>
        <v>567533.27400931623</v>
      </c>
      <c r="R8" s="174">
        <f t="shared" ca="1" si="1"/>
        <v>593859.79254831176</v>
      </c>
      <c r="S8" s="174">
        <f t="shared" ca="1" si="1"/>
        <v>642649.32702907815</v>
      </c>
      <c r="T8" s="174">
        <f t="shared" ca="1" si="1"/>
        <v>691804.6044081063</v>
      </c>
      <c r="U8" s="174">
        <f t="shared" ca="1" si="1"/>
        <v>719062.6221607239</v>
      </c>
      <c r="V8" s="174">
        <f t="shared" ca="1" si="1"/>
        <v>746524.90531074931</v>
      </c>
      <c r="W8" s="174">
        <f t="shared" ca="1" si="1"/>
        <v>796458.74038787954</v>
      </c>
      <c r="X8" s="174">
        <f t="shared" ca="1" si="1"/>
        <v>846766.91863976279</v>
      </c>
      <c r="Y8" s="174">
        <f t="shared" ca="1" si="1"/>
        <v>875186.50231817225</v>
      </c>
      <c r="AA8" s="350" t="s">
        <v>150</v>
      </c>
      <c r="AB8" s="384">
        <f t="shared" ca="1" si="0"/>
        <v>277719.92440994858</v>
      </c>
      <c r="AC8" s="384">
        <f t="shared" ca="1" si="0"/>
        <v>420462.89349007024</v>
      </c>
      <c r="AD8" s="384">
        <f t="shared" ca="1" si="0"/>
        <v>567533.27400931623</v>
      </c>
      <c r="AE8" s="384">
        <f t="shared" ca="1" si="0"/>
        <v>719062.6221607239</v>
      </c>
      <c r="AF8" s="385">
        <f t="shared" ca="1" si="0"/>
        <v>875186.50231817225</v>
      </c>
    </row>
    <row r="9" spans="2:32" x14ac:dyDescent="0.3">
      <c r="B9" s="315" t="s">
        <v>151</v>
      </c>
      <c r="C9" s="318">
        <f>Inputs!C83</f>
        <v>5.0000000000000001E-3</v>
      </c>
      <c r="D9" s="317">
        <f>Inputs!D83</f>
        <v>13917.67</v>
      </c>
      <c r="F9" s="174">
        <f t="shared" ref="F9" ca="1" si="2">$C9*F$1</f>
        <v>16229.305462499999</v>
      </c>
      <c r="G9" s="174">
        <f t="shared" ca="1" si="1"/>
        <v>20784.830185153121</v>
      </c>
      <c r="H9" s="174">
        <f t="shared" ca="1" si="1"/>
        <v>25374.49869678446</v>
      </c>
      <c r="I9" s="174">
        <f t="shared" ca="1" si="1"/>
        <v>27771.992440994858</v>
      </c>
      <c r="J9" s="174">
        <f t="shared" ca="1" si="1"/>
        <v>30187.445478089052</v>
      </c>
      <c r="K9" s="174">
        <f t="shared" ca="1" si="1"/>
        <v>34847.567879768962</v>
      </c>
      <c r="L9" s="174">
        <f t="shared" ca="1" si="1"/>
        <v>39542.620049287987</v>
      </c>
      <c r="M9" s="174">
        <f t="shared" ca="1" si="1"/>
        <v>42046.28934900702</v>
      </c>
      <c r="N9" s="174">
        <f t="shared" ca="1" si="1"/>
        <v>44568.715802658087</v>
      </c>
      <c r="O9" s="174">
        <f t="shared" ca="1" si="1"/>
        <v>49336.615490375552</v>
      </c>
      <c r="P9" s="174">
        <f t="shared" ca="1" si="1"/>
        <v>54140.254869190831</v>
      </c>
      <c r="Q9" s="174">
        <f t="shared" ca="1" si="1"/>
        <v>56753.327400931623</v>
      </c>
      <c r="R9" s="174">
        <f t="shared" ca="1" si="1"/>
        <v>59385.979254831167</v>
      </c>
      <c r="S9" s="174">
        <f t="shared" ca="1" si="1"/>
        <v>64264.932702907812</v>
      </c>
      <c r="T9" s="174">
        <f t="shared" ca="1" si="1"/>
        <v>69180.460440810624</v>
      </c>
      <c r="U9" s="174">
        <f t="shared" ca="1" si="1"/>
        <v>71906.262216072399</v>
      </c>
      <c r="V9" s="174">
        <f t="shared" ca="1" si="1"/>
        <v>74652.490531074931</v>
      </c>
      <c r="W9" s="174">
        <f t="shared" ca="1" si="1"/>
        <v>79645.874038787952</v>
      </c>
      <c r="X9" s="174">
        <f t="shared" ca="1" si="1"/>
        <v>84676.691863976273</v>
      </c>
      <c r="Y9" s="174">
        <f t="shared" ca="1" si="1"/>
        <v>87518.650231817213</v>
      </c>
      <c r="AA9" s="350" t="s">
        <v>151</v>
      </c>
      <c r="AB9" s="384">
        <f t="shared" ca="1" si="0"/>
        <v>27771.992440994858</v>
      </c>
      <c r="AC9" s="384">
        <f t="shared" ca="1" si="0"/>
        <v>42046.28934900702</v>
      </c>
      <c r="AD9" s="384">
        <f t="shared" ca="1" si="0"/>
        <v>56753.327400931623</v>
      </c>
      <c r="AE9" s="384">
        <f t="shared" ca="1" si="0"/>
        <v>71906.262216072399</v>
      </c>
      <c r="AF9" s="385">
        <f t="shared" ca="1" si="0"/>
        <v>87518.650231817213</v>
      </c>
    </row>
    <row r="10" spans="2:32" x14ac:dyDescent="0.3">
      <c r="B10" s="319" t="s">
        <v>152</v>
      </c>
      <c r="C10" s="320"/>
      <c r="D10" s="317">
        <f>Inputs!D84</f>
        <v>11544861.369999999</v>
      </c>
      <c r="F10" s="175">
        <f ca="1">SUM(F6:F9)</f>
        <v>10871522.554919751</v>
      </c>
      <c r="G10" s="175">
        <f t="shared" ref="G10:Y10" ca="1" si="3">SUM(G6:G9)</f>
        <v>9177217.7350272145</v>
      </c>
      <c r="H10" s="175">
        <f ca="1">SUM(H6:H9)</f>
        <v>7571861.5651528183</v>
      </c>
      <c r="I10" s="175">
        <f t="shared" ca="1" si="3"/>
        <v>7268319.0548307225</v>
      </c>
      <c r="J10" s="175">
        <f t="shared" ca="1" si="3"/>
        <v>7065321.0003639152</v>
      </c>
      <c r="K10" s="175">
        <f t="shared" ca="1" si="3"/>
        <v>5848424.3162557436</v>
      </c>
      <c r="L10" s="175">
        <f t="shared" ca="1" si="3"/>
        <v>4717246.8027532203</v>
      </c>
      <c r="M10" s="175">
        <f t="shared" ca="1" si="3"/>
        <v>4895057.0155329788</v>
      </c>
      <c r="N10" s="175">
        <f t="shared" ca="1" si="3"/>
        <v>5180639.7007960277</v>
      </c>
      <c r="O10" s="175">
        <f t="shared" ca="1" si="3"/>
        <v>4344031.1297519468</v>
      </c>
      <c r="P10" s="175">
        <f t="shared" ca="1" si="3"/>
        <v>3705703.8692379734</v>
      </c>
      <c r="Q10" s="175">
        <f t="shared" ca="1" si="3"/>
        <v>4383756.6545040868</v>
      </c>
      <c r="R10" s="175">
        <f t="shared" ca="1" si="3"/>
        <v>5177029.8274304112</v>
      </c>
      <c r="S10" s="175">
        <f t="shared" ca="1" si="3"/>
        <v>4884940.6741577061</v>
      </c>
      <c r="T10" s="175">
        <f t="shared" ca="1" si="3"/>
        <v>4798693.1988766603</v>
      </c>
      <c r="U10" s="175">
        <f t="shared" ca="1" si="3"/>
        <v>6036442.9998072013</v>
      </c>
      <c r="V10" s="175">
        <f t="shared" ca="1" si="3"/>
        <v>7336712.7106343377</v>
      </c>
      <c r="W10" s="175">
        <f t="shared" ca="1" si="3"/>
        <v>7645602.3413815647</v>
      </c>
      <c r="X10" s="175">
        <f t="shared" ca="1" si="3"/>
        <v>8168124.0554676056</v>
      </c>
      <c r="Y10" s="175">
        <f t="shared" ca="1" si="3"/>
        <v>9979367.0489779916</v>
      </c>
      <c r="AA10" s="351" t="s">
        <v>152</v>
      </c>
      <c r="AB10" s="175">
        <f t="shared" ca="1" si="0"/>
        <v>7268319.0548307225</v>
      </c>
      <c r="AC10" s="175">
        <f t="shared" ca="1" si="0"/>
        <v>4895057.0155329788</v>
      </c>
      <c r="AD10" s="175">
        <f t="shared" ca="1" si="0"/>
        <v>4383756.6545040868</v>
      </c>
      <c r="AE10" s="175">
        <f t="shared" ca="1" si="0"/>
        <v>6036442.9998072013</v>
      </c>
      <c r="AF10" s="386">
        <f t="shared" ca="1" si="0"/>
        <v>9979367.0489779916</v>
      </c>
    </row>
    <row r="11" spans="2:32" x14ac:dyDescent="0.3">
      <c r="B11" s="321"/>
      <c r="C11" s="322"/>
      <c r="D11" s="271"/>
      <c r="AA11" s="352"/>
      <c r="AB11" s="300"/>
      <c r="AC11" s="300"/>
      <c r="AD11" s="300"/>
      <c r="AE11" s="300"/>
      <c r="AF11" s="346"/>
    </row>
    <row r="12" spans="2:32" x14ac:dyDescent="0.3">
      <c r="B12" s="315" t="s">
        <v>153</v>
      </c>
      <c r="C12" s="316"/>
      <c r="D12" s="317">
        <f>Inputs!D86</f>
        <v>4000000</v>
      </c>
      <c r="F12" s="192">
        <f>CapEx!E15</f>
        <v>5100000</v>
      </c>
      <c r="G12" s="192">
        <f>CapEx!F15</f>
        <v>7408750</v>
      </c>
      <c r="H12" s="192">
        <f>CapEx!G15</f>
        <v>9630921.875</v>
      </c>
      <c r="I12" s="192">
        <f>CapEx!H15</f>
        <v>10519762.3046875</v>
      </c>
      <c r="J12" s="192">
        <f>CapEx!I15</f>
        <v>11375271.218261719</v>
      </c>
      <c r="K12" s="192">
        <f>CapEx!J15</f>
        <v>13448698.547576904</v>
      </c>
      <c r="L12" s="192">
        <f>CapEx!K15</f>
        <v>15444372.35204277</v>
      </c>
      <c r="M12" s="192">
        <f>CapEx!L15</f>
        <v>16115208.388841167</v>
      </c>
      <c r="N12" s="192">
        <f>CapEx!M15</f>
        <v>16760888.074259624</v>
      </c>
      <c r="O12" s="192">
        <f>CapEx!N15</f>
        <v>18632354.77147489</v>
      </c>
      <c r="P12" s="192">
        <f>CapEx!O15</f>
        <v>20433641.467544582</v>
      </c>
      <c r="Q12" s="192">
        <f>CapEx!P15</f>
        <v>20917379.912511662</v>
      </c>
      <c r="R12" s="192">
        <f>CapEx!Q15</f>
        <v>21382978.165792473</v>
      </c>
      <c r="S12" s="192">
        <f>CapEx!R15</f>
        <v>23081116.484575257</v>
      </c>
      <c r="T12" s="192">
        <f>CapEx!S15</f>
        <v>24715574.616403684</v>
      </c>
      <c r="U12" s="192">
        <f>CapEx!T15</f>
        <v>25038740.568288546</v>
      </c>
      <c r="V12" s="192">
        <f>CapEx!U15</f>
        <v>25349787.796977725</v>
      </c>
      <c r="W12" s="192">
        <f>CapEx!V15</f>
        <v>26899170.754591059</v>
      </c>
      <c r="X12" s="192">
        <f>CapEx!W15</f>
        <v>28390451.851293895</v>
      </c>
      <c r="Y12" s="192">
        <f>CapEx!X15</f>
        <v>28575809.906870373</v>
      </c>
      <c r="AA12" s="350" t="s">
        <v>153</v>
      </c>
      <c r="AB12" s="230">
        <f t="shared" ref="AB12:AF13" si="4">SUMIFS($F12:$Y12,$F$2:$Y$2,AB$4,$F$4:$Y$4,AB$1)</f>
        <v>10519762.3046875</v>
      </c>
      <c r="AC12" s="230">
        <f t="shared" si="4"/>
        <v>16115208.388841167</v>
      </c>
      <c r="AD12" s="230">
        <f t="shared" si="4"/>
        <v>20917379.912511662</v>
      </c>
      <c r="AE12" s="230">
        <f t="shared" si="4"/>
        <v>25038740.568288546</v>
      </c>
      <c r="AF12" s="361">
        <f t="shared" si="4"/>
        <v>28575809.906870373</v>
      </c>
    </row>
    <row r="13" spans="2:32" x14ac:dyDescent="0.3">
      <c r="B13" s="323" t="s">
        <v>154</v>
      </c>
      <c r="C13" s="324"/>
      <c r="D13" s="317">
        <f>Inputs!D87</f>
        <v>15544861.369999999</v>
      </c>
      <c r="F13" s="332">
        <f ca="1">F10+F12</f>
        <v>15971522.554919751</v>
      </c>
      <c r="G13" s="332">
        <f t="shared" ref="G13:Y13" ca="1" si="5">G10+G12</f>
        <v>16585967.735027215</v>
      </c>
      <c r="H13" s="332">
        <f t="shared" ca="1" si="5"/>
        <v>17202783.440152816</v>
      </c>
      <c r="I13" s="332">
        <f t="shared" ca="1" si="5"/>
        <v>17788081.359518223</v>
      </c>
      <c r="J13" s="332">
        <f t="shared" ca="1" si="5"/>
        <v>18440592.218625635</v>
      </c>
      <c r="K13" s="332">
        <f t="shared" ca="1" si="5"/>
        <v>19297122.863832649</v>
      </c>
      <c r="L13" s="332">
        <f t="shared" ca="1" si="5"/>
        <v>20161619.154795989</v>
      </c>
      <c r="M13" s="332">
        <f t="shared" ca="1" si="5"/>
        <v>21010265.404374145</v>
      </c>
      <c r="N13" s="332">
        <f t="shared" ca="1" si="5"/>
        <v>21941527.775055651</v>
      </c>
      <c r="O13" s="332">
        <f t="shared" ca="1" si="5"/>
        <v>22976385.901226837</v>
      </c>
      <c r="P13" s="332">
        <f t="shared" ca="1" si="5"/>
        <v>24139345.336782556</v>
      </c>
      <c r="Q13" s="332">
        <f t="shared" ca="1" si="5"/>
        <v>25301136.567015748</v>
      </c>
      <c r="R13" s="332">
        <f t="shared" ca="1" si="5"/>
        <v>26560007.993222885</v>
      </c>
      <c r="S13" s="332">
        <f t="shared" ca="1" si="5"/>
        <v>27966057.158732962</v>
      </c>
      <c r="T13" s="332">
        <f t="shared" ca="1" si="5"/>
        <v>29514267.815280344</v>
      </c>
      <c r="U13" s="332">
        <f t="shared" ca="1" si="5"/>
        <v>31075183.568095747</v>
      </c>
      <c r="V13" s="332">
        <f t="shared" ca="1" si="5"/>
        <v>32686500.507612064</v>
      </c>
      <c r="W13" s="332">
        <f t="shared" ca="1" si="5"/>
        <v>34544773.095972627</v>
      </c>
      <c r="X13" s="332">
        <f t="shared" ca="1" si="5"/>
        <v>36558575.906761497</v>
      </c>
      <c r="Y13" s="332">
        <f t="shared" ca="1" si="5"/>
        <v>38555176.955848366</v>
      </c>
      <c r="AA13" s="353" t="s">
        <v>154</v>
      </c>
      <c r="AB13" s="332">
        <f t="shared" ca="1" si="4"/>
        <v>17788081.359518223</v>
      </c>
      <c r="AC13" s="332">
        <f t="shared" ca="1" si="4"/>
        <v>21010265.404374145</v>
      </c>
      <c r="AD13" s="332">
        <f t="shared" ca="1" si="4"/>
        <v>25301136.567015748</v>
      </c>
      <c r="AE13" s="332">
        <f t="shared" ca="1" si="4"/>
        <v>31075183.568095747</v>
      </c>
      <c r="AF13" s="387">
        <f t="shared" ca="1" si="4"/>
        <v>38555176.955848366</v>
      </c>
    </row>
    <row r="14" spans="2:32" x14ac:dyDescent="0.3">
      <c r="B14" s="321"/>
      <c r="C14" s="322"/>
      <c r="D14" s="271"/>
      <c r="AA14" s="352"/>
      <c r="AB14" s="300"/>
      <c r="AC14" s="300"/>
      <c r="AD14" s="300"/>
      <c r="AE14" s="300"/>
      <c r="AF14" s="346"/>
    </row>
    <row r="15" spans="2:32" x14ac:dyDescent="0.3">
      <c r="B15" s="315" t="s">
        <v>155</v>
      </c>
      <c r="C15" s="325">
        <f>Inputs!C89</f>
        <v>0.1</v>
      </c>
      <c r="D15" s="317">
        <f>Inputs!D89</f>
        <v>278353.40000000002</v>
      </c>
      <c r="F15" s="174">
        <f ca="1">$C15*F$1</f>
        <v>324586.10924999998</v>
      </c>
      <c r="G15" s="174">
        <f t="shared" ref="G15:Y17" ca="1" si="6">$C15*G$1</f>
        <v>415696.60370306246</v>
      </c>
      <c r="H15" s="174">
        <f t="shared" ca="1" si="6"/>
        <v>507489.97393568925</v>
      </c>
      <c r="I15" s="174">
        <f t="shared" ca="1" si="6"/>
        <v>555439.84881989716</v>
      </c>
      <c r="J15" s="174">
        <f t="shared" ca="1" si="6"/>
        <v>603748.9095617811</v>
      </c>
      <c r="K15" s="174">
        <f t="shared" ca="1" si="6"/>
        <v>696951.35759537935</v>
      </c>
      <c r="L15" s="174">
        <f t="shared" ca="1" si="6"/>
        <v>790852.40098575968</v>
      </c>
      <c r="M15" s="174">
        <f t="shared" ca="1" si="6"/>
        <v>840925.78698014049</v>
      </c>
      <c r="N15" s="174">
        <f t="shared" ca="1" si="6"/>
        <v>891374.31605316186</v>
      </c>
      <c r="O15" s="174">
        <f t="shared" ca="1" si="6"/>
        <v>986732.30980751105</v>
      </c>
      <c r="P15" s="174">
        <f t="shared" ca="1" si="6"/>
        <v>1082805.0973838165</v>
      </c>
      <c r="Q15" s="174">
        <f t="shared" ca="1" si="6"/>
        <v>1135066.5480186325</v>
      </c>
      <c r="R15" s="174">
        <f t="shared" ca="1" si="6"/>
        <v>1187719.5850966235</v>
      </c>
      <c r="S15" s="174">
        <f t="shared" ca="1" si="6"/>
        <v>1285298.6540581563</v>
      </c>
      <c r="T15" s="174">
        <f t="shared" ca="1" si="6"/>
        <v>1383609.2088162126</v>
      </c>
      <c r="U15" s="174">
        <f t="shared" ca="1" si="6"/>
        <v>1438125.2443214478</v>
      </c>
      <c r="V15" s="174">
        <f t="shared" ca="1" si="6"/>
        <v>1493049.8106214986</v>
      </c>
      <c r="W15" s="174">
        <f t="shared" ca="1" si="6"/>
        <v>1592917.4807757591</v>
      </c>
      <c r="X15" s="174">
        <f t="shared" ca="1" si="6"/>
        <v>1693533.8372795256</v>
      </c>
      <c r="Y15" s="174">
        <f t="shared" ca="1" si="6"/>
        <v>1750373.0046363445</v>
      </c>
      <c r="AA15" s="350" t="s">
        <v>155</v>
      </c>
      <c r="AB15" s="384">
        <f t="shared" ref="AB15:AF18" ca="1" si="7">SUMIFS($F15:$Y15,$F$2:$Y$2,AB$4,$F$4:$Y$4,AB$1)</f>
        <v>555439.84881989716</v>
      </c>
      <c r="AC15" s="384">
        <f t="shared" ca="1" si="7"/>
        <v>840925.78698014049</v>
      </c>
      <c r="AD15" s="384">
        <f t="shared" ca="1" si="7"/>
        <v>1135066.5480186325</v>
      </c>
      <c r="AE15" s="384">
        <f t="shared" ca="1" si="7"/>
        <v>1438125.2443214478</v>
      </c>
      <c r="AF15" s="385">
        <f t="shared" ca="1" si="7"/>
        <v>1750373.0046363445</v>
      </c>
    </row>
    <row r="16" spans="2:32" x14ac:dyDescent="0.3">
      <c r="B16" s="315" t="s">
        <v>156</v>
      </c>
      <c r="C16" s="325">
        <f>Inputs!C90</f>
        <v>5.0000000000000001E-3</v>
      </c>
      <c r="D16" s="317">
        <f>Inputs!D90</f>
        <v>13917.67</v>
      </c>
      <c r="F16" s="174">
        <f t="shared" ref="F16:F17" ca="1" si="8">$C16*F$1</f>
        <v>16229.305462499999</v>
      </c>
      <c r="G16" s="174">
        <f t="shared" ca="1" si="6"/>
        <v>20784.830185153121</v>
      </c>
      <c r="H16" s="174">
        <f t="shared" ca="1" si="6"/>
        <v>25374.49869678446</v>
      </c>
      <c r="I16" s="174">
        <f t="shared" ca="1" si="6"/>
        <v>27771.992440994858</v>
      </c>
      <c r="J16" s="174">
        <f t="shared" ca="1" si="6"/>
        <v>30187.445478089052</v>
      </c>
      <c r="K16" s="174">
        <f t="shared" ca="1" si="6"/>
        <v>34847.567879768962</v>
      </c>
      <c r="L16" s="174">
        <f t="shared" ca="1" si="6"/>
        <v>39542.620049287987</v>
      </c>
      <c r="M16" s="174">
        <f t="shared" ca="1" si="6"/>
        <v>42046.28934900702</v>
      </c>
      <c r="N16" s="174">
        <f t="shared" ca="1" si="6"/>
        <v>44568.715802658087</v>
      </c>
      <c r="O16" s="174">
        <f t="shared" ca="1" si="6"/>
        <v>49336.615490375552</v>
      </c>
      <c r="P16" s="174">
        <f ca="1">$C16*P$1</f>
        <v>54140.254869190831</v>
      </c>
      <c r="Q16" s="174">
        <f t="shared" ca="1" si="6"/>
        <v>56753.327400931623</v>
      </c>
      <c r="R16" s="174">
        <f t="shared" ca="1" si="6"/>
        <v>59385.979254831167</v>
      </c>
      <c r="S16" s="174">
        <f t="shared" ca="1" si="6"/>
        <v>64264.932702907812</v>
      </c>
      <c r="T16" s="174">
        <f t="shared" ca="1" si="6"/>
        <v>69180.460440810624</v>
      </c>
      <c r="U16" s="174">
        <f t="shared" ca="1" si="6"/>
        <v>71906.262216072399</v>
      </c>
      <c r="V16" s="174">
        <f t="shared" ca="1" si="6"/>
        <v>74652.490531074931</v>
      </c>
      <c r="W16" s="174">
        <f t="shared" ca="1" si="6"/>
        <v>79645.874038787952</v>
      </c>
      <c r="X16" s="174">
        <f t="shared" ca="1" si="6"/>
        <v>84676.691863976273</v>
      </c>
      <c r="Y16" s="174">
        <f t="shared" ca="1" si="6"/>
        <v>87518.650231817213</v>
      </c>
      <c r="AA16" s="350" t="s">
        <v>156</v>
      </c>
      <c r="AB16" s="384">
        <f t="shared" ca="1" si="7"/>
        <v>27771.992440994858</v>
      </c>
      <c r="AC16" s="384">
        <f t="shared" ca="1" si="7"/>
        <v>42046.28934900702</v>
      </c>
      <c r="AD16" s="384">
        <f t="shared" ca="1" si="7"/>
        <v>56753.327400931623</v>
      </c>
      <c r="AE16" s="384">
        <f t="shared" ca="1" si="7"/>
        <v>71906.262216072399</v>
      </c>
      <c r="AF16" s="385">
        <f t="shared" ca="1" si="7"/>
        <v>87518.650231817213</v>
      </c>
    </row>
    <row r="17" spans="2:32" x14ac:dyDescent="0.3">
      <c r="B17" s="315" t="s">
        <v>157</v>
      </c>
      <c r="C17" s="325">
        <f>Inputs!C91</f>
        <v>2.5000000000000001E-3</v>
      </c>
      <c r="D17" s="317">
        <f>Inputs!D91</f>
        <v>6958.835</v>
      </c>
      <c r="F17" s="174">
        <f t="shared" ca="1" si="8"/>
        <v>8114.6527312499993</v>
      </c>
      <c r="G17" s="174">
        <f t="shared" ca="1" si="6"/>
        <v>10392.415092576561</v>
      </c>
      <c r="H17" s="174">
        <f t="shared" ca="1" si="6"/>
        <v>12687.24934839223</v>
      </c>
      <c r="I17" s="174">
        <f t="shared" ca="1" si="6"/>
        <v>13885.996220497429</v>
      </c>
      <c r="J17" s="174">
        <f t="shared" ca="1" si="6"/>
        <v>15093.722739044526</v>
      </c>
      <c r="K17" s="174">
        <f t="shared" ca="1" si="6"/>
        <v>17423.783939884481</v>
      </c>
      <c r="L17" s="174">
        <f t="shared" ca="1" si="6"/>
        <v>19771.310024643994</v>
      </c>
      <c r="M17" s="174">
        <f t="shared" ca="1" si="6"/>
        <v>21023.14467450351</v>
      </c>
      <c r="N17" s="174">
        <f t="shared" ca="1" si="6"/>
        <v>22284.357901329044</v>
      </c>
      <c r="O17" s="174">
        <f t="shared" ca="1" si="6"/>
        <v>24668.307745187776</v>
      </c>
      <c r="P17" s="174">
        <f ca="1">$C17*P$1</f>
        <v>27070.127434595415</v>
      </c>
      <c r="Q17" s="174">
        <f t="shared" ca="1" si="6"/>
        <v>28376.663700465811</v>
      </c>
      <c r="R17" s="174">
        <f t="shared" ca="1" si="6"/>
        <v>29692.989627415584</v>
      </c>
      <c r="S17" s="174">
        <f t="shared" ca="1" si="6"/>
        <v>32132.466351453906</v>
      </c>
      <c r="T17" s="174">
        <f t="shared" ca="1" si="6"/>
        <v>34590.230220405312</v>
      </c>
      <c r="U17" s="174">
        <f t="shared" ca="1" si="6"/>
        <v>35953.131108036199</v>
      </c>
      <c r="V17" s="174">
        <f t="shared" ca="1" si="6"/>
        <v>37326.245265537465</v>
      </c>
      <c r="W17" s="174">
        <f t="shared" ca="1" si="6"/>
        <v>39822.937019393976</v>
      </c>
      <c r="X17" s="174">
        <f t="shared" ca="1" si="6"/>
        <v>42338.345931988137</v>
      </c>
      <c r="Y17" s="174">
        <f t="shared" ca="1" si="6"/>
        <v>43759.325115908607</v>
      </c>
      <c r="AA17" s="350" t="s">
        <v>157</v>
      </c>
      <c r="AB17" s="384">
        <f t="shared" ca="1" si="7"/>
        <v>13885.996220497429</v>
      </c>
      <c r="AC17" s="384">
        <f t="shared" ca="1" si="7"/>
        <v>21023.14467450351</v>
      </c>
      <c r="AD17" s="384">
        <f t="shared" ca="1" si="7"/>
        <v>28376.663700465811</v>
      </c>
      <c r="AE17" s="384">
        <f t="shared" ca="1" si="7"/>
        <v>35953.131108036199</v>
      </c>
      <c r="AF17" s="385">
        <f t="shared" ca="1" si="7"/>
        <v>43759.325115908607</v>
      </c>
    </row>
    <row r="18" spans="2:32" x14ac:dyDescent="0.3">
      <c r="B18" s="319" t="s">
        <v>158</v>
      </c>
      <c r="C18" s="320"/>
      <c r="D18" s="317">
        <f>Inputs!D92</f>
        <v>299229.90500000003</v>
      </c>
      <c r="F18" s="175">
        <f ca="1">SUM(F15:F17)</f>
        <v>348930.06744374998</v>
      </c>
      <c r="G18" s="175">
        <f t="shared" ref="G18:Y18" ca="1" si="9">SUM(G15:G17)</f>
        <v>446873.84898079216</v>
      </c>
      <c r="H18" s="175">
        <f t="shared" ca="1" si="9"/>
        <v>545551.72198086593</v>
      </c>
      <c r="I18" s="175">
        <f t="shared" ca="1" si="9"/>
        <v>597097.8374813894</v>
      </c>
      <c r="J18" s="175">
        <f t="shared" ca="1" si="9"/>
        <v>649030.07777891471</v>
      </c>
      <c r="K18" s="175">
        <f t="shared" ca="1" si="9"/>
        <v>749222.70941503276</v>
      </c>
      <c r="L18" s="175">
        <f t="shared" ca="1" si="9"/>
        <v>850166.33105969173</v>
      </c>
      <c r="M18" s="175">
        <f t="shared" ca="1" si="9"/>
        <v>903995.22100365104</v>
      </c>
      <c r="N18" s="175">
        <f t="shared" ca="1" si="9"/>
        <v>958227.38975714904</v>
      </c>
      <c r="O18" s="175">
        <f t="shared" ca="1" si="9"/>
        <v>1060737.2330430744</v>
      </c>
      <c r="P18" s="175">
        <f t="shared" ca="1" si="9"/>
        <v>1164015.4796876027</v>
      </c>
      <c r="Q18" s="175">
        <f t="shared" ca="1" si="9"/>
        <v>1220196.5391200299</v>
      </c>
      <c r="R18" s="175">
        <f t="shared" ca="1" si="9"/>
        <v>1276798.5539788702</v>
      </c>
      <c r="S18" s="175">
        <f t="shared" ca="1" si="9"/>
        <v>1381696.053112518</v>
      </c>
      <c r="T18" s="175">
        <f t="shared" ca="1" si="9"/>
        <v>1487379.8994774285</v>
      </c>
      <c r="U18" s="175">
        <f t="shared" ca="1" si="9"/>
        <v>1545984.6376455564</v>
      </c>
      <c r="V18" s="175">
        <f t="shared" ca="1" si="9"/>
        <v>1605028.5464181108</v>
      </c>
      <c r="W18" s="175">
        <f t="shared" ca="1" si="9"/>
        <v>1712386.2918339411</v>
      </c>
      <c r="X18" s="175">
        <f t="shared" ca="1" si="9"/>
        <v>1820548.87507549</v>
      </c>
      <c r="Y18" s="175">
        <f t="shared" ca="1" si="9"/>
        <v>1881650.9799840704</v>
      </c>
      <c r="AA18" s="351" t="s">
        <v>158</v>
      </c>
      <c r="AB18" s="175">
        <f t="shared" ca="1" si="7"/>
        <v>597097.8374813894</v>
      </c>
      <c r="AC18" s="175">
        <f t="shared" ca="1" si="7"/>
        <v>903995.22100365104</v>
      </c>
      <c r="AD18" s="175">
        <f t="shared" ca="1" si="7"/>
        <v>1220196.5391200299</v>
      </c>
      <c r="AE18" s="175">
        <f t="shared" ca="1" si="7"/>
        <v>1545984.6376455564</v>
      </c>
      <c r="AF18" s="386">
        <f t="shared" ca="1" si="7"/>
        <v>1881650.9799840704</v>
      </c>
    </row>
    <row r="19" spans="2:32" x14ac:dyDescent="0.3">
      <c r="B19" s="321"/>
      <c r="C19" s="322"/>
      <c r="D19" s="271"/>
      <c r="AA19" s="352"/>
      <c r="AB19" s="300"/>
      <c r="AC19" s="300"/>
      <c r="AD19" s="300"/>
      <c r="AE19" s="300"/>
      <c r="AF19" s="346"/>
    </row>
    <row r="20" spans="2:32" x14ac:dyDescent="0.3">
      <c r="B20" s="315" t="s">
        <v>159</v>
      </c>
      <c r="C20" s="326">
        <f>Inputs!C94</f>
        <v>10000000</v>
      </c>
      <c r="D20" s="317">
        <f>Inputs!D94</f>
        <v>10000000</v>
      </c>
      <c r="F20" s="174">
        <f>'Interest Expense'!E6</f>
        <v>10000000</v>
      </c>
      <c r="G20" s="174">
        <f>'Interest Expense'!F6</f>
        <v>10000000</v>
      </c>
      <c r="H20" s="174">
        <f>'Interest Expense'!G6</f>
        <v>10000000</v>
      </c>
      <c r="I20" s="174">
        <f>'Interest Expense'!H6</f>
        <v>10000000</v>
      </c>
      <c r="J20" s="174">
        <f>'Interest Expense'!I6</f>
        <v>10000000</v>
      </c>
      <c r="K20" s="174">
        <f>'Interest Expense'!J6</f>
        <v>10000000</v>
      </c>
      <c r="L20" s="174">
        <f>'Interest Expense'!K6</f>
        <v>10000000</v>
      </c>
      <c r="M20" s="174">
        <f>'Interest Expense'!L6</f>
        <v>10000000</v>
      </c>
      <c r="N20" s="174">
        <f>'Interest Expense'!M6</f>
        <v>10000000</v>
      </c>
      <c r="O20" s="174">
        <f>'Interest Expense'!N6</f>
        <v>10000000</v>
      </c>
      <c r="P20" s="174">
        <f>'Interest Expense'!O6</f>
        <v>10000000</v>
      </c>
      <c r="Q20" s="174">
        <f>'Interest Expense'!P6</f>
        <v>10000000</v>
      </c>
      <c r="R20" s="174">
        <f>'Interest Expense'!Q6</f>
        <v>10000000</v>
      </c>
      <c r="S20" s="174">
        <f>'Interest Expense'!R6</f>
        <v>10000000</v>
      </c>
      <c r="T20" s="174">
        <f>'Interest Expense'!S6</f>
        <v>10000000</v>
      </c>
      <c r="U20" s="174">
        <f>'Interest Expense'!T6</f>
        <v>10000000</v>
      </c>
      <c r="V20" s="174">
        <f>'Interest Expense'!U6</f>
        <v>10000000</v>
      </c>
      <c r="W20" s="174">
        <f>'Interest Expense'!V6</f>
        <v>10000000</v>
      </c>
      <c r="X20" s="174">
        <f>'Interest Expense'!W6</f>
        <v>10000000</v>
      </c>
      <c r="Y20" s="174">
        <f>'Interest Expense'!X6</f>
        <v>10000000</v>
      </c>
      <c r="AA20" s="350" t="s">
        <v>159</v>
      </c>
      <c r="AB20" s="384">
        <f t="shared" ref="AB20:AF21" si="10">SUMIFS($F20:$Y20,$F$2:$Y$2,AB$4,$F$4:$Y$4,AB$1)</f>
        <v>10000000</v>
      </c>
      <c r="AC20" s="384">
        <f t="shared" si="10"/>
        <v>10000000</v>
      </c>
      <c r="AD20" s="384">
        <f t="shared" si="10"/>
        <v>10000000</v>
      </c>
      <c r="AE20" s="384">
        <f t="shared" si="10"/>
        <v>10000000</v>
      </c>
      <c r="AF20" s="385">
        <f t="shared" si="10"/>
        <v>10000000</v>
      </c>
    </row>
    <row r="21" spans="2:32" x14ac:dyDescent="0.3">
      <c r="B21" s="319" t="s">
        <v>160</v>
      </c>
      <c r="C21" s="320"/>
      <c r="D21" s="317">
        <f>Inputs!D95</f>
        <v>10299229.904999999</v>
      </c>
      <c r="F21" s="334">
        <f ca="1">F20+F18</f>
        <v>10348930.067443751</v>
      </c>
      <c r="G21" s="334">
        <f t="shared" ref="G21:Y21" ca="1" si="11">G20+G18</f>
        <v>10446873.848980792</v>
      </c>
      <c r="H21" s="334">
        <f t="shared" ca="1" si="11"/>
        <v>10545551.721980866</v>
      </c>
      <c r="I21" s="334">
        <f t="shared" ca="1" si="11"/>
        <v>10597097.837481389</v>
      </c>
      <c r="J21" s="334">
        <f t="shared" ca="1" si="11"/>
        <v>10649030.077778915</v>
      </c>
      <c r="K21" s="334">
        <f t="shared" ca="1" si="11"/>
        <v>10749222.709415033</v>
      </c>
      <c r="L21" s="334">
        <f t="shared" ca="1" si="11"/>
        <v>10850166.331059692</v>
      </c>
      <c r="M21" s="334">
        <f t="shared" ca="1" si="11"/>
        <v>10903995.221003652</v>
      </c>
      <c r="N21" s="334">
        <f t="shared" ca="1" si="11"/>
        <v>10958227.389757149</v>
      </c>
      <c r="O21" s="334">
        <f t="shared" ca="1" si="11"/>
        <v>11060737.233043075</v>
      </c>
      <c r="P21" s="334">
        <f t="shared" ca="1" si="11"/>
        <v>11164015.479687603</v>
      </c>
      <c r="Q21" s="334">
        <f t="shared" ca="1" si="11"/>
        <v>11220196.53912003</v>
      </c>
      <c r="R21" s="334">
        <f t="shared" ca="1" si="11"/>
        <v>11276798.55397887</v>
      </c>
      <c r="S21" s="334">
        <f t="shared" ca="1" si="11"/>
        <v>11381696.053112518</v>
      </c>
      <c r="T21" s="334">
        <f t="shared" ca="1" si="11"/>
        <v>11487379.899477428</v>
      </c>
      <c r="U21" s="334">
        <f t="shared" ca="1" si="11"/>
        <v>11545984.637645556</v>
      </c>
      <c r="V21" s="334">
        <f t="shared" ca="1" si="11"/>
        <v>11605028.546418112</v>
      </c>
      <c r="W21" s="334">
        <f t="shared" ca="1" si="11"/>
        <v>11712386.291833941</v>
      </c>
      <c r="X21" s="334">
        <f t="shared" ca="1" si="11"/>
        <v>11820548.875075489</v>
      </c>
      <c r="Y21" s="334">
        <f t="shared" ca="1" si="11"/>
        <v>11881650.979984071</v>
      </c>
      <c r="AA21" s="351" t="s">
        <v>160</v>
      </c>
      <c r="AB21" s="334">
        <f t="shared" ca="1" si="10"/>
        <v>10597097.837481389</v>
      </c>
      <c r="AC21" s="334">
        <f t="shared" ca="1" si="10"/>
        <v>10903995.221003652</v>
      </c>
      <c r="AD21" s="334">
        <f t="shared" ca="1" si="10"/>
        <v>11220196.53912003</v>
      </c>
      <c r="AE21" s="334">
        <f t="shared" ca="1" si="10"/>
        <v>11545984.637645556</v>
      </c>
      <c r="AF21" s="388">
        <f t="shared" ca="1" si="10"/>
        <v>11881650.979984071</v>
      </c>
    </row>
    <row r="22" spans="2:32" x14ac:dyDescent="0.3">
      <c r="B22" s="321"/>
      <c r="C22" s="322"/>
      <c r="D22" s="271"/>
      <c r="AA22" s="352"/>
      <c r="AB22" s="300"/>
      <c r="AC22" s="300"/>
      <c r="AD22" s="300"/>
      <c r="AE22" s="300"/>
      <c r="AF22" s="346"/>
    </row>
    <row r="23" spans="2:32" x14ac:dyDescent="0.3">
      <c r="B23" s="315" t="s">
        <v>161</v>
      </c>
      <c r="C23" s="316"/>
      <c r="D23" s="317">
        <f>Inputs!D97</f>
        <v>5245631</v>
      </c>
      <c r="F23" s="174">
        <f>$D$23</f>
        <v>5245631</v>
      </c>
      <c r="G23" s="174">
        <f t="shared" ref="G23:Y23" si="12">$D$23</f>
        <v>5245631</v>
      </c>
      <c r="H23" s="174">
        <f t="shared" si="12"/>
        <v>5245631</v>
      </c>
      <c r="I23" s="174">
        <f t="shared" si="12"/>
        <v>5245631</v>
      </c>
      <c r="J23" s="174">
        <f t="shared" si="12"/>
        <v>5245631</v>
      </c>
      <c r="K23" s="174">
        <f t="shared" si="12"/>
        <v>5245631</v>
      </c>
      <c r="L23" s="174">
        <f t="shared" si="12"/>
        <v>5245631</v>
      </c>
      <c r="M23" s="174">
        <f t="shared" si="12"/>
        <v>5245631</v>
      </c>
      <c r="N23" s="174">
        <f t="shared" si="12"/>
        <v>5245631</v>
      </c>
      <c r="O23" s="174">
        <f t="shared" si="12"/>
        <v>5245631</v>
      </c>
      <c r="P23" s="174">
        <f t="shared" si="12"/>
        <v>5245631</v>
      </c>
      <c r="Q23" s="174">
        <f t="shared" si="12"/>
        <v>5245631</v>
      </c>
      <c r="R23" s="174">
        <f t="shared" si="12"/>
        <v>5245631</v>
      </c>
      <c r="S23" s="174">
        <f t="shared" si="12"/>
        <v>5245631</v>
      </c>
      <c r="T23" s="174">
        <f t="shared" si="12"/>
        <v>5245631</v>
      </c>
      <c r="U23" s="174">
        <f t="shared" si="12"/>
        <v>5245631</v>
      </c>
      <c r="V23" s="174">
        <f t="shared" si="12"/>
        <v>5245631</v>
      </c>
      <c r="W23" s="174">
        <f t="shared" si="12"/>
        <v>5245631</v>
      </c>
      <c r="X23" s="174">
        <f t="shared" si="12"/>
        <v>5245631</v>
      </c>
      <c r="Y23" s="174">
        <f t="shared" si="12"/>
        <v>5245631</v>
      </c>
      <c r="AA23" s="350" t="s">
        <v>161</v>
      </c>
      <c r="AB23" s="384">
        <f t="shared" ref="AB23:AF25" si="13">SUMIFS($F23:$Y23,$F$2:$Y$2,AB$4,$F$4:$Y$4,AB$1)</f>
        <v>5245631</v>
      </c>
      <c r="AC23" s="384">
        <f t="shared" si="13"/>
        <v>5245631</v>
      </c>
      <c r="AD23" s="384">
        <f t="shared" si="13"/>
        <v>5245631</v>
      </c>
      <c r="AE23" s="384">
        <f t="shared" si="13"/>
        <v>5245631</v>
      </c>
      <c r="AF23" s="385">
        <f t="shared" si="13"/>
        <v>5245631</v>
      </c>
    </row>
    <row r="24" spans="2:32" x14ac:dyDescent="0.3">
      <c r="B24" s="315" t="s">
        <v>251</v>
      </c>
      <c r="C24" s="316"/>
      <c r="D24" s="317">
        <f>Inputs!D98</f>
        <v>0</v>
      </c>
      <c r="F24" s="174">
        <f ca="1">D24+'CompanyP&amp;L'!D27</f>
        <v>376961.02247599978</v>
      </c>
      <c r="G24" s="174">
        <f ca="1">F24+'CompanyP&amp;L'!E27</f>
        <v>893462.42104642233</v>
      </c>
      <c r="H24" s="174">
        <f ca="1">G24+'CompanyP&amp;L'!F27</f>
        <v>1411600.2531719531</v>
      </c>
      <c r="I24" s="174">
        <f ca="1">H24+'CompanyP&amp;L'!G27</f>
        <v>1945352.0570368341</v>
      </c>
      <c r="J24" s="174">
        <f ca="1">I24+'CompanyP&amp;L'!H27</f>
        <v>2545930.6758467201</v>
      </c>
      <c r="K24" s="174">
        <f ca="1">J24+'CompanyP&amp;L'!I27</f>
        <v>3302268.6894176165</v>
      </c>
      <c r="L24" s="174">
        <f ca="1">K24+'CompanyP&amp;L'!J27</f>
        <v>4065821.3587363008</v>
      </c>
      <c r="M24" s="174">
        <f ca="1">L24+'CompanyP&amp;L'!K27</f>
        <v>4860638.7183704944</v>
      </c>
      <c r="N24" s="174">
        <f ca="1">M24+'CompanyP&amp;L'!L27</f>
        <v>5737668.9202985018</v>
      </c>
      <c r="O24" s="174">
        <f ca="1">N24+'CompanyP&amp;L'!M27</f>
        <v>6670017.2031837609</v>
      </c>
      <c r="P24" s="174">
        <f ca="1">O24+'CompanyP&amp;L'!N27</f>
        <v>7729698.3920949502</v>
      </c>
      <c r="Q24" s="174">
        <f ca="1">P24+'CompanyP&amp;L'!O27</f>
        <v>8835308.5628957152</v>
      </c>
      <c r="R24" s="174">
        <f ca="1">Q24+'CompanyP&amp;L'!P27</f>
        <v>10037577.97424401</v>
      </c>
      <c r="S24" s="174">
        <f ca="1">R24+'CompanyP&amp;L'!Q27</f>
        <v>11338729.64062044</v>
      </c>
      <c r="T24" s="174">
        <f ca="1">S24+'CompanyP&amp;L'!R27</f>
        <v>12781256.450802911</v>
      </c>
      <c r="U24" s="174">
        <f ca="1">T24+'CompanyP&amp;L'!S27</f>
        <v>14283567.465450186</v>
      </c>
      <c r="V24" s="174">
        <f ca="1">U24+'CompanyP&amp;L'!T27</f>
        <v>15835840.496193947</v>
      </c>
      <c r="W24" s="174">
        <f ca="1">V24+'CompanyP&amp;L'!U27</f>
        <v>17586755.339138679</v>
      </c>
      <c r="X24" s="174">
        <f ca="1">W24+'CompanyP&amp;L'!V27</f>
        <v>19492395.566686004</v>
      </c>
      <c r="Y24" s="174">
        <f ca="1">X24+'CompanyP&amp;L'!W27</f>
        <v>21427894.510864288</v>
      </c>
      <c r="AA24" s="350" t="s">
        <v>251</v>
      </c>
      <c r="AB24" s="384">
        <f t="shared" ca="1" si="13"/>
        <v>1945352.0570368341</v>
      </c>
      <c r="AC24" s="384">
        <f t="shared" ca="1" si="13"/>
        <v>4860638.7183704944</v>
      </c>
      <c r="AD24" s="384">
        <f t="shared" ca="1" si="13"/>
        <v>8835308.5628957152</v>
      </c>
      <c r="AE24" s="384">
        <f t="shared" ca="1" si="13"/>
        <v>14283567.465450186</v>
      </c>
      <c r="AF24" s="385">
        <f t="shared" ca="1" si="13"/>
        <v>21427894.510864288</v>
      </c>
    </row>
    <row r="25" spans="2:32" x14ac:dyDescent="0.3">
      <c r="B25" s="319" t="s">
        <v>163</v>
      </c>
      <c r="C25" s="320"/>
      <c r="D25" s="317">
        <f>Inputs!D99</f>
        <v>5245631</v>
      </c>
      <c r="F25" s="334">
        <f ca="1">F23+F24</f>
        <v>5622592.0224759998</v>
      </c>
      <c r="G25" s="334">
        <f t="shared" ref="G25:Y25" ca="1" si="14">G23+G24</f>
        <v>6139093.4210464228</v>
      </c>
      <c r="H25" s="334">
        <f t="shared" ca="1" si="14"/>
        <v>6657231.2531719534</v>
      </c>
      <c r="I25" s="334">
        <f t="shared" ca="1" si="14"/>
        <v>7190983.0570368338</v>
      </c>
      <c r="J25" s="334">
        <f t="shared" ca="1" si="14"/>
        <v>7791561.6758467201</v>
      </c>
      <c r="K25" s="334">
        <f t="shared" ca="1" si="14"/>
        <v>8547899.6894176155</v>
      </c>
      <c r="L25" s="334">
        <f t="shared" ca="1" si="14"/>
        <v>9311452.3587363008</v>
      </c>
      <c r="M25" s="334">
        <f t="shared" ca="1" si="14"/>
        <v>10106269.718370494</v>
      </c>
      <c r="N25" s="334">
        <f t="shared" ca="1" si="14"/>
        <v>10983299.920298502</v>
      </c>
      <c r="O25" s="334">
        <f t="shared" ca="1" si="14"/>
        <v>11915648.203183761</v>
      </c>
      <c r="P25" s="334">
        <f t="shared" ca="1" si="14"/>
        <v>12975329.392094951</v>
      </c>
      <c r="Q25" s="334">
        <f t="shared" ca="1" si="14"/>
        <v>14080939.562895715</v>
      </c>
      <c r="R25" s="334">
        <f t="shared" ca="1" si="14"/>
        <v>15283208.97424401</v>
      </c>
      <c r="S25" s="334">
        <f t="shared" ca="1" si="14"/>
        <v>16584360.64062044</v>
      </c>
      <c r="T25" s="334">
        <f t="shared" ca="1" si="14"/>
        <v>18026887.450802911</v>
      </c>
      <c r="U25" s="334">
        <f t="shared" ca="1" si="14"/>
        <v>19529198.465450186</v>
      </c>
      <c r="V25" s="334">
        <f t="shared" ca="1" si="14"/>
        <v>21081471.496193945</v>
      </c>
      <c r="W25" s="334">
        <f t="shared" ca="1" si="14"/>
        <v>22832386.339138679</v>
      </c>
      <c r="X25" s="334">
        <f t="shared" ca="1" si="14"/>
        <v>24738026.566686004</v>
      </c>
      <c r="Y25" s="334">
        <f t="shared" ca="1" si="14"/>
        <v>26673525.510864288</v>
      </c>
      <c r="AA25" s="351" t="s">
        <v>163</v>
      </c>
      <c r="AB25" s="334">
        <f t="shared" ca="1" si="13"/>
        <v>7190983.0570368338</v>
      </c>
      <c r="AC25" s="334">
        <f t="shared" ca="1" si="13"/>
        <v>10106269.718370494</v>
      </c>
      <c r="AD25" s="334">
        <f t="shared" ca="1" si="13"/>
        <v>14080939.562895715</v>
      </c>
      <c r="AE25" s="334">
        <f t="shared" ca="1" si="13"/>
        <v>19529198.465450186</v>
      </c>
      <c r="AF25" s="388">
        <f t="shared" ca="1" si="13"/>
        <v>26673525.510864288</v>
      </c>
    </row>
    <row r="26" spans="2:32" x14ac:dyDescent="0.3">
      <c r="B26" s="327"/>
      <c r="C26" s="328"/>
      <c r="D26" s="271"/>
      <c r="AA26" s="354"/>
      <c r="AB26" s="300"/>
      <c r="AC26" s="300"/>
      <c r="AD26" s="300"/>
      <c r="AE26" s="300"/>
      <c r="AF26" s="346"/>
    </row>
    <row r="27" spans="2:32" ht="14.5" thickBot="1" x14ac:dyDescent="0.35">
      <c r="B27" s="329" t="s">
        <v>164</v>
      </c>
      <c r="C27" s="330"/>
      <c r="D27" s="331">
        <f>Inputs!D101</f>
        <v>15544860.904999999</v>
      </c>
      <c r="F27" s="333">
        <f ca="1">F25+F21</f>
        <v>15971522.08991975</v>
      </c>
      <c r="G27" s="333">
        <f t="shared" ref="G27:Y27" ca="1" si="15">G25+G21</f>
        <v>16585967.270027215</v>
      </c>
      <c r="H27" s="333">
        <f t="shared" ca="1" si="15"/>
        <v>17202782.97515282</v>
      </c>
      <c r="I27" s="333">
        <f t="shared" ca="1" si="15"/>
        <v>17788080.894518223</v>
      </c>
      <c r="J27" s="333">
        <f t="shared" ca="1" si="15"/>
        <v>18440591.753625635</v>
      </c>
      <c r="K27" s="333">
        <f t="shared" ca="1" si="15"/>
        <v>19297122.398832649</v>
      </c>
      <c r="L27" s="333">
        <f t="shared" ca="1" si="15"/>
        <v>20161618.689795993</v>
      </c>
      <c r="M27" s="333">
        <f t="shared" ca="1" si="15"/>
        <v>21010264.939374145</v>
      </c>
      <c r="N27" s="333">
        <f t="shared" ca="1" si="15"/>
        <v>21941527.310055651</v>
      </c>
      <c r="O27" s="333">
        <f t="shared" ca="1" si="15"/>
        <v>22976385.436226837</v>
      </c>
      <c r="P27" s="333">
        <f t="shared" ca="1" si="15"/>
        <v>24139344.871782556</v>
      </c>
      <c r="Q27" s="333">
        <f t="shared" ca="1" si="15"/>
        <v>25301136.102015745</v>
      </c>
      <c r="R27" s="333">
        <f t="shared" ca="1" si="15"/>
        <v>26560007.528222881</v>
      </c>
      <c r="S27" s="333">
        <f t="shared" ca="1" si="15"/>
        <v>27966056.693732958</v>
      </c>
      <c r="T27" s="333">
        <f t="shared" ca="1" si="15"/>
        <v>29514267.350280337</v>
      </c>
      <c r="U27" s="333">
        <f t="shared" ca="1" si="15"/>
        <v>31075183.10309574</v>
      </c>
      <c r="V27" s="333">
        <f t="shared" ca="1" si="15"/>
        <v>32686500.042612057</v>
      </c>
      <c r="W27" s="333">
        <f t="shared" ca="1" si="15"/>
        <v>34544772.630972624</v>
      </c>
      <c r="X27" s="333">
        <f t="shared" ca="1" si="15"/>
        <v>36558575.441761494</v>
      </c>
      <c r="Y27" s="333">
        <f t="shared" ca="1" si="15"/>
        <v>38555176.490848362</v>
      </c>
      <c r="AA27" s="355" t="s">
        <v>164</v>
      </c>
      <c r="AB27" s="333">
        <f ca="1">SUMIFS($F27:$Y27,$F$2:$Y$2,AB$4,$F$4:$Y$4,AB$1)</f>
        <v>17788080.894518223</v>
      </c>
      <c r="AC27" s="333">
        <f ca="1">SUMIFS($F27:$Y27,$F$2:$Y$2,AC$4,$F$4:$Y$4,AC$1)</f>
        <v>21010264.939374145</v>
      </c>
      <c r="AD27" s="333">
        <f ca="1">SUMIFS($F27:$Y27,$F$2:$Y$2,AD$4,$F$4:$Y$4,AD$1)</f>
        <v>25301136.102015745</v>
      </c>
      <c r="AE27" s="333">
        <f ca="1">SUMIFS($F27:$Y27,$F$2:$Y$2,AE$4,$F$4:$Y$4,AE$1)</f>
        <v>31075183.10309574</v>
      </c>
      <c r="AF27" s="389">
        <f ca="1">SUMIFS($F27:$Y27,$F$2:$Y$2,AF$4,$F$4:$Y$4,AF$1)</f>
        <v>38555176.490848362</v>
      </c>
    </row>
    <row r="28" spans="2:32" ht="14.5" thickTop="1" x14ac:dyDescent="0.3">
      <c r="AA28" s="343"/>
      <c r="AB28" s="348"/>
      <c r="AC28" s="348"/>
      <c r="AD28" s="348"/>
      <c r="AE28" s="348"/>
      <c r="AF28" s="349"/>
    </row>
    <row r="29" spans="2:32" ht="14.5" thickBot="1" x14ac:dyDescent="0.35">
      <c r="B29" s="163" t="s">
        <v>252</v>
      </c>
      <c r="D29" s="174">
        <f>D13-D27</f>
        <v>0.46499999985098839</v>
      </c>
      <c r="F29" s="174">
        <f ca="1">F13-F27</f>
        <v>0.46500000171363354</v>
      </c>
      <c r="G29" s="174">
        <f t="shared" ref="G29:Y29" ca="1" si="16">G13-G27</f>
        <v>0.46499999985098839</v>
      </c>
      <c r="H29" s="174">
        <f t="shared" ca="1" si="16"/>
        <v>0.46499999612569809</v>
      </c>
      <c r="I29" s="174">
        <f t="shared" ca="1" si="16"/>
        <v>0.46499999985098839</v>
      </c>
      <c r="J29" s="174">
        <f t="shared" ca="1" si="16"/>
        <v>0.46499999985098839</v>
      </c>
      <c r="K29" s="174">
        <f t="shared" ca="1" si="16"/>
        <v>0.46499999985098839</v>
      </c>
      <c r="L29" s="174">
        <f t="shared" ca="1" si="16"/>
        <v>0.46499999612569809</v>
      </c>
      <c r="M29" s="174">
        <f t="shared" ca="1" si="16"/>
        <v>0.46499999985098839</v>
      </c>
      <c r="N29" s="174">
        <f t="shared" ca="1" si="16"/>
        <v>0.46499999985098839</v>
      </c>
      <c r="O29" s="174">
        <f t="shared" ca="1" si="16"/>
        <v>0.46499999985098839</v>
      </c>
      <c r="P29" s="174">
        <f t="shared" ca="1" si="16"/>
        <v>0.46499999985098839</v>
      </c>
      <c r="Q29" s="174">
        <f t="shared" ca="1" si="16"/>
        <v>0.46500000357627869</v>
      </c>
      <c r="R29" s="174">
        <f t="shared" ca="1" si="16"/>
        <v>0.46500000357627869</v>
      </c>
      <c r="S29" s="174">
        <f t="shared" ca="1" si="16"/>
        <v>0.46500000357627869</v>
      </c>
      <c r="T29" s="174">
        <f t="shared" ca="1" si="16"/>
        <v>0.46500000730156898</v>
      </c>
      <c r="U29" s="174">
        <f t="shared" ca="1" si="16"/>
        <v>0.46500000730156898</v>
      </c>
      <c r="V29" s="174">
        <f t="shared" ca="1" si="16"/>
        <v>0.46500000730156898</v>
      </c>
      <c r="W29" s="174">
        <f t="shared" ca="1" si="16"/>
        <v>0.46500000357627869</v>
      </c>
      <c r="X29" s="174">
        <f t="shared" ca="1" si="16"/>
        <v>0.46500000357627869</v>
      </c>
      <c r="Y29" s="174">
        <f t="shared" ca="1" si="16"/>
        <v>0.46500000357627869</v>
      </c>
      <c r="AA29" s="356" t="s">
        <v>275</v>
      </c>
      <c r="AB29" s="357">
        <f ca="1">SUMIFS($F29:$Y29,$F$2:$Y$2,AB$4,$F$4:$Y$4,AB$1)</f>
        <v>0.46499999985098839</v>
      </c>
      <c r="AC29" s="357">
        <f ca="1">SUMIFS($F29:$Y29,$F$2:$Y$2,AC$4,$F$4:$Y$4,AC$1)</f>
        <v>0.46499999985098839</v>
      </c>
      <c r="AD29" s="357">
        <f ca="1">SUMIFS($F29:$Y29,$F$2:$Y$2,AD$4,$F$4:$Y$4,AD$1)</f>
        <v>0.46500000357627869</v>
      </c>
      <c r="AE29" s="357">
        <f ca="1">SUMIFS($F29:$Y29,$F$2:$Y$2,AE$4,$F$4:$Y$4,AE$1)</f>
        <v>0.46500000730156898</v>
      </c>
      <c r="AF29" s="358">
        <f ca="1">SUMIFS($F29:$Y29,$F$2:$Y$2,AF$4,$F$4:$Y$4,AF$1)</f>
        <v>0.46500000357627869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2:AD31"/>
  <sheetViews>
    <sheetView zoomScale="80" zoomScaleNormal="80" workbookViewId="0">
      <pane xSplit="2" topLeftCell="C1" activePane="topRight" state="frozen"/>
      <selection pane="topRight" activeCell="G40" sqref="G40"/>
    </sheetView>
  </sheetViews>
  <sheetFormatPr defaultRowHeight="14" x14ac:dyDescent="0.3"/>
  <cols>
    <col min="1" max="1" width="8.7265625" style="163"/>
    <col min="2" max="2" width="54" style="163" bestFit="1" customWidth="1"/>
    <col min="3" max="3" width="2.54296875" style="163" customWidth="1"/>
    <col min="4" max="4" width="14.54296875" style="163" bestFit="1" customWidth="1"/>
    <col min="5" max="12" width="16.26953125" style="163" bestFit="1" customWidth="1"/>
    <col min="13" max="23" width="17.36328125" style="163" bestFit="1" customWidth="1"/>
    <col min="24" max="24" width="8.7265625" style="163"/>
    <col min="25" max="25" width="54" style="163" bestFit="1" customWidth="1"/>
    <col min="26" max="27" width="13.81640625" style="163" bestFit="1" customWidth="1"/>
    <col min="28" max="30" width="13.36328125" style="163" bestFit="1" customWidth="1"/>
    <col min="31" max="16384" width="8.7265625" style="163"/>
  </cols>
  <sheetData>
    <row r="2" spans="2:30" ht="14.5" thickBot="1" x14ac:dyDescent="0.35">
      <c r="B2" s="163" t="s">
        <v>274</v>
      </c>
      <c r="D2" s="163">
        <v>1</v>
      </c>
      <c r="E2" s="163">
        <v>1</v>
      </c>
      <c r="F2" s="163">
        <v>1</v>
      </c>
      <c r="G2" s="163">
        <v>1</v>
      </c>
      <c r="H2" s="163">
        <v>2</v>
      </c>
      <c r="I2" s="163">
        <v>2</v>
      </c>
      <c r="J2" s="163">
        <v>2</v>
      </c>
      <c r="K2" s="163">
        <v>2</v>
      </c>
      <c r="L2" s="163">
        <v>3</v>
      </c>
      <c r="M2" s="163">
        <v>3</v>
      </c>
      <c r="N2" s="163">
        <v>3</v>
      </c>
      <c r="O2" s="163">
        <v>3</v>
      </c>
      <c r="P2" s="163">
        <v>4</v>
      </c>
      <c r="Q2" s="163">
        <v>4</v>
      </c>
      <c r="R2" s="163">
        <v>4</v>
      </c>
      <c r="S2" s="163">
        <v>4</v>
      </c>
      <c r="T2" s="163">
        <v>5</v>
      </c>
      <c r="U2" s="163">
        <v>5</v>
      </c>
      <c r="V2" s="163">
        <v>5</v>
      </c>
      <c r="W2" s="163">
        <v>5</v>
      </c>
    </row>
    <row r="3" spans="2:30" x14ac:dyDescent="0.3">
      <c r="D3" s="208" t="s">
        <v>6</v>
      </c>
      <c r="E3" s="209"/>
      <c r="F3" s="209"/>
      <c r="G3" s="209"/>
      <c r="H3" s="208" t="s">
        <v>7</v>
      </c>
      <c r="I3" s="209"/>
      <c r="J3" s="209"/>
      <c r="K3" s="209"/>
      <c r="L3" s="208" t="s">
        <v>8</v>
      </c>
      <c r="M3" s="209"/>
      <c r="N3" s="209"/>
      <c r="O3" s="209"/>
      <c r="P3" s="208" t="s">
        <v>9</v>
      </c>
      <c r="Q3" s="209"/>
      <c r="R3" s="209"/>
      <c r="S3" s="209"/>
      <c r="T3" s="208" t="s">
        <v>10</v>
      </c>
      <c r="U3" s="209"/>
      <c r="V3" s="209"/>
      <c r="W3" s="209"/>
      <c r="Y3" s="369" t="s">
        <v>276</v>
      </c>
      <c r="Z3" s="370"/>
      <c r="AA3" s="370"/>
      <c r="AB3" s="370"/>
      <c r="AC3" s="370"/>
      <c r="AD3" s="371"/>
    </row>
    <row r="4" spans="2:30" x14ac:dyDescent="0.3">
      <c r="D4" s="201" t="s">
        <v>11</v>
      </c>
      <c r="E4" s="201" t="s">
        <v>12</v>
      </c>
      <c r="F4" s="201" t="s">
        <v>13</v>
      </c>
      <c r="G4" s="201" t="s">
        <v>14</v>
      </c>
      <c r="H4" s="201" t="s">
        <v>11</v>
      </c>
      <c r="I4" s="201" t="s">
        <v>12</v>
      </c>
      <c r="J4" s="201" t="s">
        <v>13</v>
      </c>
      <c r="K4" s="201" t="s">
        <v>14</v>
      </c>
      <c r="L4" s="201" t="s">
        <v>11</v>
      </c>
      <c r="M4" s="201" t="s">
        <v>12</v>
      </c>
      <c r="N4" s="201" t="s">
        <v>13</v>
      </c>
      <c r="O4" s="201" t="s">
        <v>14</v>
      </c>
      <c r="P4" s="201" t="s">
        <v>11</v>
      </c>
      <c r="Q4" s="201" t="s">
        <v>12</v>
      </c>
      <c r="R4" s="201" t="s">
        <v>13</v>
      </c>
      <c r="S4" s="201" t="s">
        <v>14</v>
      </c>
      <c r="T4" s="201" t="s">
        <v>11</v>
      </c>
      <c r="U4" s="201" t="s">
        <v>12</v>
      </c>
      <c r="V4" s="201" t="s">
        <v>13</v>
      </c>
      <c r="W4" s="201" t="s">
        <v>14</v>
      </c>
      <c r="Y4" s="343"/>
      <c r="Z4" s="344" t="s">
        <v>274</v>
      </c>
      <c r="AA4" s="344"/>
      <c r="AB4" s="344"/>
      <c r="AC4" s="344"/>
      <c r="AD4" s="345"/>
    </row>
    <row r="5" spans="2:30" x14ac:dyDescent="0.3">
      <c r="B5" s="165" t="s">
        <v>253</v>
      </c>
      <c r="Y5" s="375" t="s">
        <v>253</v>
      </c>
      <c r="Z5" s="359">
        <v>1</v>
      </c>
      <c r="AA5" s="359">
        <v>2</v>
      </c>
      <c r="AB5" s="359">
        <v>3</v>
      </c>
      <c r="AC5" s="359">
        <v>4</v>
      </c>
      <c r="AD5" s="360">
        <v>5</v>
      </c>
    </row>
    <row r="6" spans="2:30" x14ac:dyDescent="0.3">
      <c r="B6" s="163" t="s">
        <v>242</v>
      </c>
      <c r="D6" s="192">
        <f ca="1">'CompanyP&amp;L'!D27</f>
        <v>376961.02247599978</v>
      </c>
      <c r="E6" s="192">
        <f ca="1">'CompanyP&amp;L'!E27</f>
        <v>516501.39857042255</v>
      </c>
      <c r="F6" s="192">
        <f ca="1">'CompanyP&amp;L'!F27</f>
        <v>518137.83212553081</v>
      </c>
      <c r="G6" s="192">
        <f ca="1">'CompanyP&amp;L'!G27</f>
        <v>533751.80386488093</v>
      </c>
      <c r="H6" s="192">
        <f ca="1">'CompanyP&amp;L'!H27</f>
        <v>600578.61880988628</v>
      </c>
      <c r="I6" s="192">
        <f ca="1">'CompanyP&amp;L'!I27</f>
        <v>756338.01357089635</v>
      </c>
      <c r="J6" s="192">
        <f ca="1">'CompanyP&amp;L'!J27</f>
        <v>763552.66931868438</v>
      </c>
      <c r="K6" s="192">
        <f ca="1">'CompanyP&amp;L'!K27</f>
        <v>794817.35963419359</v>
      </c>
      <c r="L6" s="192">
        <f ca="1">'CompanyP&amp;L'!L27</f>
        <v>877030.20192800777</v>
      </c>
      <c r="M6" s="192">
        <f ca="1">'CompanyP&amp;L'!M27</f>
        <v>932348.28288525902</v>
      </c>
      <c r="N6" s="192">
        <f ca="1">'CompanyP&amp;L'!N27</f>
        <v>1059681.1889111893</v>
      </c>
      <c r="O6" s="192">
        <f ca="1">'CompanyP&amp;L'!O27</f>
        <v>1105610.170800765</v>
      </c>
      <c r="P6" s="192">
        <f ca="1">'CompanyP&amp;L'!P27</f>
        <v>1202269.4113482954</v>
      </c>
      <c r="Q6" s="192">
        <f ca="1">'CompanyP&amp;L'!Q27</f>
        <v>1301151.6663764305</v>
      </c>
      <c r="R6" s="192">
        <f ca="1">'CompanyP&amp;L'!R27</f>
        <v>1442526.8101824704</v>
      </c>
      <c r="S6" s="192">
        <f ca="1">'CompanyP&amp;L'!S27</f>
        <v>1502311.0146472752</v>
      </c>
      <c r="T6" s="192">
        <f ca="1">'CompanyP&amp;L'!T27</f>
        <v>1552273.0307437617</v>
      </c>
      <c r="U6" s="192">
        <f ca="1">'CompanyP&amp;L'!U27</f>
        <v>1750914.8429447333</v>
      </c>
      <c r="V6" s="192">
        <f ca="1">'CompanyP&amp;L'!V27</f>
        <v>1905640.2275473268</v>
      </c>
      <c r="W6" s="192">
        <f ca="1">'CompanyP&amp;L'!W27</f>
        <v>1935498.9441782841</v>
      </c>
      <c r="Y6" s="343" t="s">
        <v>242</v>
      </c>
      <c r="Z6" s="230">
        <f ca="1">SUMIFS($D6:$W6,$D$2:$W$2,Z$5)</f>
        <v>1945352.0570368341</v>
      </c>
      <c r="AA6" s="230">
        <f t="shared" ref="AA6:AD21" ca="1" si="0">SUMIFS($D6:$W6,$D$2:$W$2,AA$5)</f>
        <v>2915286.6613336606</v>
      </c>
      <c r="AB6" s="230">
        <f t="shared" ca="1" si="0"/>
        <v>3974669.8445252213</v>
      </c>
      <c r="AC6" s="230">
        <f t="shared" ca="1" si="0"/>
        <v>5448258.902554471</v>
      </c>
      <c r="AD6" s="361">
        <f t="shared" ca="1" si="0"/>
        <v>7144327.045414106</v>
      </c>
    </row>
    <row r="7" spans="2:30" x14ac:dyDescent="0.3">
      <c r="B7" s="163" t="s">
        <v>254</v>
      </c>
      <c r="D7" s="192">
        <f>-CapEx!E13</f>
        <v>150000</v>
      </c>
      <c r="E7" s="192">
        <f>-CapEx!F13</f>
        <v>191250</v>
      </c>
      <c r="F7" s="192">
        <f>-CapEx!G13</f>
        <v>277828.125</v>
      </c>
      <c r="G7" s="192">
        <f>-CapEx!H13</f>
        <v>361159.5703125</v>
      </c>
      <c r="H7" s="192">
        <f>-CapEx!I13</f>
        <v>394491.08642578125</v>
      </c>
      <c r="I7" s="192">
        <f>-CapEx!J13</f>
        <v>426572.67068481445</v>
      </c>
      <c r="J7" s="192">
        <f>-CapEx!K13</f>
        <v>504326.19553413388</v>
      </c>
      <c r="K7" s="192">
        <f>-CapEx!L13</f>
        <v>579163.96320160385</v>
      </c>
      <c r="L7" s="192">
        <f>-CapEx!M13</f>
        <v>604320.31458154379</v>
      </c>
      <c r="M7" s="192">
        <f>-CapEx!N13</f>
        <v>628533.30278473592</v>
      </c>
      <c r="N7" s="192">
        <f>-CapEx!O13</f>
        <v>698713.30393030832</v>
      </c>
      <c r="O7" s="192">
        <f>-CapEx!P13</f>
        <v>766261.55503292184</v>
      </c>
      <c r="P7" s="192">
        <f>-CapEx!Q13</f>
        <v>784401.74671918724</v>
      </c>
      <c r="Q7" s="192">
        <f>-CapEx!R13</f>
        <v>801861.6812172177</v>
      </c>
      <c r="R7" s="192">
        <f>-CapEx!S13</f>
        <v>865541.8681715721</v>
      </c>
      <c r="S7" s="192">
        <f>-CapEx!T13</f>
        <v>926834.04811513808</v>
      </c>
      <c r="T7" s="192">
        <f>-CapEx!U13</f>
        <v>938952.77131082048</v>
      </c>
      <c r="U7" s="192">
        <f>-CapEx!V13</f>
        <v>950617.04238666466</v>
      </c>
      <c r="V7" s="192">
        <f>-CapEx!W13</f>
        <v>1008718.9032971647</v>
      </c>
      <c r="W7" s="192">
        <f>-CapEx!X13</f>
        <v>1064641.9444235209</v>
      </c>
      <c r="Y7" s="343" t="s">
        <v>254</v>
      </c>
      <c r="Z7" s="230">
        <f t="shared" ref="Z7:AD28" si="1">SUMIFS($D7:$W7,$D$2:$W$2,Z$5)</f>
        <v>980237.6953125</v>
      </c>
      <c r="AA7" s="230">
        <f t="shared" si="0"/>
        <v>1904553.9158463334</v>
      </c>
      <c r="AB7" s="230">
        <f t="shared" si="0"/>
        <v>2697828.4763295101</v>
      </c>
      <c r="AC7" s="230">
        <f t="shared" si="0"/>
        <v>3378639.3442231151</v>
      </c>
      <c r="AD7" s="361">
        <f t="shared" si="0"/>
        <v>3962930.6614181707</v>
      </c>
    </row>
    <row r="8" spans="2:30" x14ac:dyDescent="0.3">
      <c r="Y8" s="343"/>
      <c r="Z8" s="300"/>
      <c r="AA8" s="300"/>
      <c r="AB8" s="300"/>
      <c r="AC8" s="300"/>
      <c r="AD8" s="346"/>
    </row>
    <row r="9" spans="2:30" x14ac:dyDescent="0.3">
      <c r="B9" s="165" t="s">
        <v>255</v>
      </c>
      <c r="Y9" s="375" t="s">
        <v>255</v>
      </c>
      <c r="Z9" s="300"/>
      <c r="AA9" s="300"/>
      <c r="AB9" s="300"/>
      <c r="AC9" s="300"/>
      <c r="AD9" s="346"/>
    </row>
    <row r="10" spans="2:30" x14ac:dyDescent="0.3">
      <c r="B10" s="298" t="s">
        <v>259</v>
      </c>
      <c r="D10" s="192">
        <f ca="1">BalanceSheet!D7-BalanceSheet!F7</f>
        <v>-231163.5462499999</v>
      </c>
      <c r="E10" s="192">
        <f ca="1">BalanceSheet!F7-BalanceSheet!G7</f>
        <v>-455552.47226531222</v>
      </c>
      <c r="F10" s="192">
        <f ca="1">BalanceSheet!G7-BalanceSheet!H7</f>
        <v>-458966.85116313398</v>
      </c>
      <c r="G10" s="192">
        <f ca="1">BalanceSheet!H7-BalanceSheet!I7</f>
        <v>-239749.3744210396</v>
      </c>
      <c r="H10" s="192">
        <f ca="1">BalanceSheet!I7-BalanceSheet!J7</f>
        <v>-241545.30370941944</v>
      </c>
      <c r="I10" s="192">
        <f ca="1">BalanceSheet!J7-BalanceSheet!K7</f>
        <v>-466012.24016799126</v>
      </c>
      <c r="J10" s="192">
        <f ca="1">BalanceSheet!K7-BalanceSheet!L7</f>
        <v>-469505.21695190202</v>
      </c>
      <c r="K10" s="192">
        <f ca="1">BalanceSheet!L7-BalanceSheet!M7</f>
        <v>-250366.92997190356</v>
      </c>
      <c r="L10" s="192">
        <f ca="1">BalanceSheet!M7-BalanceSheet!N7</f>
        <v>-252242.64536510687</v>
      </c>
      <c r="M10" s="192">
        <f ca="1">BalanceSheet!N7-BalanceSheet!O7</f>
        <v>-476789.96877174638</v>
      </c>
      <c r="N10" s="192">
        <f ca="1">BalanceSheet!O7-BalanceSheet!P7</f>
        <v>-480363.93788152747</v>
      </c>
      <c r="O10" s="192">
        <f ca="1">BalanceSheet!P7-BalanceSheet!Q7</f>
        <v>-261307.25317407958</v>
      </c>
      <c r="P10" s="192">
        <f ca="1">BalanceSheet!Q7-BalanceSheet!R7</f>
        <v>-263265.1853899546</v>
      </c>
      <c r="Q10" s="192">
        <f ca="1">BalanceSheet!R7-BalanceSheet!S7</f>
        <v>-487895.34480766393</v>
      </c>
      <c r="R10" s="192">
        <f ca="1">BalanceSheet!S7-BalanceSheet!T7</f>
        <v>-491552.7737902822</v>
      </c>
      <c r="S10" s="192">
        <f ca="1">BalanceSheet!T7-BalanceSheet!U7</f>
        <v>-272580.17752617598</v>
      </c>
      <c r="T10" s="192">
        <f ca="1">BalanceSheet!U7-BalanceSheet!V7</f>
        <v>-274622.83150025364</v>
      </c>
      <c r="U10" s="192">
        <f ca="1">BalanceSheet!V7-BalanceSheet!W7</f>
        <v>-499338.35077130236</v>
      </c>
      <c r="V10" s="192">
        <f ca="1">BalanceSheet!W7-BalanceSheet!X7</f>
        <v>-503081.78251883201</v>
      </c>
      <c r="W10" s="192">
        <f ca="1">BalanceSheet!X7-BalanceSheet!Y7</f>
        <v>-284195.83678409457</v>
      </c>
      <c r="Y10" s="376" t="s">
        <v>259</v>
      </c>
      <c r="Z10" s="230">
        <f t="shared" ca="1" si="1"/>
        <v>-1385432.2440994857</v>
      </c>
      <c r="AA10" s="230">
        <f t="shared" ca="1" si="0"/>
        <v>-1427429.6908012163</v>
      </c>
      <c r="AB10" s="230">
        <f t="shared" ca="1" si="0"/>
        <v>-1470703.8051924603</v>
      </c>
      <c r="AC10" s="230">
        <f t="shared" ca="1" si="0"/>
        <v>-1515293.4815140767</v>
      </c>
      <c r="AD10" s="361">
        <f t="shared" ca="1" si="0"/>
        <v>-1561238.8015744826</v>
      </c>
    </row>
    <row r="11" spans="2:30" x14ac:dyDescent="0.3">
      <c r="B11" s="298" t="s">
        <v>256</v>
      </c>
      <c r="D11" s="192">
        <f ca="1">BalanceSheet!D8-BalanceSheet!F8</f>
        <v>-23116.354624999978</v>
      </c>
      <c r="E11" s="192">
        <f ca="1">BalanceSheet!F8-BalanceSheet!G8</f>
        <v>-45555.247226531239</v>
      </c>
      <c r="F11" s="192">
        <f ca="1">BalanceSheet!G8-BalanceSheet!H8</f>
        <v>-45896.685116313398</v>
      </c>
      <c r="G11" s="192">
        <f ca="1">BalanceSheet!H8-BalanceSheet!I8</f>
        <v>-23974.937442103954</v>
      </c>
      <c r="H11" s="192">
        <f ca="1">BalanceSheet!I8-BalanceSheet!J8</f>
        <v>-24154.530370941968</v>
      </c>
      <c r="I11" s="192">
        <f ca="1">BalanceSheet!J8-BalanceSheet!K8</f>
        <v>-46601.224016799126</v>
      </c>
      <c r="J11" s="192">
        <f ca="1">BalanceSheet!K8-BalanceSheet!L8</f>
        <v>-46950.521695190168</v>
      </c>
      <c r="K11" s="192">
        <f ca="1">BalanceSheet!L8-BalanceSheet!M8</f>
        <v>-25036.692997190403</v>
      </c>
      <c r="L11" s="192">
        <f ca="1">BalanceSheet!M8-BalanceSheet!N8</f>
        <v>-25224.264536510687</v>
      </c>
      <c r="M11" s="192">
        <f ca="1">BalanceSheet!N8-BalanceSheet!O8</f>
        <v>-47678.996877174592</v>
      </c>
      <c r="N11" s="192">
        <f ca="1">BalanceSheet!O8-BalanceSheet!P8</f>
        <v>-48036.393788152724</v>
      </c>
      <c r="O11" s="192">
        <f ca="1">BalanceSheet!P8-BalanceSheet!Q8</f>
        <v>-26130.725317407981</v>
      </c>
      <c r="P11" s="192">
        <f ca="1">BalanceSheet!Q8-BalanceSheet!R8</f>
        <v>-26326.51853899553</v>
      </c>
      <c r="Q11" s="192">
        <f ca="1">BalanceSheet!R8-BalanceSheet!S8</f>
        <v>-48789.534480766393</v>
      </c>
      <c r="R11" s="192">
        <f ca="1">BalanceSheet!S8-BalanceSheet!T8</f>
        <v>-49155.27737902815</v>
      </c>
      <c r="S11" s="192">
        <f ca="1">BalanceSheet!T8-BalanceSheet!U8</f>
        <v>-27258.017752617598</v>
      </c>
      <c r="T11" s="192">
        <f ca="1">BalanceSheet!U8-BalanceSheet!V8</f>
        <v>-27462.283150025411</v>
      </c>
      <c r="U11" s="192">
        <f ca="1">BalanceSheet!V8-BalanceSheet!W8</f>
        <v>-49933.835077130236</v>
      </c>
      <c r="V11" s="192">
        <f ca="1">BalanceSheet!W8-BalanceSheet!X8</f>
        <v>-50308.178251883248</v>
      </c>
      <c r="W11" s="192">
        <f ca="1">BalanceSheet!X8-BalanceSheet!Y8</f>
        <v>-28419.583678409457</v>
      </c>
      <c r="Y11" s="376" t="s">
        <v>256</v>
      </c>
      <c r="Z11" s="230">
        <f t="shared" ca="1" si="1"/>
        <v>-138543.22440994857</v>
      </c>
      <c r="AA11" s="230">
        <f t="shared" ca="1" si="0"/>
        <v>-142742.96908012166</v>
      </c>
      <c r="AB11" s="230">
        <f t="shared" ca="1" si="0"/>
        <v>-147070.38051924598</v>
      </c>
      <c r="AC11" s="230">
        <f t="shared" ca="1" si="0"/>
        <v>-151529.34815140767</v>
      </c>
      <c r="AD11" s="361">
        <f t="shared" ca="1" si="0"/>
        <v>-156123.88015744835</v>
      </c>
    </row>
    <row r="12" spans="2:30" x14ac:dyDescent="0.3">
      <c r="B12" s="298" t="s">
        <v>257</v>
      </c>
      <c r="D12" s="192">
        <f ca="1">BalanceSheet!D9-BalanceSheet!F9</f>
        <v>-2311.6354624999985</v>
      </c>
      <c r="E12" s="192">
        <f ca="1">BalanceSheet!F9-BalanceSheet!G9</f>
        <v>-4555.5247226531228</v>
      </c>
      <c r="F12" s="192">
        <f ca="1">BalanceSheet!G9-BalanceSheet!H9</f>
        <v>-4589.6685116313383</v>
      </c>
      <c r="G12" s="192">
        <f ca="1">BalanceSheet!H9-BalanceSheet!I9</f>
        <v>-2397.4937442103983</v>
      </c>
      <c r="H12" s="192">
        <f ca="1">BalanceSheet!I9-BalanceSheet!J9</f>
        <v>-2415.4530370941939</v>
      </c>
      <c r="I12" s="192">
        <f ca="1">BalanceSheet!J9-BalanceSheet!K9</f>
        <v>-4660.1224016799097</v>
      </c>
      <c r="J12" s="192">
        <f ca="1">BalanceSheet!K9-BalanceSheet!L9</f>
        <v>-4695.0521695190255</v>
      </c>
      <c r="K12" s="192">
        <f ca="1">BalanceSheet!L9-BalanceSheet!M9</f>
        <v>-2503.669299719033</v>
      </c>
      <c r="L12" s="192">
        <f ca="1">BalanceSheet!M9-BalanceSheet!N9</f>
        <v>-2522.4264536510673</v>
      </c>
      <c r="M12" s="192">
        <f ca="1">BalanceSheet!N9-BalanceSheet!O9</f>
        <v>-4767.899687717465</v>
      </c>
      <c r="N12" s="192">
        <f ca="1">BalanceSheet!O9-BalanceSheet!P9</f>
        <v>-4803.6393788152782</v>
      </c>
      <c r="O12" s="192">
        <f ca="1">BalanceSheet!P9-BalanceSheet!Q9</f>
        <v>-2613.0725317407923</v>
      </c>
      <c r="P12" s="192">
        <f ca="1">BalanceSheet!Q9-BalanceSheet!R9</f>
        <v>-2632.6518538995442</v>
      </c>
      <c r="Q12" s="192">
        <f ca="1">BalanceSheet!R9-BalanceSheet!S9</f>
        <v>-4878.9534480766451</v>
      </c>
      <c r="R12" s="192">
        <f ca="1">BalanceSheet!S9-BalanceSheet!T9</f>
        <v>-4915.5277379028121</v>
      </c>
      <c r="S12" s="192">
        <f ca="1">BalanceSheet!T9-BalanceSheet!U9</f>
        <v>-2725.8017752617743</v>
      </c>
      <c r="T12" s="192">
        <f ca="1">BalanceSheet!U9-BalanceSheet!V9</f>
        <v>-2746.2283150025323</v>
      </c>
      <c r="U12" s="192">
        <f ca="1">BalanceSheet!V9-BalanceSheet!W9</f>
        <v>-4993.3835077130207</v>
      </c>
      <c r="V12" s="192">
        <f ca="1">BalanceSheet!W9-BalanceSheet!X9</f>
        <v>-5030.8178251883219</v>
      </c>
      <c r="W12" s="192">
        <f ca="1">BalanceSheet!X9-BalanceSheet!Y9</f>
        <v>-2841.9583678409399</v>
      </c>
      <c r="Y12" s="376" t="s">
        <v>257</v>
      </c>
      <c r="Z12" s="230">
        <f t="shared" ca="1" si="1"/>
        <v>-13854.322440994858</v>
      </c>
      <c r="AA12" s="230">
        <f t="shared" ca="1" si="0"/>
        <v>-14274.296908012162</v>
      </c>
      <c r="AB12" s="230">
        <f t="shared" ca="1" si="0"/>
        <v>-14707.038051924603</v>
      </c>
      <c r="AC12" s="230">
        <f t="shared" ca="1" si="0"/>
        <v>-15152.934815140776</v>
      </c>
      <c r="AD12" s="361">
        <f t="shared" ca="1" si="0"/>
        <v>-15612.388015744815</v>
      </c>
    </row>
    <row r="13" spans="2:30" x14ac:dyDescent="0.3">
      <c r="B13" s="298"/>
      <c r="Y13" s="376"/>
      <c r="Z13" s="300"/>
      <c r="AA13" s="300"/>
      <c r="AB13" s="300"/>
      <c r="AC13" s="300"/>
      <c r="AD13" s="346"/>
    </row>
    <row r="14" spans="2:30" x14ac:dyDescent="0.3">
      <c r="B14" s="298" t="s">
        <v>258</v>
      </c>
      <c r="D14" s="192">
        <f ca="1">BalanceSheet!F15-BalanceSheet!D15</f>
        <v>46232.709249999956</v>
      </c>
      <c r="E14" s="192">
        <f ca="1">BalanceSheet!G15-BalanceSheet!F15</f>
        <v>91110.494453062478</v>
      </c>
      <c r="F14" s="192">
        <f ca="1">BalanceSheet!H15-BalanceSheet!G15</f>
        <v>91793.370232626796</v>
      </c>
      <c r="G14" s="192">
        <f ca="1">BalanceSheet!I15-BalanceSheet!H15</f>
        <v>47949.874884207908</v>
      </c>
      <c r="H14" s="192">
        <f ca="1">BalanceSheet!J15-BalanceSheet!I15</f>
        <v>48309.060741883935</v>
      </c>
      <c r="I14" s="192">
        <f ca="1">BalanceSheet!K15-BalanceSheet!J15</f>
        <v>93202.448033598252</v>
      </c>
      <c r="J14" s="192">
        <f ca="1">BalanceSheet!L15-BalanceSheet!K15</f>
        <v>93901.043390380335</v>
      </c>
      <c r="K14" s="192">
        <f ca="1">BalanceSheet!M15-BalanceSheet!L15</f>
        <v>50073.385994380806</v>
      </c>
      <c r="L14" s="192">
        <f ca="1">BalanceSheet!N15-BalanceSheet!M15</f>
        <v>50448.529073021375</v>
      </c>
      <c r="M14" s="192">
        <f ca="1">BalanceSheet!O15-BalanceSheet!N15</f>
        <v>95357.993754349183</v>
      </c>
      <c r="N14" s="192">
        <f ca="1">BalanceSheet!P15-BalanceSheet!O15</f>
        <v>96072.787576305447</v>
      </c>
      <c r="O14" s="192">
        <f ca="1">BalanceSheet!Q15-BalanceSheet!P15</f>
        <v>52261.450634815963</v>
      </c>
      <c r="P14" s="192">
        <f ca="1">BalanceSheet!R15-BalanceSheet!Q15</f>
        <v>52653.037077991059</v>
      </c>
      <c r="Q14" s="192">
        <f ca="1">BalanceSheet!S15-BalanceSheet!R15</f>
        <v>97579.068961532786</v>
      </c>
      <c r="R14" s="192">
        <f ca="1">BalanceSheet!T15-BalanceSheet!S15</f>
        <v>98310.5547580563</v>
      </c>
      <c r="S14" s="192">
        <f ca="1">BalanceSheet!U15-BalanceSheet!T15</f>
        <v>54516.035505235195</v>
      </c>
      <c r="T14" s="192">
        <f ca="1">BalanceSheet!V15-BalanceSheet!U15</f>
        <v>54924.566300050821</v>
      </c>
      <c r="U14" s="192">
        <f ca="1">BalanceSheet!W15-BalanceSheet!V15</f>
        <v>99867.670154260471</v>
      </c>
      <c r="V14" s="192">
        <f ca="1">BalanceSheet!X15-BalanceSheet!W15</f>
        <v>100616.3565037665</v>
      </c>
      <c r="W14" s="192">
        <f ca="1">BalanceSheet!Y15-BalanceSheet!X15</f>
        <v>56839.167356818914</v>
      </c>
      <c r="Y14" s="376" t="s">
        <v>258</v>
      </c>
      <c r="Z14" s="230">
        <f t="shared" ca="1" si="1"/>
        <v>277086.44881989714</v>
      </c>
      <c r="AA14" s="230">
        <f t="shared" ca="1" si="0"/>
        <v>285485.93816024333</v>
      </c>
      <c r="AB14" s="230">
        <f t="shared" ca="1" si="0"/>
        <v>294140.76103849197</v>
      </c>
      <c r="AC14" s="230">
        <f t="shared" ca="1" si="0"/>
        <v>303058.69630281534</v>
      </c>
      <c r="AD14" s="361">
        <f t="shared" ca="1" si="0"/>
        <v>312247.7603148967</v>
      </c>
    </row>
    <row r="15" spans="2:30" x14ac:dyDescent="0.3">
      <c r="B15" s="298" t="s">
        <v>260</v>
      </c>
      <c r="D15" s="192">
        <f ca="1">BalanceSheet!F16-BalanceSheet!D16</f>
        <v>2311.6354624999985</v>
      </c>
      <c r="E15" s="192">
        <f ca="1">BalanceSheet!G16-BalanceSheet!F16</f>
        <v>4555.5247226531228</v>
      </c>
      <c r="F15" s="192">
        <f ca="1">BalanceSheet!H16-BalanceSheet!G16</f>
        <v>4589.6685116313383</v>
      </c>
      <c r="G15" s="192">
        <f ca="1">BalanceSheet!I16-BalanceSheet!H16</f>
        <v>2397.4937442103983</v>
      </c>
      <c r="H15" s="192">
        <f ca="1">BalanceSheet!J16-BalanceSheet!I16</f>
        <v>2415.4530370941939</v>
      </c>
      <c r="I15" s="192">
        <f ca="1">BalanceSheet!K16-BalanceSheet!J16</f>
        <v>4660.1224016799097</v>
      </c>
      <c r="J15" s="192">
        <f ca="1">BalanceSheet!L16-BalanceSheet!K16</f>
        <v>4695.0521695190255</v>
      </c>
      <c r="K15" s="192">
        <f ca="1">BalanceSheet!M16-BalanceSheet!L16</f>
        <v>2503.669299719033</v>
      </c>
      <c r="L15" s="192">
        <f ca="1">BalanceSheet!N16-BalanceSheet!M16</f>
        <v>2522.4264536510673</v>
      </c>
      <c r="M15" s="192">
        <f ca="1">BalanceSheet!O16-BalanceSheet!N16</f>
        <v>4767.899687717465</v>
      </c>
      <c r="N15" s="192">
        <f ca="1">BalanceSheet!P16-BalanceSheet!O16</f>
        <v>4803.6393788152782</v>
      </c>
      <c r="O15" s="192">
        <f ca="1">BalanceSheet!Q16-BalanceSheet!P16</f>
        <v>2613.0725317407923</v>
      </c>
      <c r="P15" s="192">
        <f ca="1">BalanceSheet!R16-BalanceSheet!Q16</f>
        <v>2632.6518538995442</v>
      </c>
      <c r="Q15" s="192">
        <f ca="1">BalanceSheet!S16-BalanceSheet!R16</f>
        <v>4878.9534480766451</v>
      </c>
      <c r="R15" s="192">
        <f ca="1">BalanceSheet!T16-BalanceSheet!S16</f>
        <v>4915.5277379028121</v>
      </c>
      <c r="S15" s="192">
        <f ca="1">BalanceSheet!U16-BalanceSheet!T16</f>
        <v>2725.8017752617743</v>
      </c>
      <c r="T15" s="192">
        <f ca="1">BalanceSheet!V16-BalanceSheet!U16</f>
        <v>2746.2283150025323</v>
      </c>
      <c r="U15" s="192">
        <f ca="1">BalanceSheet!W16-BalanceSheet!V16</f>
        <v>4993.3835077130207</v>
      </c>
      <c r="V15" s="192">
        <f ca="1">BalanceSheet!X16-BalanceSheet!W16</f>
        <v>5030.8178251883219</v>
      </c>
      <c r="W15" s="192">
        <f ca="1">BalanceSheet!Y16-BalanceSheet!X16</f>
        <v>2841.9583678409399</v>
      </c>
      <c r="Y15" s="376" t="s">
        <v>260</v>
      </c>
      <c r="Z15" s="230">
        <f t="shared" ca="1" si="1"/>
        <v>13854.322440994858</v>
      </c>
      <c r="AA15" s="230">
        <f t="shared" ca="1" si="0"/>
        <v>14274.296908012162</v>
      </c>
      <c r="AB15" s="230">
        <f t="shared" ca="1" si="0"/>
        <v>14707.038051924603</v>
      </c>
      <c r="AC15" s="230">
        <f t="shared" ca="1" si="0"/>
        <v>15152.934815140776</v>
      </c>
      <c r="AD15" s="361">
        <f t="shared" ca="1" si="0"/>
        <v>15612.388015744815</v>
      </c>
    </row>
    <row r="16" spans="2:30" x14ac:dyDescent="0.3">
      <c r="B16" s="298" t="s">
        <v>261</v>
      </c>
      <c r="D16" s="192">
        <f ca="1">BalanceSheet!F17-BalanceSheet!D17</f>
        <v>1155.8177312499993</v>
      </c>
      <c r="E16" s="192">
        <f ca="1">BalanceSheet!G17-BalanceSheet!F17</f>
        <v>2277.7623613265614</v>
      </c>
      <c r="F16" s="192">
        <f ca="1">BalanceSheet!H17-BalanceSheet!G17</f>
        <v>2294.8342558156692</v>
      </c>
      <c r="G16" s="192">
        <f ca="1">BalanceSheet!I17-BalanceSheet!H17</f>
        <v>1198.7468721051991</v>
      </c>
      <c r="H16" s="192">
        <f ca="1">BalanceSheet!J17-BalanceSheet!I17</f>
        <v>1207.7265185470969</v>
      </c>
      <c r="I16" s="192">
        <f ca="1">BalanceSheet!K17-BalanceSheet!J17</f>
        <v>2330.0612008399548</v>
      </c>
      <c r="J16" s="192">
        <f ca="1">BalanceSheet!L17-BalanceSheet!K17</f>
        <v>2347.5260847595127</v>
      </c>
      <c r="K16" s="192">
        <f ca="1">BalanceSheet!M17-BalanceSheet!L17</f>
        <v>1251.8346498595165</v>
      </c>
      <c r="L16" s="192">
        <f ca="1">BalanceSheet!N17-BalanceSheet!M17</f>
        <v>1261.2132268255336</v>
      </c>
      <c r="M16" s="192">
        <f ca="1">BalanceSheet!O17-BalanceSheet!N17</f>
        <v>2383.9498438587325</v>
      </c>
      <c r="N16" s="192">
        <f ca="1">BalanceSheet!P17-BalanceSheet!O17</f>
        <v>2401.8196894076391</v>
      </c>
      <c r="O16" s="192">
        <f ca="1">BalanceSheet!Q17-BalanceSheet!P17</f>
        <v>1306.5362658703962</v>
      </c>
      <c r="P16" s="192">
        <f ca="1">BalanceSheet!R17-BalanceSheet!Q17</f>
        <v>1316.3259269497721</v>
      </c>
      <c r="Q16" s="192">
        <f ca="1">BalanceSheet!S17-BalanceSheet!R17</f>
        <v>2439.4767240383226</v>
      </c>
      <c r="R16" s="192">
        <f ca="1">BalanceSheet!T17-BalanceSheet!S17</f>
        <v>2457.763868951406</v>
      </c>
      <c r="S16" s="192">
        <f ca="1">BalanceSheet!U17-BalanceSheet!T17</f>
        <v>1362.9008876308872</v>
      </c>
      <c r="T16" s="192">
        <f ca="1">BalanceSheet!V17-BalanceSheet!U17</f>
        <v>1373.1141575012662</v>
      </c>
      <c r="U16" s="192">
        <f ca="1">BalanceSheet!W17-BalanceSheet!V17</f>
        <v>2496.6917538565103</v>
      </c>
      <c r="V16" s="192">
        <f ca="1">BalanceSheet!X17-BalanceSheet!W17</f>
        <v>2515.4089125941609</v>
      </c>
      <c r="W16" s="192">
        <f ca="1">BalanceSheet!Y17-BalanceSheet!X17</f>
        <v>1420.9791839204699</v>
      </c>
      <c r="Y16" s="376" t="s">
        <v>261</v>
      </c>
      <c r="Z16" s="230">
        <f t="shared" ca="1" si="1"/>
        <v>6927.161220497429</v>
      </c>
      <c r="AA16" s="230">
        <f t="shared" ca="1" si="0"/>
        <v>7137.148454006081</v>
      </c>
      <c r="AB16" s="230">
        <f t="shared" ca="1" si="0"/>
        <v>7353.5190259623014</v>
      </c>
      <c r="AC16" s="230">
        <f t="shared" ca="1" si="0"/>
        <v>7576.4674075703879</v>
      </c>
      <c r="AD16" s="361">
        <f t="shared" ca="1" si="0"/>
        <v>7806.1940078724074</v>
      </c>
    </row>
    <row r="17" spans="2:30" x14ac:dyDescent="0.3">
      <c r="B17" s="299" t="s">
        <v>262</v>
      </c>
      <c r="D17" s="337">
        <f ca="1">SUM(D14:D16,D10:D12)</f>
        <v>-206891.37389374993</v>
      </c>
      <c r="E17" s="337">
        <f t="shared" ref="E17:W17" ca="1" si="2">SUM(E14:E16,E10:E12)</f>
        <v>-407719.4626774544</v>
      </c>
      <c r="F17" s="337">
        <f t="shared" ca="1" si="2"/>
        <v>-410775.33179100486</v>
      </c>
      <c r="G17" s="337">
        <f t="shared" ca="1" si="2"/>
        <v>-214575.69010683044</v>
      </c>
      <c r="H17" s="337">
        <f t="shared" ca="1" si="2"/>
        <v>-216183.04681993037</v>
      </c>
      <c r="I17" s="337">
        <f t="shared" ca="1" si="2"/>
        <v>-417080.9549503522</v>
      </c>
      <c r="J17" s="337">
        <f t="shared" ca="1" si="2"/>
        <v>-420207.16917195235</v>
      </c>
      <c r="K17" s="337">
        <f t="shared" ca="1" si="2"/>
        <v>-224078.40232485364</v>
      </c>
      <c r="L17" s="337">
        <f t="shared" ca="1" si="2"/>
        <v>-225757.16760177066</v>
      </c>
      <c r="M17" s="337">
        <f t="shared" ca="1" si="2"/>
        <v>-426727.02205071307</v>
      </c>
      <c r="N17" s="337">
        <f t="shared" ca="1" si="2"/>
        <v>-429925.72440396715</v>
      </c>
      <c r="O17" s="337">
        <f t="shared" ca="1" si="2"/>
        <v>-233869.99159080119</v>
      </c>
      <c r="P17" s="337">
        <f t="shared" ca="1" si="2"/>
        <v>-235622.34092400927</v>
      </c>
      <c r="Q17" s="337">
        <f t="shared" ca="1" si="2"/>
        <v>-436666.33360285917</v>
      </c>
      <c r="R17" s="337">
        <f t="shared" ca="1" si="2"/>
        <v>-439939.73254230269</v>
      </c>
      <c r="S17" s="337">
        <f t="shared" ca="1" si="2"/>
        <v>-243959.2588859275</v>
      </c>
      <c r="T17" s="337">
        <f t="shared" ca="1" si="2"/>
        <v>-245787.43419272697</v>
      </c>
      <c r="U17" s="337">
        <f t="shared" ca="1" si="2"/>
        <v>-446907.82394031563</v>
      </c>
      <c r="V17" s="337">
        <f t="shared" ca="1" si="2"/>
        <v>-450258.19535435463</v>
      </c>
      <c r="W17" s="337">
        <f t="shared" ca="1" si="2"/>
        <v>-254355.27392176466</v>
      </c>
      <c r="Y17" s="377" t="s">
        <v>262</v>
      </c>
      <c r="Z17" s="337">
        <f t="shared" ca="1" si="1"/>
        <v>-1239961.8584690397</v>
      </c>
      <c r="AA17" s="337">
        <f t="shared" ca="1" si="0"/>
        <v>-1277549.5732670887</v>
      </c>
      <c r="AB17" s="337">
        <f t="shared" ca="1" si="0"/>
        <v>-1316279.905647252</v>
      </c>
      <c r="AC17" s="337">
        <f t="shared" ca="1" si="0"/>
        <v>-1356187.6659550986</v>
      </c>
      <c r="AD17" s="379">
        <f t="shared" ca="1" si="0"/>
        <v>-1397308.7274091619</v>
      </c>
    </row>
    <row r="18" spans="2:30" x14ac:dyDescent="0.3">
      <c r="B18" s="299" t="s">
        <v>263</v>
      </c>
      <c r="C18" s="165"/>
      <c r="D18" s="338">
        <f ca="1">D6+D7+D17</f>
        <v>320069.64858224988</v>
      </c>
      <c r="E18" s="338">
        <f t="shared" ref="E18:W18" ca="1" si="3">E6+E7+E17</f>
        <v>300031.93589296815</v>
      </c>
      <c r="F18" s="338">
        <f t="shared" ca="1" si="3"/>
        <v>385190.62533452595</v>
      </c>
      <c r="G18" s="338">
        <f t="shared" ca="1" si="3"/>
        <v>680335.68407055049</v>
      </c>
      <c r="H18" s="338">
        <f t="shared" ca="1" si="3"/>
        <v>778886.6584157371</v>
      </c>
      <c r="I18" s="338">
        <f t="shared" ca="1" si="3"/>
        <v>765829.7293053586</v>
      </c>
      <c r="J18" s="338">
        <f t="shared" ca="1" si="3"/>
        <v>847671.69568086579</v>
      </c>
      <c r="K18" s="338">
        <f t="shared" ca="1" si="3"/>
        <v>1149902.9205109437</v>
      </c>
      <c r="L18" s="338">
        <f t="shared" ca="1" si="3"/>
        <v>1255593.3489077808</v>
      </c>
      <c r="M18" s="338">
        <f t="shared" ca="1" si="3"/>
        <v>1134154.5636192816</v>
      </c>
      <c r="N18" s="338">
        <f t="shared" ca="1" si="3"/>
        <v>1328468.7684375304</v>
      </c>
      <c r="O18" s="338">
        <f t="shared" ca="1" si="3"/>
        <v>1638001.7342428858</v>
      </c>
      <c r="P18" s="338">
        <f t="shared" ca="1" si="3"/>
        <v>1751048.8171434733</v>
      </c>
      <c r="Q18" s="338">
        <f t="shared" ca="1" si="3"/>
        <v>1666347.0139907892</v>
      </c>
      <c r="R18" s="338">
        <f t="shared" ca="1" si="3"/>
        <v>1868128.9458117399</v>
      </c>
      <c r="S18" s="338">
        <f t="shared" ca="1" si="3"/>
        <v>2185185.8038764857</v>
      </c>
      <c r="T18" s="338">
        <f t="shared" ca="1" si="3"/>
        <v>2245438.3678618553</v>
      </c>
      <c r="U18" s="338">
        <f t="shared" ca="1" si="3"/>
        <v>2254624.0613910821</v>
      </c>
      <c r="V18" s="338">
        <f t="shared" ca="1" si="3"/>
        <v>2464100.935490137</v>
      </c>
      <c r="W18" s="338">
        <f t="shared" ca="1" si="3"/>
        <v>2745785.6146800406</v>
      </c>
      <c r="Y18" s="377" t="s">
        <v>263</v>
      </c>
      <c r="Z18" s="338">
        <f t="shared" ca="1" si="1"/>
        <v>1685627.8938802946</v>
      </c>
      <c r="AA18" s="338">
        <f t="shared" ca="1" si="0"/>
        <v>3542291.0039129052</v>
      </c>
      <c r="AB18" s="338">
        <f t="shared" ca="1" si="0"/>
        <v>5356218.4152074791</v>
      </c>
      <c r="AC18" s="338">
        <f t="shared" ca="1" si="0"/>
        <v>7470710.5808224883</v>
      </c>
      <c r="AD18" s="380">
        <f t="shared" ca="1" si="0"/>
        <v>9709948.979423115</v>
      </c>
    </row>
    <row r="19" spans="2:30" x14ac:dyDescent="0.3">
      <c r="Y19" s="343"/>
      <c r="Z19" s="300"/>
      <c r="AA19" s="300"/>
      <c r="AB19" s="300"/>
      <c r="AC19" s="300"/>
      <c r="AD19" s="346"/>
    </row>
    <row r="20" spans="2:30" x14ac:dyDescent="0.3">
      <c r="B20" s="165" t="s">
        <v>264</v>
      </c>
      <c r="Y20" s="375" t="s">
        <v>264</v>
      </c>
      <c r="Z20" s="300"/>
      <c r="AA20" s="300"/>
      <c r="AB20" s="300"/>
      <c r="AC20" s="300"/>
      <c r="AD20" s="346"/>
    </row>
    <row r="21" spans="2:30" x14ac:dyDescent="0.3">
      <c r="B21" s="163" t="s">
        <v>265</v>
      </c>
      <c r="D21" s="192">
        <f>-CapEx!E14</f>
        <v>-1250000</v>
      </c>
      <c r="E21" s="192">
        <f>-CapEx!F14</f>
        <v>-2500000</v>
      </c>
      <c r="F21" s="192">
        <f>-CapEx!G14</f>
        <v>-2500000</v>
      </c>
      <c r="G21" s="192">
        <f>-CapEx!H14</f>
        <v>-1250000</v>
      </c>
      <c r="H21" s="192">
        <f>-CapEx!I14</f>
        <v>-1250000</v>
      </c>
      <c r="I21" s="192">
        <f>-CapEx!J14</f>
        <v>-2500000</v>
      </c>
      <c r="J21" s="192">
        <f>-CapEx!K14</f>
        <v>-2500000</v>
      </c>
      <c r="K21" s="192">
        <f>-CapEx!L14</f>
        <v>-1250000</v>
      </c>
      <c r="L21" s="192">
        <f>-CapEx!M14</f>
        <v>-1250000</v>
      </c>
      <c r="M21" s="192">
        <f>-CapEx!N14</f>
        <v>-2500000</v>
      </c>
      <c r="N21" s="192">
        <f>-CapEx!O14</f>
        <v>-2500000</v>
      </c>
      <c r="O21" s="192">
        <f>-CapEx!P14</f>
        <v>-1250000</v>
      </c>
      <c r="P21" s="192">
        <f>-CapEx!Q14</f>
        <v>-1250000</v>
      </c>
      <c r="Q21" s="192">
        <f>-CapEx!R14</f>
        <v>-2500000</v>
      </c>
      <c r="R21" s="192">
        <f>-CapEx!S14</f>
        <v>-2500000</v>
      </c>
      <c r="S21" s="192">
        <f>-CapEx!T14</f>
        <v>-1250000</v>
      </c>
      <c r="T21" s="192">
        <f>-CapEx!U14</f>
        <v>-1250000</v>
      </c>
      <c r="U21" s="192">
        <f>-CapEx!V14</f>
        <v>-2500000</v>
      </c>
      <c r="V21" s="192">
        <f>-CapEx!W14</f>
        <v>-2500000</v>
      </c>
      <c r="W21" s="192">
        <f>-CapEx!X14</f>
        <v>-1250000</v>
      </c>
      <c r="Y21" s="343" t="s">
        <v>265</v>
      </c>
      <c r="Z21" s="230">
        <f t="shared" si="1"/>
        <v>-7500000</v>
      </c>
      <c r="AA21" s="230">
        <f t="shared" si="0"/>
        <v>-7500000</v>
      </c>
      <c r="AB21" s="230">
        <f t="shared" si="0"/>
        <v>-7500000</v>
      </c>
      <c r="AC21" s="230">
        <f t="shared" si="0"/>
        <v>-7500000</v>
      </c>
      <c r="AD21" s="361">
        <f t="shared" si="0"/>
        <v>-7500000</v>
      </c>
    </row>
    <row r="22" spans="2:30" x14ac:dyDescent="0.3">
      <c r="B22" s="165" t="s">
        <v>266</v>
      </c>
      <c r="C22" s="301"/>
      <c r="D22" s="338">
        <f>D21</f>
        <v>-1250000</v>
      </c>
      <c r="E22" s="338">
        <f t="shared" ref="E22:W22" si="4">E21</f>
        <v>-2500000</v>
      </c>
      <c r="F22" s="338">
        <f t="shared" si="4"/>
        <v>-2500000</v>
      </c>
      <c r="G22" s="338">
        <f t="shared" si="4"/>
        <v>-1250000</v>
      </c>
      <c r="H22" s="338">
        <f t="shared" si="4"/>
        <v>-1250000</v>
      </c>
      <c r="I22" s="338">
        <f t="shared" si="4"/>
        <v>-2500000</v>
      </c>
      <c r="J22" s="338">
        <f t="shared" si="4"/>
        <v>-2500000</v>
      </c>
      <c r="K22" s="338">
        <f t="shared" si="4"/>
        <v>-1250000</v>
      </c>
      <c r="L22" s="338">
        <f t="shared" si="4"/>
        <v>-1250000</v>
      </c>
      <c r="M22" s="338">
        <f t="shared" si="4"/>
        <v>-2500000</v>
      </c>
      <c r="N22" s="338">
        <f t="shared" si="4"/>
        <v>-2500000</v>
      </c>
      <c r="O22" s="338">
        <f t="shared" si="4"/>
        <v>-1250000</v>
      </c>
      <c r="P22" s="338">
        <f t="shared" si="4"/>
        <v>-1250000</v>
      </c>
      <c r="Q22" s="338">
        <f t="shared" si="4"/>
        <v>-2500000</v>
      </c>
      <c r="R22" s="338">
        <f t="shared" si="4"/>
        <v>-2500000</v>
      </c>
      <c r="S22" s="338">
        <f t="shared" si="4"/>
        <v>-1250000</v>
      </c>
      <c r="T22" s="338">
        <f t="shared" si="4"/>
        <v>-1250000</v>
      </c>
      <c r="U22" s="338">
        <f t="shared" si="4"/>
        <v>-2500000</v>
      </c>
      <c r="V22" s="338">
        <f t="shared" si="4"/>
        <v>-2500000</v>
      </c>
      <c r="W22" s="338">
        <f t="shared" si="4"/>
        <v>-1250000</v>
      </c>
      <c r="Y22" s="375" t="s">
        <v>266</v>
      </c>
      <c r="Z22" s="338">
        <f t="shared" si="1"/>
        <v>-7500000</v>
      </c>
      <c r="AA22" s="338">
        <f t="shared" si="1"/>
        <v>-7500000</v>
      </c>
      <c r="AB22" s="338">
        <f t="shared" si="1"/>
        <v>-7500000</v>
      </c>
      <c r="AC22" s="338">
        <f t="shared" si="1"/>
        <v>-7500000</v>
      </c>
      <c r="AD22" s="380">
        <f t="shared" si="1"/>
        <v>-7500000</v>
      </c>
    </row>
    <row r="23" spans="2:30" x14ac:dyDescent="0.3">
      <c r="Y23" s="343"/>
      <c r="Z23" s="300"/>
      <c r="AA23" s="300"/>
      <c r="AB23" s="300"/>
      <c r="AC23" s="300"/>
      <c r="AD23" s="346"/>
    </row>
    <row r="24" spans="2:30" x14ac:dyDescent="0.3">
      <c r="B24" s="165" t="s">
        <v>267</v>
      </c>
      <c r="Y24" s="375" t="s">
        <v>267</v>
      </c>
      <c r="Z24" s="300"/>
      <c r="AA24" s="300"/>
      <c r="AB24" s="300"/>
      <c r="AC24" s="300"/>
      <c r="AD24" s="346"/>
    </row>
    <row r="25" spans="2:30" x14ac:dyDescent="0.3">
      <c r="B25" s="163" t="s">
        <v>268</v>
      </c>
      <c r="D25" s="192">
        <f>BalanceSheet!F20-BalanceSheet!D20</f>
        <v>0</v>
      </c>
      <c r="E25" s="192">
        <f>BalanceSheet!G20-BalanceSheet!F20</f>
        <v>0</v>
      </c>
      <c r="F25" s="192">
        <f>BalanceSheet!H20-BalanceSheet!G20</f>
        <v>0</v>
      </c>
      <c r="G25" s="192">
        <f>BalanceSheet!I20-BalanceSheet!H20</f>
        <v>0</v>
      </c>
      <c r="H25" s="192">
        <f>BalanceSheet!J20-BalanceSheet!I20</f>
        <v>0</v>
      </c>
      <c r="I25" s="192">
        <f>BalanceSheet!K20-BalanceSheet!J20</f>
        <v>0</v>
      </c>
      <c r="J25" s="192">
        <f>BalanceSheet!L20-BalanceSheet!K20</f>
        <v>0</v>
      </c>
      <c r="K25" s="192">
        <f>BalanceSheet!M20-BalanceSheet!L20</f>
        <v>0</v>
      </c>
      <c r="L25" s="192">
        <f>BalanceSheet!N20-BalanceSheet!M20</f>
        <v>0</v>
      </c>
      <c r="M25" s="192">
        <f>BalanceSheet!O20-BalanceSheet!N20</f>
        <v>0</v>
      </c>
      <c r="N25" s="192">
        <f>BalanceSheet!P20-BalanceSheet!O20</f>
        <v>0</v>
      </c>
      <c r="O25" s="192">
        <f>BalanceSheet!Q20-BalanceSheet!P20</f>
        <v>0</v>
      </c>
      <c r="P25" s="192">
        <f>BalanceSheet!R20-BalanceSheet!Q20</f>
        <v>0</v>
      </c>
      <c r="Q25" s="192">
        <f>BalanceSheet!S20-BalanceSheet!R20</f>
        <v>0</v>
      </c>
      <c r="R25" s="192">
        <f>BalanceSheet!T20-BalanceSheet!S20</f>
        <v>0</v>
      </c>
      <c r="S25" s="192">
        <f>BalanceSheet!U20-BalanceSheet!T20</f>
        <v>0</v>
      </c>
      <c r="T25" s="192">
        <f>BalanceSheet!V20-BalanceSheet!U20</f>
        <v>0</v>
      </c>
      <c r="U25" s="192">
        <f>BalanceSheet!W20-BalanceSheet!V20</f>
        <v>0</v>
      </c>
      <c r="V25" s="192">
        <f>BalanceSheet!X20-BalanceSheet!W20</f>
        <v>0</v>
      </c>
      <c r="W25" s="192">
        <f>BalanceSheet!Y20-BalanceSheet!X20</f>
        <v>0</v>
      </c>
      <c r="Y25" s="343" t="s">
        <v>268</v>
      </c>
      <c r="Z25" s="230">
        <f>SUMIFS($D25:$W25,$D$2:$W$2,Z$5)</f>
        <v>0</v>
      </c>
      <c r="AA25" s="230">
        <f t="shared" si="1"/>
        <v>0</v>
      </c>
      <c r="AB25" s="230">
        <f t="shared" si="1"/>
        <v>0</v>
      </c>
      <c r="AC25" s="230">
        <f t="shared" si="1"/>
        <v>0</v>
      </c>
      <c r="AD25" s="361">
        <f t="shared" si="1"/>
        <v>0</v>
      </c>
    </row>
    <row r="26" spans="2:30" x14ac:dyDescent="0.3">
      <c r="B26" s="165" t="s">
        <v>269</v>
      </c>
      <c r="D26" s="338">
        <f>D25</f>
        <v>0</v>
      </c>
      <c r="E26" s="338">
        <f t="shared" ref="E26:W26" si="5">E25</f>
        <v>0</v>
      </c>
      <c r="F26" s="338">
        <f t="shared" si="5"/>
        <v>0</v>
      </c>
      <c r="G26" s="338">
        <f t="shared" si="5"/>
        <v>0</v>
      </c>
      <c r="H26" s="338">
        <f t="shared" si="5"/>
        <v>0</v>
      </c>
      <c r="I26" s="338">
        <f t="shared" si="5"/>
        <v>0</v>
      </c>
      <c r="J26" s="338">
        <f t="shared" si="5"/>
        <v>0</v>
      </c>
      <c r="K26" s="338">
        <f t="shared" si="5"/>
        <v>0</v>
      </c>
      <c r="L26" s="338">
        <f t="shared" si="5"/>
        <v>0</v>
      </c>
      <c r="M26" s="338">
        <f t="shared" si="5"/>
        <v>0</v>
      </c>
      <c r="N26" s="338">
        <f t="shared" si="5"/>
        <v>0</v>
      </c>
      <c r="O26" s="338">
        <f t="shared" si="5"/>
        <v>0</v>
      </c>
      <c r="P26" s="338">
        <f t="shared" si="5"/>
        <v>0</v>
      </c>
      <c r="Q26" s="338">
        <f t="shared" si="5"/>
        <v>0</v>
      </c>
      <c r="R26" s="338">
        <f t="shared" si="5"/>
        <v>0</v>
      </c>
      <c r="S26" s="338">
        <f t="shared" si="5"/>
        <v>0</v>
      </c>
      <c r="T26" s="338">
        <f t="shared" si="5"/>
        <v>0</v>
      </c>
      <c r="U26" s="338">
        <f t="shared" si="5"/>
        <v>0</v>
      </c>
      <c r="V26" s="338">
        <f t="shared" si="5"/>
        <v>0</v>
      </c>
      <c r="W26" s="338">
        <f t="shared" si="5"/>
        <v>0</v>
      </c>
      <c r="X26" s="300"/>
      <c r="Y26" s="375" t="s">
        <v>269</v>
      </c>
      <c r="Z26" s="338">
        <f t="shared" si="1"/>
        <v>0</v>
      </c>
      <c r="AA26" s="338">
        <f t="shared" si="1"/>
        <v>0</v>
      </c>
      <c r="AB26" s="338">
        <f t="shared" si="1"/>
        <v>0</v>
      </c>
      <c r="AC26" s="338">
        <f t="shared" si="1"/>
        <v>0</v>
      </c>
      <c r="AD26" s="380">
        <f t="shared" si="1"/>
        <v>0</v>
      </c>
    </row>
    <row r="27" spans="2:30" x14ac:dyDescent="0.3">
      <c r="F27" s="167"/>
      <c r="G27" s="167"/>
      <c r="H27" s="167"/>
      <c r="I27" s="167"/>
      <c r="J27" s="167"/>
      <c r="K27" s="167"/>
      <c r="L27" s="167"/>
      <c r="M27" s="167"/>
      <c r="N27" s="167"/>
      <c r="O27" s="167"/>
      <c r="P27" s="167"/>
      <c r="Q27" s="167"/>
      <c r="R27" s="167"/>
      <c r="S27" s="167"/>
      <c r="T27" s="167"/>
      <c r="U27" s="167"/>
      <c r="V27" s="167"/>
      <c r="W27" s="167"/>
      <c r="Y27" s="343"/>
      <c r="Z27" s="337"/>
      <c r="AA27" s="337"/>
      <c r="AB27" s="337"/>
      <c r="AC27" s="337"/>
      <c r="AD27" s="379"/>
    </row>
    <row r="28" spans="2:30" ht="14.5" thickBot="1" x14ac:dyDescent="0.35">
      <c r="B28" s="165" t="s">
        <v>270</v>
      </c>
      <c r="D28" s="180">
        <f ca="1">D26+D22+D18</f>
        <v>-929930.35141775012</v>
      </c>
      <c r="E28" s="180">
        <f t="shared" ref="E28:W28" ca="1" si="6">E26+E22+E18</f>
        <v>-2199968.064107032</v>
      </c>
      <c r="F28" s="180">
        <f t="shared" ca="1" si="6"/>
        <v>-2114809.3746654741</v>
      </c>
      <c r="G28" s="180">
        <f t="shared" ca="1" si="6"/>
        <v>-569664.31592944951</v>
      </c>
      <c r="H28" s="180">
        <f t="shared" ca="1" si="6"/>
        <v>-471113.3415842629</v>
      </c>
      <c r="I28" s="180">
        <f t="shared" ca="1" si="6"/>
        <v>-1734170.2706946414</v>
      </c>
      <c r="J28" s="180">
        <f t="shared" ca="1" si="6"/>
        <v>-1652328.3043191342</v>
      </c>
      <c r="K28" s="180">
        <f t="shared" ca="1" si="6"/>
        <v>-100097.07948905625</v>
      </c>
      <c r="L28" s="180">
        <f t="shared" ca="1" si="6"/>
        <v>5593.3489077808335</v>
      </c>
      <c r="M28" s="180">
        <f t="shared" ca="1" si="6"/>
        <v>-1365845.4363807184</v>
      </c>
      <c r="N28" s="180">
        <f t="shared" ca="1" si="6"/>
        <v>-1171531.2315624696</v>
      </c>
      <c r="O28" s="180">
        <f t="shared" ca="1" si="6"/>
        <v>388001.73424288584</v>
      </c>
      <c r="P28" s="180">
        <f t="shared" ca="1" si="6"/>
        <v>501048.81714347331</v>
      </c>
      <c r="Q28" s="180">
        <f t="shared" ca="1" si="6"/>
        <v>-833652.98600921081</v>
      </c>
      <c r="R28" s="180">
        <f t="shared" ca="1" si="6"/>
        <v>-631871.05418826011</v>
      </c>
      <c r="S28" s="180">
        <f t="shared" ca="1" si="6"/>
        <v>935185.80387648568</v>
      </c>
      <c r="T28" s="180">
        <f t="shared" ca="1" si="6"/>
        <v>995438.36786185531</v>
      </c>
      <c r="U28" s="180">
        <f t="shared" ca="1" si="6"/>
        <v>-245375.93860891787</v>
      </c>
      <c r="V28" s="180">
        <f t="shared" ca="1" si="6"/>
        <v>-35899.064509863034</v>
      </c>
      <c r="W28" s="180">
        <f t="shared" ca="1" si="6"/>
        <v>1495785.6146800406</v>
      </c>
      <c r="Y28" s="375" t="s">
        <v>270</v>
      </c>
      <c r="Z28" s="180">
        <f t="shared" ca="1" si="1"/>
        <v>-5814372.1061197054</v>
      </c>
      <c r="AA28" s="180">
        <f t="shared" ca="1" si="1"/>
        <v>-3957708.9960870948</v>
      </c>
      <c r="AB28" s="180">
        <f t="shared" ca="1" si="1"/>
        <v>-2143781.5847925213</v>
      </c>
      <c r="AC28" s="180">
        <f t="shared" ca="1" si="1"/>
        <v>-29289.41917751194</v>
      </c>
      <c r="AD28" s="381">
        <f t="shared" ca="1" si="1"/>
        <v>2209948.979423115</v>
      </c>
    </row>
    <row r="29" spans="2:30" ht="14.5" thickTop="1" x14ac:dyDescent="0.3">
      <c r="F29" s="167"/>
      <c r="G29" s="167"/>
      <c r="H29" s="167"/>
      <c r="I29" s="167"/>
      <c r="J29" s="167"/>
      <c r="K29" s="167"/>
      <c r="L29" s="167"/>
      <c r="M29" s="167"/>
      <c r="N29" s="167"/>
      <c r="O29" s="167"/>
      <c r="P29" s="167"/>
      <c r="Q29" s="167"/>
      <c r="R29" s="167"/>
      <c r="S29" s="167"/>
      <c r="T29" s="167"/>
      <c r="U29" s="167"/>
      <c r="V29" s="167"/>
      <c r="W29" s="167"/>
      <c r="Y29" s="343"/>
      <c r="Z29" s="337"/>
      <c r="AA29" s="337"/>
      <c r="AB29" s="337"/>
      <c r="AC29" s="337"/>
      <c r="AD29" s="379"/>
    </row>
    <row r="30" spans="2:30" x14ac:dyDescent="0.3">
      <c r="B30" s="165" t="s">
        <v>271</v>
      </c>
      <c r="D30" s="192">
        <f>BalanceSheet!D6</f>
        <v>10000000</v>
      </c>
      <c r="E30" s="167">
        <f ca="1">D31</f>
        <v>9070069.6485822499</v>
      </c>
      <c r="F30" s="167">
        <f t="shared" ref="F30:W30" ca="1" si="7">E31</f>
        <v>6870101.5844752174</v>
      </c>
      <c r="G30" s="167">
        <f t="shared" ca="1" si="7"/>
        <v>4755292.2098097429</v>
      </c>
      <c r="H30" s="167">
        <f t="shared" ca="1" si="7"/>
        <v>4185627.8938802932</v>
      </c>
      <c r="I30" s="167">
        <f t="shared" ca="1" si="7"/>
        <v>3714514.5522960303</v>
      </c>
      <c r="J30" s="167">
        <f t="shared" ca="1" si="7"/>
        <v>1980344.2816013889</v>
      </c>
      <c r="K30" s="167">
        <f t="shared" ca="1" si="7"/>
        <v>328015.97728225472</v>
      </c>
      <c r="L30" s="167">
        <f t="shared" ca="1" si="7"/>
        <v>227918.89779319847</v>
      </c>
      <c r="M30" s="167">
        <f t="shared" ca="1" si="7"/>
        <v>233512.2467009793</v>
      </c>
      <c r="N30" s="167">
        <f t="shared" ca="1" si="7"/>
        <v>-1132333.1896797391</v>
      </c>
      <c r="O30" s="167">
        <f t="shared" ca="1" si="7"/>
        <v>-2303864.4212422087</v>
      </c>
      <c r="P30" s="167">
        <f t="shared" ca="1" si="7"/>
        <v>-1915862.6869993228</v>
      </c>
      <c r="Q30" s="167">
        <f t="shared" ca="1" si="7"/>
        <v>-1414813.8698558495</v>
      </c>
      <c r="R30" s="167">
        <f t="shared" ca="1" si="7"/>
        <v>-2248466.8558650604</v>
      </c>
      <c r="S30" s="167">
        <f t="shared" ca="1" si="7"/>
        <v>-2880337.9100533202</v>
      </c>
      <c r="T30" s="167">
        <f t="shared" ca="1" si="7"/>
        <v>-1945152.1061768346</v>
      </c>
      <c r="U30" s="167">
        <f t="shared" ca="1" si="7"/>
        <v>-949713.73831497924</v>
      </c>
      <c r="V30" s="167">
        <f t="shared" ca="1" si="7"/>
        <v>-1195089.6769238971</v>
      </c>
      <c r="W30" s="167">
        <f t="shared" ca="1" si="7"/>
        <v>-1230988.7414337602</v>
      </c>
      <c r="Y30" s="375" t="s">
        <v>271</v>
      </c>
      <c r="Z30" s="337">
        <f>D30</f>
        <v>10000000</v>
      </c>
      <c r="AA30" s="337">
        <f ca="1">Z31</f>
        <v>4185627.8938802946</v>
      </c>
      <c r="AB30" s="337">
        <f t="shared" ref="AB30:AD30" ca="1" si="8">AA31</f>
        <v>227918.89779319987</v>
      </c>
      <c r="AC30" s="337">
        <f t="shared" ca="1" si="8"/>
        <v>-1915862.6869993214</v>
      </c>
      <c r="AD30" s="379">
        <f t="shared" ca="1" si="8"/>
        <v>-1945152.1061768334</v>
      </c>
    </row>
    <row r="31" spans="2:30" ht="14.5" thickBot="1" x14ac:dyDescent="0.35">
      <c r="B31" s="165" t="s">
        <v>272</v>
      </c>
      <c r="C31" s="165"/>
      <c r="D31" s="179">
        <f ca="1">D30+D28</f>
        <v>9070069.6485822499</v>
      </c>
      <c r="E31" s="179">
        <f ca="1">E30+E28</f>
        <v>6870101.5844752174</v>
      </c>
      <c r="F31" s="179">
        <f t="shared" ref="F31:W31" ca="1" si="9">F30+F28</f>
        <v>4755292.2098097429</v>
      </c>
      <c r="G31" s="179">
        <f t="shared" ca="1" si="9"/>
        <v>4185627.8938802932</v>
      </c>
      <c r="H31" s="179">
        <f t="shared" ca="1" si="9"/>
        <v>3714514.5522960303</v>
      </c>
      <c r="I31" s="179">
        <f t="shared" ca="1" si="9"/>
        <v>1980344.2816013889</v>
      </c>
      <c r="J31" s="179">
        <f t="shared" ca="1" si="9"/>
        <v>328015.97728225472</v>
      </c>
      <c r="K31" s="179">
        <f t="shared" ca="1" si="9"/>
        <v>227918.89779319847</v>
      </c>
      <c r="L31" s="179">
        <f t="shared" ca="1" si="9"/>
        <v>233512.2467009793</v>
      </c>
      <c r="M31" s="179">
        <f t="shared" ca="1" si="9"/>
        <v>-1132333.1896797391</v>
      </c>
      <c r="N31" s="179">
        <f t="shared" ca="1" si="9"/>
        <v>-2303864.4212422087</v>
      </c>
      <c r="O31" s="179">
        <f t="shared" ca="1" si="9"/>
        <v>-1915862.6869993228</v>
      </c>
      <c r="P31" s="179">
        <f t="shared" ca="1" si="9"/>
        <v>-1414813.8698558495</v>
      </c>
      <c r="Q31" s="179">
        <f t="shared" ca="1" si="9"/>
        <v>-2248466.8558650604</v>
      </c>
      <c r="R31" s="179">
        <f t="shared" ca="1" si="9"/>
        <v>-2880337.9100533202</v>
      </c>
      <c r="S31" s="179">
        <f t="shared" ca="1" si="9"/>
        <v>-1945152.1061768346</v>
      </c>
      <c r="T31" s="179">
        <f t="shared" ca="1" si="9"/>
        <v>-949713.73831497924</v>
      </c>
      <c r="U31" s="179">
        <f t="shared" ca="1" si="9"/>
        <v>-1195089.6769238971</v>
      </c>
      <c r="V31" s="179">
        <f t="shared" ca="1" si="9"/>
        <v>-1230988.7414337602</v>
      </c>
      <c r="W31" s="179">
        <f t="shared" ca="1" si="9"/>
        <v>264796.87324628048</v>
      </c>
      <c r="Y31" s="378" t="s">
        <v>272</v>
      </c>
      <c r="Z31" s="382">
        <f ca="1">Z30+Z28</f>
        <v>4185627.8938802946</v>
      </c>
      <c r="AA31" s="382">
        <f t="shared" ref="AA31:AD31" ca="1" si="10">AA30+AA28</f>
        <v>227918.89779319987</v>
      </c>
      <c r="AB31" s="382">
        <f t="shared" ca="1" si="10"/>
        <v>-1915862.6869993214</v>
      </c>
      <c r="AC31" s="382">
        <f t="shared" ca="1" si="10"/>
        <v>-1945152.1061768334</v>
      </c>
      <c r="AD31" s="383">
        <f t="shared" ca="1" si="10"/>
        <v>264796.87324628164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
  <sheetViews>
    <sheetView workbookViewId="0">
      <selection activeCell="L32" sqref="L32"/>
    </sheetView>
  </sheetViews>
  <sheetFormatPr defaultRowHeight="14" x14ac:dyDescent="0.3"/>
  <cols>
    <col min="1" max="10" width="8.7265625" style="163"/>
    <col min="11" max="11" width="10.453125" style="163" bestFit="1" customWidth="1"/>
    <col min="12" max="16384" width="8.7265625" style="163"/>
  </cols>
  <sheetData>
    <row r="1" spans="1:11" x14ac:dyDescent="0.3">
      <c r="A1" s="163" t="s">
        <v>79</v>
      </c>
      <c r="B1" s="163" t="s">
        <v>82</v>
      </c>
      <c r="C1" s="163">
        <v>1</v>
      </c>
      <c r="D1" s="163">
        <v>1</v>
      </c>
      <c r="G1" s="424" t="s">
        <v>287</v>
      </c>
      <c r="H1" s="423"/>
      <c r="I1" s="423"/>
      <c r="K1" s="163" t="s">
        <v>312</v>
      </c>
    </row>
    <row r="2" spans="1:11" ht="15.5" x14ac:dyDescent="0.3">
      <c r="A2" s="163" t="s">
        <v>80</v>
      </c>
      <c r="B2" s="163" t="s">
        <v>83</v>
      </c>
      <c r="C2" s="163">
        <v>2</v>
      </c>
      <c r="D2" s="163">
        <v>2</v>
      </c>
      <c r="H2" s="408" t="s">
        <v>286</v>
      </c>
      <c r="I2" s="408" t="s">
        <v>288</v>
      </c>
      <c r="K2" s="163" t="s">
        <v>313</v>
      </c>
    </row>
    <row r="3" spans="1:11" ht="15.5" x14ac:dyDescent="0.3">
      <c r="B3" s="163" t="s">
        <v>84</v>
      </c>
      <c r="D3" s="163">
        <v>3</v>
      </c>
      <c r="G3" s="163" t="s">
        <v>15</v>
      </c>
      <c r="H3" s="408">
        <v>1</v>
      </c>
      <c r="I3" s="408">
        <v>5</v>
      </c>
      <c r="K3" s="163" t="s">
        <v>314</v>
      </c>
    </row>
    <row r="4" spans="1:11" ht="15.5" x14ac:dyDescent="0.3">
      <c r="B4" s="163" t="s">
        <v>85</v>
      </c>
      <c r="G4" s="163" t="s">
        <v>289</v>
      </c>
      <c r="H4" s="408">
        <v>5</v>
      </c>
      <c r="I4" s="408">
        <v>20</v>
      </c>
    </row>
    <row r="5" spans="1:11" x14ac:dyDescent="0.3">
      <c r="B5" s="163"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X16"/>
  <sheetViews>
    <sheetView workbookViewId="0">
      <pane xSplit="3" topLeftCell="D1" activePane="topRight" state="frozen"/>
      <selection pane="topRight" activeCell="E29" sqref="E29"/>
    </sheetView>
  </sheetViews>
  <sheetFormatPr defaultRowHeight="14" x14ac:dyDescent="0.3"/>
  <cols>
    <col min="1" max="1" width="8.7265625" style="163"/>
    <col min="2" max="2" width="52" style="163" bestFit="1" customWidth="1"/>
    <col min="3" max="3" width="25.08984375" style="163" customWidth="1"/>
    <col min="4" max="4" width="3.1796875" style="163" customWidth="1"/>
    <col min="5" max="13" width="17" style="163" bestFit="1" customWidth="1"/>
    <col min="14" max="24" width="18.08984375" style="163" bestFit="1" customWidth="1"/>
    <col min="25" max="16384" width="8.7265625" style="163"/>
  </cols>
  <sheetData>
    <row r="2" spans="2:24" x14ac:dyDescent="0.3">
      <c r="B2" s="305" t="str">
        <f>Inputs!B5</f>
        <v>CAPex Cost for New Stores</v>
      </c>
      <c r="C2" s="191">
        <f>Inputs!C5</f>
        <v>1250000</v>
      </c>
    </row>
    <row r="3" spans="2:24" x14ac:dyDescent="0.3">
      <c r="B3" s="305" t="str">
        <f>Inputs!B6</f>
        <v>Depreciation Expense (Annual Rate based on Beg PP&amp;E)</v>
      </c>
      <c r="C3" s="189">
        <f>Inputs!C6</f>
        <v>0.15</v>
      </c>
    </row>
    <row r="6" spans="2:24" x14ac:dyDescent="0.3">
      <c r="E6" s="306" t="s">
        <v>6</v>
      </c>
      <c r="F6" s="307"/>
      <c r="G6" s="307"/>
      <c r="H6" s="307"/>
      <c r="I6" s="306" t="s">
        <v>7</v>
      </c>
      <c r="J6" s="307"/>
      <c r="K6" s="307"/>
      <c r="L6" s="307"/>
      <c r="M6" s="306" t="s">
        <v>8</v>
      </c>
      <c r="N6" s="307"/>
      <c r="O6" s="307"/>
      <c r="P6" s="307"/>
      <c r="Q6" s="306" t="s">
        <v>9</v>
      </c>
      <c r="R6" s="307"/>
      <c r="S6" s="307"/>
      <c r="T6" s="307"/>
      <c r="U6" s="306" t="s">
        <v>10</v>
      </c>
      <c r="V6" s="307"/>
      <c r="W6" s="307"/>
      <c r="X6" s="307"/>
    </row>
    <row r="7" spans="2:24" x14ac:dyDescent="0.3">
      <c r="E7" s="308" t="s">
        <v>11</v>
      </c>
      <c r="F7" s="308" t="s">
        <v>12</v>
      </c>
      <c r="G7" s="308" t="s">
        <v>13</v>
      </c>
      <c r="H7" s="308" t="s">
        <v>14</v>
      </c>
      <c r="I7" s="308" t="s">
        <v>11</v>
      </c>
      <c r="J7" s="308" t="s">
        <v>12</v>
      </c>
      <c r="K7" s="308" t="s">
        <v>13</v>
      </c>
      <c r="L7" s="308" t="s">
        <v>14</v>
      </c>
      <c r="M7" s="308" t="s">
        <v>11</v>
      </c>
      <c r="N7" s="308" t="s">
        <v>12</v>
      </c>
      <c r="O7" s="308" t="s">
        <v>13</v>
      </c>
      <c r="P7" s="308" t="s">
        <v>14</v>
      </c>
      <c r="Q7" s="308" t="s">
        <v>11</v>
      </c>
      <c r="R7" s="308" t="s">
        <v>12</v>
      </c>
      <c r="S7" s="308" t="s">
        <v>13</v>
      </c>
      <c r="T7" s="308" t="s">
        <v>14</v>
      </c>
      <c r="U7" s="308" t="s">
        <v>11</v>
      </c>
      <c r="V7" s="308" t="s">
        <v>12</v>
      </c>
      <c r="W7" s="308" t="s">
        <v>13</v>
      </c>
      <c r="X7" s="308" t="s">
        <v>14</v>
      </c>
    </row>
    <row r="8" spans="2:24" x14ac:dyDescent="0.3">
      <c r="C8" s="163" t="s">
        <v>224</v>
      </c>
      <c r="E8" s="258">
        <v>0.25</v>
      </c>
      <c r="F8" s="258">
        <v>0.25</v>
      </c>
      <c r="G8" s="258">
        <v>0.25</v>
      </c>
      <c r="H8" s="258">
        <v>0.25</v>
      </c>
      <c r="I8" s="258">
        <v>0.25</v>
      </c>
      <c r="J8" s="258">
        <v>0.25</v>
      </c>
      <c r="K8" s="258">
        <v>0.25</v>
      </c>
      <c r="L8" s="258">
        <v>0.25</v>
      </c>
      <c r="M8" s="258">
        <v>0.25</v>
      </c>
      <c r="N8" s="258">
        <v>0.25</v>
      </c>
      <c r="O8" s="258">
        <v>0.25</v>
      </c>
      <c r="P8" s="258">
        <v>0.25</v>
      </c>
      <c r="Q8" s="258">
        <v>0.25</v>
      </c>
      <c r="R8" s="258">
        <v>0.25</v>
      </c>
      <c r="S8" s="258">
        <v>0.25</v>
      </c>
      <c r="T8" s="258">
        <v>0.25</v>
      </c>
      <c r="U8" s="258">
        <v>0.25</v>
      </c>
      <c r="V8" s="258">
        <v>0.25</v>
      </c>
      <c r="W8" s="258">
        <v>0.25</v>
      </c>
      <c r="X8" s="258">
        <v>0.25</v>
      </c>
    </row>
    <row r="9" spans="2:24" x14ac:dyDescent="0.3">
      <c r="C9" s="163" t="s">
        <v>243</v>
      </c>
      <c r="E9" s="195">
        <f>'Inc_Stm_New_Stores---&gt;'!G9</f>
        <v>1</v>
      </c>
      <c r="F9" s="195">
        <f>'Inc_Stm_New_Stores---&gt;'!H9</f>
        <v>2</v>
      </c>
      <c r="G9" s="195">
        <f>'Inc_Stm_New_Stores---&gt;'!I9</f>
        <v>2</v>
      </c>
      <c r="H9" s="195">
        <f>'Inc_Stm_New_Stores---&gt;'!J9</f>
        <v>1</v>
      </c>
      <c r="I9" s="195">
        <f>'Inc_Stm_New_Stores---&gt;'!K9</f>
        <v>1</v>
      </c>
      <c r="J9" s="195">
        <f>'Inc_Stm_New_Stores---&gt;'!L9</f>
        <v>2</v>
      </c>
      <c r="K9" s="195">
        <f>'Inc_Stm_New_Stores---&gt;'!M9</f>
        <v>2</v>
      </c>
      <c r="L9" s="195">
        <f>'Inc_Stm_New_Stores---&gt;'!N9</f>
        <v>1</v>
      </c>
      <c r="M9" s="195">
        <f>'Inc_Stm_New_Stores---&gt;'!O9</f>
        <v>1</v>
      </c>
      <c r="N9" s="195">
        <f>'Inc_Stm_New_Stores---&gt;'!P9</f>
        <v>2</v>
      </c>
      <c r="O9" s="195">
        <f>'Inc_Stm_New_Stores---&gt;'!Q9</f>
        <v>2</v>
      </c>
      <c r="P9" s="195">
        <f>'Inc_Stm_New_Stores---&gt;'!R9</f>
        <v>1</v>
      </c>
      <c r="Q9" s="195">
        <f>'Inc_Stm_New_Stores---&gt;'!S9</f>
        <v>1</v>
      </c>
      <c r="R9" s="195">
        <f>'Inc_Stm_New_Stores---&gt;'!T9</f>
        <v>2</v>
      </c>
      <c r="S9" s="195">
        <f>'Inc_Stm_New_Stores---&gt;'!U9</f>
        <v>2</v>
      </c>
      <c r="T9" s="195">
        <f>'Inc_Stm_New_Stores---&gt;'!V9</f>
        <v>1</v>
      </c>
      <c r="U9" s="195">
        <f>'Inc_Stm_New_Stores---&gt;'!W9</f>
        <v>1</v>
      </c>
      <c r="V9" s="195">
        <f>'Inc_Stm_New_Stores---&gt;'!X9</f>
        <v>2</v>
      </c>
      <c r="W9" s="195">
        <f>'Inc_Stm_New_Stores---&gt;'!Y9</f>
        <v>2</v>
      </c>
      <c r="X9" s="195">
        <f>'Inc_Stm_New_Stores---&gt;'!Z9</f>
        <v>1</v>
      </c>
    </row>
    <row r="10" spans="2:24" x14ac:dyDescent="0.3">
      <c r="C10" s="163" t="s">
        <v>244</v>
      </c>
      <c r="E10" s="167">
        <f>E$9*$C$2</f>
        <v>1250000</v>
      </c>
      <c r="F10" s="167">
        <f t="shared" ref="F10:X10" si="0">F$9*$C$2</f>
        <v>2500000</v>
      </c>
      <c r="G10" s="167">
        <f t="shared" si="0"/>
        <v>2500000</v>
      </c>
      <c r="H10" s="167">
        <f t="shared" si="0"/>
        <v>1250000</v>
      </c>
      <c r="I10" s="167">
        <f t="shared" si="0"/>
        <v>1250000</v>
      </c>
      <c r="J10" s="167">
        <f t="shared" si="0"/>
        <v>2500000</v>
      </c>
      <c r="K10" s="167">
        <f t="shared" si="0"/>
        <v>2500000</v>
      </c>
      <c r="L10" s="167">
        <f t="shared" si="0"/>
        <v>1250000</v>
      </c>
      <c r="M10" s="167">
        <f t="shared" si="0"/>
        <v>1250000</v>
      </c>
      <c r="N10" s="167">
        <f t="shared" si="0"/>
        <v>2500000</v>
      </c>
      <c r="O10" s="167">
        <f t="shared" si="0"/>
        <v>2500000</v>
      </c>
      <c r="P10" s="167">
        <f t="shared" si="0"/>
        <v>1250000</v>
      </c>
      <c r="Q10" s="167">
        <f t="shared" si="0"/>
        <v>1250000</v>
      </c>
      <c r="R10" s="167">
        <f t="shared" si="0"/>
        <v>2500000</v>
      </c>
      <c r="S10" s="167">
        <f t="shared" si="0"/>
        <v>2500000</v>
      </c>
      <c r="T10" s="167">
        <f t="shared" si="0"/>
        <v>1250000</v>
      </c>
      <c r="U10" s="167">
        <f t="shared" si="0"/>
        <v>1250000</v>
      </c>
      <c r="V10" s="167">
        <f t="shared" si="0"/>
        <v>2500000</v>
      </c>
      <c r="W10" s="167">
        <f t="shared" si="0"/>
        <v>2500000</v>
      </c>
      <c r="X10" s="167">
        <f t="shared" si="0"/>
        <v>1250000</v>
      </c>
    </row>
    <row r="11" spans="2:24" x14ac:dyDescent="0.3">
      <c r="E11" s="174"/>
      <c r="F11" s="174"/>
      <c r="G11" s="174"/>
      <c r="H11" s="174"/>
      <c r="I11" s="174"/>
      <c r="J11" s="174"/>
      <c r="K11" s="174"/>
      <c r="L11" s="174"/>
      <c r="M11" s="174"/>
      <c r="N11" s="174"/>
      <c r="O11" s="174"/>
      <c r="P11" s="174"/>
      <c r="Q11" s="174"/>
      <c r="R11" s="174"/>
      <c r="S11" s="174"/>
      <c r="T11" s="174"/>
      <c r="U11" s="174"/>
      <c r="V11" s="174"/>
      <c r="W11" s="174"/>
      <c r="X11" s="174"/>
    </row>
    <row r="12" spans="2:24" x14ac:dyDescent="0.3">
      <c r="C12" s="163" t="s">
        <v>248</v>
      </c>
      <c r="E12" s="192">
        <f>Inputs!D86</f>
        <v>4000000</v>
      </c>
      <c r="F12" s="174">
        <f>E15</f>
        <v>5100000</v>
      </c>
      <c r="G12" s="174">
        <f t="shared" ref="G12:X12" si="1">F15</f>
        <v>7408750</v>
      </c>
      <c r="H12" s="174">
        <f t="shared" si="1"/>
        <v>9630921.875</v>
      </c>
      <c r="I12" s="174">
        <f t="shared" si="1"/>
        <v>10519762.3046875</v>
      </c>
      <c r="J12" s="174">
        <f t="shared" si="1"/>
        <v>11375271.218261719</v>
      </c>
      <c r="K12" s="174">
        <f t="shared" si="1"/>
        <v>13448698.547576904</v>
      </c>
      <c r="L12" s="174">
        <f t="shared" si="1"/>
        <v>15444372.35204277</v>
      </c>
      <c r="M12" s="174">
        <f t="shared" si="1"/>
        <v>16115208.388841167</v>
      </c>
      <c r="N12" s="174">
        <f t="shared" si="1"/>
        <v>16760888.074259624</v>
      </c>
      <c r="O12" s="174">
        <f t="shared" si="1"/>
        <v>18632354.77147489</v>
      </c>
      <c r="P12" s="174">
        <f t="shared" si="1"/>
        <v>20433641.467544582</v>
      </c>
      <c r="Q12" s="174">
        <f t="shared" si="1"/>
        <v>20917379.912511662</v>
      </c>
      <c r="R12" s="174">
        <f t="shared" si="1"/>
        <v>21382978.165792473</v>
      </c>
      <c r="S12" s="174">
        <f t="shared" si="1"/>
        <v>23081116.484575257</v>
      </c>
      <c r="T12" s="174">
        <f t="shared" si="1"/>
        <v>24715574.616403684</v>
      </c>
      <c r="U12" s="174">
        <f t="shared" si="1"/>
        <v>25038740.568288546</v>
      </c>
      <c r="V12" s="174">
        <f t="shared" si="1"/>
        <v>25349787.796977725</v>
      </c>
      <c r="W12" s="174">
        <f t="shared" si="1"/>
        <v>26899170.754591059</v>
      </c>
      <c r="X12" s="174">
        <f t="shared" si="1"/>
        <v>28390451.851293895</v>
      </c>
    </row>
    <row r="13" spans="2:24" x14ac:dyDescent="0.3">
      <c r="C13" s="163" t="s">
        <v>240</v>
      </c>
      <c r="E13" s="167">
        <f>E12*-$C$3*E$8</f>
        <v>-150000</v>
      </c>
      <c r="F13" s="167">
        <f t="shared" ref="F13:X13" si="2">F12*-$C$3*F$8</f>
        <v>-191250</v>
      </c>
      <c r="G13" s="167">
        <f t="shared" si="2"/>
        <v>-277828.125</v>
      </c>
      <c r="H13" s="167">
        <f t="shared" si="2"/>
        <v>-361159.5703125</v>
      </c>
      <c r="I13" s="167">
        <f t="shared" si="2"/>
        <v>-394491.08642578125</v>
      </c>
      <c r="J13" s="167">
        <f t="shared" si="2"/>
        <v>-426572.67068481445</v>
      </c>
      <c r="K13" s="167">
        <f t="shared" si="2"/>
        <v>-504326.19553413388</v>
      </c>
      <c r="L13" s="167">
        <f t="shared" si="2"/>
        <v>-579163.96320160385</v>
      </c>
      <c r="M13" s="167">
        <f t="shared" si="2"/>
        <v>-604320.31458154379</v>
      </c>
      <c r="N13" s="167">
        <f t="shared" si="2"/>
        <v>-628533.30278473592</v>
      </c>
      <c r="O13" s="167">
        <f t="shared" si="2"/>
        <v>-698713.30393030832</v>
      </c>
      <c r="P13" s="167">
        <f t="shared" si="2"/>
        <v>-766261.55503292184</v>
      </c>
      <c r="Q13" s="167">
        <f t="shared" si="2"/>
        <v>-784401.74671918724</v>
      </c>
      <c r="R13" s="167">
        <f t="shared" si="2"/>
        <v>-801861.6812172177</v>
      </c>
      <c r="S13" s="167">
        <f t="shared" si="2"/>
        <v>-865541.8681715721</v>
      </c>
      <c r="T13" s="167">
        <f t="shared" si="2"/>
        <v>-926834.04811513808</v>
      </c>
      <c r="U13" s="167">
        <f t="shared" si="2"/>
        <v>-938952.77131082048</v>
      </c>
      <c r="V13" s="167">
        <f t="shared" si="2"/>
        <v>-950617.04238666466</v>
      </c>
      <c r="W13" s="167">
        <f t="shared" si="2"/>
        <v>-1008718.9032971647</v>
      </c>
      <c r="X13" s="167">
        <f t="shared" si="2"/>
        <v>-1064641.9444235209</v>
      </c>
    </row>
    <row r="14" spans="2:24" x14ac:dyDescent="0.3">
      <c r="C14" s="163" t="s">
        <v>246</v>
      </c>
      <c r="E14" s="174">
        <f>E10</f>
        <v>1250000</v>
      </c>
      <c r="F14" s="174">
        <f t="shared" ref="F14:X14" si="3">F10</f>
        <v>2500000</v>
      </c>
      <c r="G14" s="174">
        <f t="shared" si="3"/>
        <v>2500000</v>
      </c>
      <c r="H14" s="174">
        <f t="shared" si="3"/>
        <v>1250000</v>
      </c>
      <c r="I14" s="174">
        <f t="shared" si="3"/>
        <v>1250000</v>
      </c>
      <c r="J14" s="174">
        <f t="shared" si="3"/>
        <v>2500000</v>
      </c>
      <c r="K14" s="174">
        <f t="shared" si="3"/>
        <v>2500000</v>
      </c>
      <c r="L14" s="174">
        <f t="shared" si="3"/>
        <v>1250000</v>
      </c>
      <c r="M14" s="174">
        <f t="shared" si="3"/>
        <v>1250000</v>
      </c>
      <c r="N14" s="174">
        <f t="shared" si="3"/>
        <v>2500000</v>
      </c>
      <c r="O14" s="174">
        <f t="shared" si="3"/>
        <v>2500000</v>
      </c>
      <c r="P14" s="174">
        <f t="shared" si="3"/>
        <v>1250000</v>
      </c>
      <c r="Q14" s="174">
        <f t="shared" si="3"/>
        <v>1250000</v>
      </c>
      <c r="R14" s="174">
        <f t="shared" si="3"/>
        <v>2500000</v>
      </c>
      <c r="S14" s="174">
        <f t="shared" si="3"/>
        <v>2500000</v>
      </c>
      <c r="T14" s="174">
        <f t="shared" si="3"/>
        <v>1250000</v>
      </c>
      <c r="U14" s="174">
        <f t="shared" si="3"/>
        <v>1250000</v>
      </c>
      <c r="V14" s="174">
        <f t="shared" si="3"/>
        <v>2500000</v>
      </c>
      <c r="W14" s="174">
        <f t="shared" si="3"/>
        <v>2500000</v>
      </c>
      <c r="X14" s="174">
        <f t="shared" si="3"/>
        <v>1250000</v>
      </c>
    </row>
    <row r="15" spans="2:24" ht="14.5" thickBot="1" x14ac:dyDescent="0.35">
      <c r="C15" s="202" t="s">
        <v>247</v>
      </c>
      <c r="D15" s="202"/>
      <c r="E15" s="309">
        <f>E12+E13+E14</f>
        <v>5100000</v>
      </c>
      <c r="F15" s="309">
        <f t="shared" ref="F15:X15" si="4">F12+F13+F14</f>
        <v>7408750</v>
      </c>
      <c r="G15" s="309">
        <f t="shared" si="4"/>
        <v>9630921.875</v>
      </c>
      <c r="H15" s="309">
        <f t="shared" si="4"/>
        <v>10519762.3046875</v>
      </c>
      <c r="I15" s="309">
        <f t="shared" si="4"/>
        <v>11375271.218261719</v>
      </c>
      <c r="J15" s="309">
        <f t="shared" si="4"/>
        <v>13448698.547576904</v>
      </c>
      <c r="K15" s="309">
        <f t="shared" si="4"/>
        <v>15444372.35204277</v>
      </c>
      <c r="L15" s="309">
        <f t="shared" si="4"/>
        <v>16115208.388841167</v>
      </c>
      <c r="M15" s="309">
        <f t="shared" si="4"/>
        <v>16760888.074259624</v>
      </c>
      <c r="N15" s="309">
        <f t="shared" si="4"/>
        <v>18632354.77147489</v>
      </c>
      <c r="O15" s="309">
        <f t="shared" si="4"/>
        <v>20433641.467544582</v>
      </c>
      <c r="P15" s="309">
        <f t="shared" si="4"/>
        <v>20917379.912511662</v>
      </c>
      <c r="Q15" s="309">
        <f t="shared" si="4"/>
        <v>21382978.165792473</v>
      </c>
      <c r="R15" s="309">
        <f t="shared" si="4"/>
        <v>23081116.484575257</v>
      </c>
      <c r="S15" s="309">
        <f t="shared" si="4"/>
        <v>24715574.616403684</v>
      </c>
      <c r="T15" s="309">
        <f t="shared" si="4"/>
        <v>25038740.568288546</v>
      </c>
      <c r="U15" s="309">
        <f t="shared" si="4"/>
        <v>25349787.796977725</v>
      </c>
      <c r="V15" s="309">
        <f t="shared" si="4"/>
        <v>26899170.754591059</v>
      </c>
      <c r="W15" s="309">
        <f t="shared" si="4"/>
        <v>28390451.851293895</v>
      </c>
      <c r="X15" s="309">
        <f t="shared" si="4"/>
        <v>28575809.906870373</v>
      </c>
    </row>
    <row r="16" spans="2:24" ht="14.5" thickTop="1" x14ac:dyDescent="0.3"/>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X7"/>
  <sheetViews>
    <sheetView workbookViewId="0">
      <pane xSplit="3" topLeftCell="D1" activePane="topRight" state="frozen"/>
      <selection pane="topRight" activeCell="P27" sqref="P27"/>
    </sheetView>
  </sheetViews>
  <sheetFormatPr defaultRowHeight="14.5" x14ac:dyDescent="0.35"/>
  <cols>
    <col min="1" max="1" width="8.7265625" style="163"/>
    <col min="2" max="2" width="18.54296875" style="163" bestFit="1" customWidth="1"/>
    <col min="3" max="3" width="15.08984375" bestFit="1" customWidth="1"/>
    <col min="4" max="4" width="2.90625" customWidth="1"/>
    <col min="5" max="5" width="14.1796875" style="163" bestFit="1" customWidth="1"/>
    <col min="6" max="13" width="13.08984375" style="163" bestFit="1" customWidth="1"/>
    <col min="14" max="14" width="14.1796875" style="163" bestFit="1" customWidth="1"/>
    <col min="15" max="24" width="13.08984375" style="163" bestFit="1" customWidth="1"/>
    <col min="25" max="16384" width="8.7265625" style="163"/>
  </cols>
  <sheetData>
    <row r="2" spans="2:24" ht="14" x14ac:dyDescent="0.3">
      <c r="C2" s="163" t="s">
        <v>224</v>
      </c>
      <c r="D2" s="163"/>
      <c r="E2" s="258">
        <v>0.25</v>
      </c>
      <c r="F2" s="258">
        <v>0.25</v>
      </c>
      <c r="G2" s="258">
        <v>0.25</v>
      </c>
      <c r="H2" s="258">
        <v>0.25</v>
      </c>
      <c r="I2" s="258">
        <v>0.25</v>
      </c>
      <c r="J2" s="258">
        <v>0.25</v>
      </c>
      <c r="K2" s="258">
        <v>0.25</v>
      </c>
      <c r="L2" s="258">
        <v>0.25</v>
      </c>
      <c r="M2" s="258">
        <v>0.25</v>
      </c>
      <c r="N2" s="258">
        <v>0.25</v>
      </c>
      <c r="O2" s="258">
        <v>0.25</v>
      </c>
      <c r="P2" s="258">
        <v>0.25</v>
      </c>
      <c r="Q2" s="258">
        <v>0.25</v>
      </c>
      <c r="R2" s="258">
        <v>0.25</v>
      </c>
      <c r="S2" s="258">
        <v>0.25</v>
      </c>
      <c r="T2" s="258">
        <v>0.25</v>
      </c>
      <c r="U2" s="258">
        <v>0.25</v>
      </c>
      <c r="V2" s="258">
        <v>0.25</v>
      </c>
      <c r="W2" s="258">
        <v>0.25</v>
      </c>
      <c r="X2" s="258">
        <v>0.25</v>
      </c>
    </row>
    <row r="3" spans="2:24" ht="14" x14ac:dyDescent="0.3">
      <c r="C3" s="163"/>
      <c r="D3" s="163"/>
      <c r="E3" s="306" t="s">
        <v>6</v>
      </c>
      <c r="F3" s="307"/>
      <c r="G3" s="307"/>
      <c r="H3" s="307"/>
      <c r="I3" s="306" t="s">
        <v>7</v>
      </c>
      <c r="J3" s="307"/>
      <c r="K3" s="307"/>
      <c r="L3" s="307"/>
      <c r="M3" s="306" t="s">
        <v>8</v>
      </c>
      <c r="N3" s="307"/>
      <c r="O3" s="307"/>
      <c r="P3" s="307"/>
      <c r="Q3" s="306" t="s">
        <v>9</v>
      </c>
      <c r="R3" s="307"/>
      <c r="S3" s="307"/>
      <c r="T3" s="307"/>
      <c r="U3" s="306" t="s">
        <v>10</v>
      </c>
      <c r="V3" s="307"/>
      <c r="W3" s="307"/>
      <c r="X3" s="307"/>
    </row>
    <row r="4" spans="2:24" ht="14" x14ac:dyDescent="0.3">
      <c r="B4" s="163" t="s">
        <v>166</v>
      </c>
      <c r="C4" s="304">
        <f>Inputs!C156</f>
        <v>0.05</v>
      </c>
      <c r="D4" s="163"/>
      <c r="E4" s="308" t="s">
        <v>11</v>
      </c>
      <c r="F4" s="308" t="s">
        <v>12</v>
      </c>
      <c r="G4" s="308" t="s">
        <v>13</v>
      </c>
      <c r="H4" s="308" t="s">
        <v>14</v>
      </c>
      <c r="I4" s="308" t="s">
        <v>11</v>
      </c>
      <c r="J4" s="308" t="s">
        <v>12</v>
      </c>
      <c r="K4" s="308" t="s">
        <v>13</v>
      </c>
      <c r="L4" s="308" t="s">
        <v>14</v>
      </c>
      <c r="M4" s="308" t="s">
        <v>11</v>
      </c>
      <c r="N4" s="308" t="s">
        <v>12</v>
      </c>
      <c r="O4" s="308" t="s">
        <v>13</v>
      </c>
      <c r="P4" s="308" t="s">
        <v>14</v>
      </c>
      <c r="Q4" s="308" t="s">
        <v>11</v>
      </c>
      <c r="R4" s="308" t="s">
        <v>12</v>
      </c>
      <c r="S4" s="308" t="s">
        <v>13</v>
      </c>
      <c r="T4" s="308" t="s">
        <v>14</v>
      </c>
      <c r="U4" s="308" t="s">
        <v>11</v>
      </c>
      <c r="V4" s="308" t="s">
        <v>12</v>
      </c>
      <c r="W4" s="308" t="s">
        <v>13</v>
      </c>
      <c r="X4" s="308" t="s">
        <v>14</v>
      </c>
    </row>
    <row r="5" spans="2:24" x14ac:dyDescent="0.35">
      <c r="B5" s="163" t="s">
        <v>280</v>
      </c>
      <c r="D5" s="163"/>
      <c r="E5" s="221"/>
      <c r="F5" s="221"/>
      <c r="G5" s="221"/>
      <c r="H5" s="221"/>
      <c r="I5" s="221"/>
      <c r="J5" s="221"/>
      <c r="K5" s="221"/>
      <c r="L5" s="221"/>
      <c r="M5" s="221"/>
      <c r="N5" s="221"/>
      <c r="O5" s="221"/>
      <c r="P5" s="221"/>
      <c r="Q5" s="221"/>
      <c r="R5" s="221"/>
      <c r="S5" s="221"/>
      <c r="T5" s="221"/>
      <c r="U5" s="221"/>
      <c r="V5" s="221"/>
      <c r="W5" s="221"/>
      <c r="X5" s="221"/>
    </row>
    <row r="6" spans="2:24" x14ac:dyDescent="0.35">
      <c r="B6" s="163" t="s">
        <v>249</v>
      </c>
      <c r="C6" s="166">
        <v>10000000</v>
      </c>
      <c r="E6" s="166">
        <f>$C$6+E5</f>
        <v>10000000</v>
      </c>
      <c r="F6" s="166">
        <f t="shared" ref="F6:X6" si="0">$C$6+F5</f>
        <v>10000000</v>
      </c>
      <c r="G6" s="166">
        <f t="shared" si="0"/>
        <v>10000000</v>
      </c>
      <c r="H6" s="166">
        <f t="shared" si="0"/>
        <v>10000000</v>
      </c>
      <c r="I6" s="166">
        <f t="shared" si="0"/>
        <v>10000000</v>
      </c>
      <c r="J6" s="166">
        <f t="shared" si="0"/>
        <v>10000000</v>
      </c>
      <c r="K6" s="166">
        <f t="shared" si="0"/>
        <v>10000000</v>
      </c>
      <c r="L6" s="166">
        <f t="shared" si="0"/>
        <v>10000000</v>
      </c>
      <c r="M6" s="166">
        <f t="shared" si="0"/>
        <v>10000000</v>
      </c>
      <c r="N6" s="166">
        <f t="shared" si="0"/>
        <v>10000000</v>
      </c>
      <c r="O6" s="166">
        <f t="shared" si="0"/>
        <v>10000000</v>
      </c>
      <c r="P6" s="166">
        <f t="shared" si="0"/>
        <v>10000000</v>
      </c>
      <c r="Q6" s="166">
        <f t="shared" si="0"/>
        <v>10000000</v>
      </c>
      <c r="R6" s="166">
        <f t="shared" si="0"/>
        <v>10000000</v>
      </c>
      <c r="S6" s="166">
        <f t="shared" si="0"/>
        <v>10000000</v>
      </c>
      <c r="T6" s="166">
        <f t="shared" si="0"/>
        <v>10000000</v>
      </c>
      <c r="U6" s="166">
        <f t="shared" si="0"/>
        <v>10000000</v>
      </c>
      <c r="V6" s="166">
        <f t="shared" si="0"/>
        <v>10000000</v>
      </c>
      <c r="W6" s="166">
        <f t="shared" si="0"/>
        <v>10000000</v>
      </c>
      <c r="X6" s="166">
        <f t="shared" si="0"/>
        <v>10000000</v>
      </c>
    </row>
    <row r="7" spans="2:24" x14ac:dyDescent="0.35">
      <c r="B7" s="163" t="s">
        <v>165</v>
      </c>
      <c r="E7" s="335">
        <f t="shared" ref="E7:X7" si="1">$C$4*E$2*E6</f>
        <v>125000</v>
      </c>
      <c r="F7" s="335">
        <f t="shared" si="1"/>
        <v>125000</v>
      </c>
      <c r="G7" s="335">
        <f t="shared" si="1"/>
        <v>125000</v>
      </c>
      <c r="H7" s="335">
        <f t="shared" si="1"/>
        <v>125000</v>
      </c>
      <c r="I7" s="335">
        <f>$C$4*I$2*I6</f>
        <v>125000</v>
      </c>
      <c r="J7" s="335">
        <f t="shared" si="1"/>
        <v>125000</v>
      </c>
      <c r="K7" s="335">
        <f t="shared" si="1"/>
        <v>125000</v>
      </c>
      <c r="L7" s="335">
        <f t="shared" si="1"/>
        <v>125000</v>
      </c>
      <c r="M7" s="335">
        <f t="shared" si="1"/>
        <v>125000</v>
      </c>
      <c r="N7" s="335">
        <f t="shared" si="1"/>
        <v>125000</v>
      </c>
      <c r="O7" s="335">
        <f t="shared" si="1"/>
        <v>125000</v>
      </c>
      <c r="P7" s="335">
        <f t="shared" si="1"/>
        <v>125000</v>
      </c>
      <c r="Q7" s="335">
        <f t="shared" si="1"/>
        <v>125000</v>
      </c>
      <c r="R7" s="335">
        <f t="shared" si="1"/>
        <v>125000</v>
      </c>
      <c r="S7" s="335">
        <f t="shared" si="1"/>
        <v>125000</v>
      </c>
      <c r="T7" s="335">
        <f t="shared" si="1"/>
        <v>125000</v>
      </c>
      <c r="U7" s="335">
        <f t="shared" si="1"/>
        <v>125000</v>
      </c>
      <c r="V7" s="335">
        <f t="shared" si="1"/>
        <v>125000</v>
      </c>
      <c r="W7" s="335">
        <f t="shared" si="1"/>
        <v>125000</v>
      </c>
      <c r="X7" s="335">
        <f t="shared" si="1"/>
        <v>125000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3:Z79"/>
  <sheetViews>
    <sheetView workbookViewId="0">
      <pane xSplit="5" topLeftCell="F1" activePane="topRight" state="frozen"/>
      <selection pane="topRight" activeCell="K25" sqref="K25"/>
    </sheetView>
  </sheetViews>
  <sheetFormatPr defaultRowHeight="14.5" x14ac:dyDescent="0.35"/>
  <cols>
    <col min="1" max="1" width="8.7265625" style="163"/>
    <col min="2" max="2" width="31.453125" style="163" bestFit="1" customWidth="1"/>
    <col min="3" max="3" width="10" style="163" bestFit="1" customWidth="1"/>
    <col min="4" max="4" width="8.81640625" style="163" bestFit="1" customWidth="1"/>
    <col min="5" max="5" width="10.26953125" style="163" customWidth="1"/>
    <col min="6" max="6" width="3.26953125" customWidth="1"/>
    <col min="7" max="7" width="10.81640625" style="163" bestFit="1" customWidth="1"/>
    <col min="8" max="9" width="10.26953125" style="163" bestFit="1" customWidth="1"/>
    <col min="10" max="26" width="11.90625" style="163" bestFit="1" customWidth="1"/>
    <col min="27" max="16384" width="8.7265625" style="163"/>
  </cols>
  <sheetData>
    <row r="3" spans="2:26" x14ac:dyDescent="0.35">
      <c r="G3" s="208" t="s">
        <v>6</v>
      </c>
      <c r="H3" s="209"/>
      <c r="I3" s="209"/>
      <c r="J3" s="209"/>
      <c r="K3" s="208" t="s">
        <v>7</v>
      </c>
      <c r="L3" s="209"/>
      <c r="M3" s="209"/>
      <c r="N3" s="209"/>
      <c r="O3" s="208" t="s">
        <v>8</v>
      </c>
      <c r="P3" s="209"/>
      <c r="Q3" s="209"/>
      <c r="R3" s="209"/>
      <c r="S3" s="208" t="s">
        <v>9</v>
      </c>
      <c r="T3" s="209"/>
      <c r="U3" s="209"/>
      <c r="V3" s="209"/>
      <c r="W3" s="208" t="s">
        <v>10</v>
      </c>
      <c r="X3" s="209"/>
      <c r="Y3" s="209"/>
      <c r="Z3" s="209"/>
    </row>
    <row r="4" spans="2:26" x14ac:dyDescent="0.35">
      <c r="G4" s="201" t="s">
        <v>11</v>
      </c>
      <c r="H4" s="201" t="s">
        <v>12</v>
      </c>
      <c r="I4" s="201" t="s">
        <v>13</v>
      </c>
      <c r="J4" s="201" t="s">
        <v>14</v>
      </c>
      <c r="K4" s="201" t="s">
        <v>11</v>
      </c>
      <c r="L4" s="201" t="s">
        <v>12</v>
      </c>
      <c r="M4" s="201" t="s">
        <v>13</v>
      </c>
      <c r="N4" s="201" t="s">
        <v>14</v>
      </c>
      <c r="O4" s="201" t="s">
        <v>11</v>
      </c>
      <c r="P4" s="201" t="s">
        <v>12</v>
      </c>
      <c r="Q4" s="201" t="s">
        <v>13</v>
      </c>
      <c r="R4" s="201" t="s">
        <v>14</v>
      </c>
      <c r="S4" s="201" t="s">
        <v>11</v>
      </c>
      <c r="T4" s="201" t="s">
        <v>12</v>
      </c>
      <c r="U4" s="201" t="s">
        <v>13</v>
      </c>
      <c r="V4" s="201" t="s">
        <v>14</v>
      </c>
      <c r="W4" s="201" t="s">
        <v>11</v>
      </c>
      <c r="X4" s="201" t="s">
        <v>12</v>
      </c>
      <c r="Y4" s="201" t="s">
        <v>13</v>
      </c>
      <c r="Z4" s="201" t="s">
        <v>14</v>
      </c>
    </row>
    <row r="5" spans="2:26" x14ac:dyDescent="0.35">
      <c r="B5" s="163" t="s">
        <v>223</v>
      </c>
      <c r="G5" s="195">
        <f>'Inc_Stm_New_Stores---&gt;'!G10</f>
        <v>6</v>
      </c>
      <c r="H5" s="195">
        <f>'Inc_Stm_New_Stores---&gt;'!H10</f>
        <v>8</v>
      </c>
      <c r="I5" s="195">
        <f>'Inc_Stm_New_Stores---&gt;'!I10</f>
        <v>10</v>
      </c>
      <c r="J5" s="195">
        <f>'Inc_Stm_New_Stores---&gt;'!J10</f>
        <v>11</v>
      </c>
      <c r="K5" s="195">
        <f>'Inc_Stm_New_Stores---&gt;'!K10</f>
        <v>12</v>
      </c>
      <c r="L5" s="195">
        <f>'Inc_Stm_New_Stores---&gt;'!L10</f>
        <v>14</v>
      </c>
      <c r="M5" s="195">
        <f>'Inc_Stm_New_Stores---&gt;'!M10</f>
        <v>16</v>
      </c>
      <c r="N5" s="195">
        <f>'Inc_Stm_New_Stores---&gt;'!N10</f>
        <v>17</v>
      </c>
      <c r="O5" s="195">
        <f>'Inc_Stm_New_Stores---&gt;'!O10</f>
        <v>18</v>
      </c>
      <c r="P5" s="195">
        <f>'Inc_Stm_New_Stores---&gt;'!P10</f>
        <v>20</v>
      </c>
      <c r="Q5" s="195">
        <f>'Inc_Stm_New_Stores---&gt;'!Q10</f>
        <v>22</v>
      </c>
      <c r="R5" s="195">
        <f>'Inc_Stm_New_Stores---&gt;'!R10</f>
        <v>23</v>
      </c>
      <c r="S5" s="195">
        <f>'Inc_Stm_New_Stores---&gt;'!S10</f>
        <v>24</v>
      </c>
      <c r="T5" s="195">
        <f>'Inc_Stm_New_Stores---&gt;'!T10</f>
        <v>26</v>
      </c>
      <c r="U5" s="195">
        <f>'Inc_Stm_New_Stores---&gt;'!U10</f>
        <v>28</v>
      </c>
      <c r="V5" s="195">
        <f>'Inc_Stm_New_Stores---&gt;'!V10</f>
        <v>29</v>
      </c>
      <c r="W5" s="195">
        <f>'Inc_Stm_New_Stores---&gt;'!W10</f>
        <v>30</v>
      </c>
      <c r="X5" s="195">
        <f>'Inc_Stm_New_Stores---&gt;'!X10</f>
        <v>32</v>
      </c>
      <c r="Y5" s="195">
        <f>'Inc_Stm_New_Stores---&gt;'!Y10</f>
        <v>34</v>
      </c>
      <c r="Z5" s="195">
        <f>'Inc_Stm_New_Stores---&gt;'!Z10</f>
        <v>35</v>
      </c>
    </row>
    <row r="6" spans="2:26" x14ac:dyDescent="0.35">
      <c r="B6" s="163" t="s">
        <v>224</v>
      </c>
      <c r="G6" s="258">
        <v>0.25</v>
      </c>
      <c r="H6" s="258">
        <v>0.25</v>
      </c>
      <c r="I6" s="258">
        <v>0.25</v>
      </c>
      <c r="J6" s="258">
        <v>0.25</v>
      </c>
      <c r="K6" s="258">
        <v>0.25</v>
      </c>
      <c r="L6" s="258">
        <v>0.25</v>
      </c>
      <c r="M6" s="258">
        <v>0.25</v>
      </c>
      <c r="N6" s="258">
        <v>0.25</v>
      </c>
      <c r="O6" s="258">
        <v>0.25</v>
      </c>
      <c r="P6" s="258">
        <v>0.25</v>
      </c>
      <c r="Q6" s="258">
        <v>0.25</v>
      </c>
      <c r="R6" s="258">
        <v>0.25</v>
      </c>
      <c r="S6" s="258">
        <v>0.25</v>
      </c>
      <c r="T6" s="258">
        <v>0.25</v>
      </c>
      <c r="U6" s="258">
        <v>0.25</v>
      </c>
      <c r="V6" s="258">
        <v>0.25</v>
      </c>
      <c r="W6" s="258">
        <v>0.25</v>
      </c>
      <c r="X6" s="258">
        <v>0.25</v>
      </c>
      <c r="Y6" s="258">
        <v>0.25</v>
      </c>
      <c r="Z6" s="258">
        <v>0.25</v>
      </c>
    </row>
    <row r="8" spans="2:26" x14ac:dyDescent="0.35">
      <c r="B8" s="257" t="str">
        <f>Inputs!B103</f>
        <v>G&amp;A Assumptions</v>
      </c>
    </row>
    <row r="9" spans="2:26" ht="16.5" x14ac:dyDescent="0.55000000000000004">
      <c r="B9" s="259" t="s">
        <v>18</v>
      </c>
      <c r="C9" s="260"/>
      <c r="D9" s="261" t="s">
        <v>37</v>
      </c>
      <c r="E9" s="262" t="s">
        <v>81</v>
      </c>
    </row>
    <row r="10" spans="2:26" x14ac:dyDescent="0.35">
      <c r="B10" s="263" t="s">
        <v>19</v>
      </c>
      <c r="C10" s="264"/>
      <c r="D10" s="265">
        <f>Inputs!D105</f>
        <v>250000</v>
      </c>
      <c r="E10" s="266">
        <f>Inputs!E105</f>
        <v>0</v>
      </c>
      <c r="G10" s="167">
        <f t="shared" ref="G10:P13" si="0">IF($E10&lt;=G$5,$D10*G$6,0)</f>
        <v>62500</v>
      </c>
      <c r="H10" s="167">
        <f t="shared" si="0"/>
        <v>62500</v>
      </c>
      <c r="I10" s="167">
        <f t="shared" si="0"/>
        <v>62500</v>
      </c>
      <c r="J10" s="167">
        <f t="shared" si="0"/>
        <v>62500</v>
      </c>
      <c r="K10" s="167">
        <f t="shared" si="0"/>
        <v>62500</v>
      </c>
      <c r="L10" s="167">
        <f t="shared" si="0"/>
        <v>62500</v>
      </c>
      <c r="M10" s="167">
        <f t="shared" si="0"/>
        <v>62500</v>
      </c>
      <c r="N10" s="167">
        <f t="shared" si="0"/>
        <v>62500</v>
      </c>
      <c r="O10" s="167">
        <f t="shared" si="0"/>
        <v>62500</v>
      </c>
      <c r="P10" s="167">
        <f t="shared" si="0"/>
        <v>62500</v>
      </c>
      <c r="Q10" s="167">
        <f t="shared" ref="Q10:Z13" si="1">IF($E10&lt;=Q$5,$D10*Q$6,0)</f>
        <v>62500</v>
      </c>
      <c r="R10" s="167">
        <f t="shared" si="1"/>
        <v>62500</v>
      </c>
      <c r="S10" s="167">
        <f t="shared" si="1"/>
        <v>62500</v>
      </c>
      <c r="T10" s="167">
        <f t="shared" si="1"/>
        <v>62500</v>
      </c>
      <c r="U10" s="167">
        <f t="shared" si="1"/>
        <v>62500</v>
      </c>
      <c r="V10" s="167">
        <f t="shared" si="1"/>
        <v>62500</v>
      </c>
      <c r="W10" s="167">
        <f t="shared" si="1"/>
        <v>62500</v>
      </c>
      <c r="X10" s="167">
        <f t="shared" si="1"/>
        <v>62500</v>
      </c>
      <c r="Y10" s="167">
        <f t="shared" si="1"/>
        <v>62500</v>
      </c>
      <c r="Z10" s="167">
        <f t="shared" si="1"/>
        <v>62500</v>
      </c>
    </row>
    <row r="11" spans="2:26" x14ac:dyDescent="0.35">
      <c r="B11" s="263" t="s">
        <v>20</v>
      </c>
      <c r="C11" s="264"/>
      <c r="D11" s="265">
        <f>Inputs!D106</f>
        <v>150000</v>
      </c>
      <c r="E11" s="267">
        <f>Inputs!E106</f>
        <v>10</v>
      </c>
      <c r="G11" s="167">
        <f t="shared" si="0"/>
        <v>0</v>
      </c>
      <c r="H11" s="167">
        <f t="shared" si="0"/>
        <v>0</v>
      </c>
      <c r="I11" s="167">
        <f t="shared" si="0"/>
        <v>37500</v>
      </c>
      <c r="J11" s="167">
        <f t="shared" si="0"/>
        <v>37500</v>
      </c>
      <c r="K11" s="167">
        <f t="shared" si="0"/>
        <v>37500</v>
      </c>
      <c r="L11" s="167">
        <f t="shared" si="0"/>
        <v>37500</v>
      </c>
      <c r="M11" s="167">
        <f t="shared" si="0"/>
        <v>37500</v>
      </c>
      <c r="N11" s="167">
        <f t="shared" si="0"/>
        <v>37500</v>
      </c>
      <c r="O11" s="167">
        <f t="shared" si="0"/>
        <v>37500</v>
      </c>
      <c r="P11" s="167">
        <f t="shared" si="0"/>
        <v>37500</v>
      </c>
      <c r="Q11" s="167">
        <f t="shared" si="1"/>
        <v>37500</v>
      </c>
      <c r="R11" s="167">
        <f t="shared" si="1"/>
        <v>37500</v>
      </c>
      <c r="S11" s="167">
        <f t="shared" si="1"/>
        <v>37500</v>
      </c>
      <c r="T11" s="167">
        <f t="shared" si="1"/>
        <v>37500</v>
      </c>
      <c r="U11" s="167">
        <f t="shared" si="1"/>
        <v>37500</v>
      </c>
      <c r="V11" s="167">
        <f t="shared" si="1"/>
        <v>37500</v>
      </c>
      <c r="W11" s="167">
        <f t="shared" si="1"/>
        <v>37500</v>
      </c>
      <c r="X11" s="167">
        <f t="shared" si="1"/>
        <v>37500</v>
      </c>
      <c r="Y11" s="167">
        <f t="shared" si="1"/>
        <v>37500</v>
      </c>
      <c r="Z11" s="167">
        <f t="shared" si="1"/>
        <v>37500</v>
      </c>
    </row>
    <row r="12" spans="2:26" x14ac:dyDescent="0.35">
      <c r="B12" s="263" t="s">
        <v>39</v>
      </c>
      <c r="C12" s="264"/>
      <c r="D12" s="265">
        <f>Inputs!D107</f>
        <v>80000</v>
      </c>
      <c r="E12" s="268">
        <f>Inputs!E107</f>
        <v>15</v>
      </c>
      <c r="G12" s="167">
        <f t="shared" si="0"/>
        <v>0</v>
      </c>
      <c r="H12" s="167">
        <f t="shared" si="0"/>
        <v>0</v>
      </c>
      <c r="I12" s="167">
        <f t="shared" si="0"/>
        <v>0</v>
      </c>
      <c r="J12" s="167">
        <f t="shared" si="0"/>
        <v>0</v>
      </c>
      <c r="K12" s="167">
        <f t="shared" si="0"/>
        <v>0</v>
      </c>
      <c r="L12" s="167">
        <f t="shared" si="0"/>
        <v>0</v>
      </c>
      <c r="M12" s="167">
        <f t="shared" si="0"/>
        <v>20000</v>
      </c>
      <c r="N12" s="167">
        <f t="shared" si="0"/>
        <v>20000</v>
      </c>
      <c r="O12" s="167">
        <f t="shared" si="0"/>
        <v>20000</v>
      </c>
      <c r="P12" s="167">
        <f t="shared" si="0"/>
        <v>20000</v>
      </c>
      <c r="Q12" s="167">
        <f t="shared" si="1"/>
        <v>20000</v>
      </c>
      <c r="R12" s="167">
        <f t="shared" si="1"/>
        <v>20000</v>
      </c>
      <c r="S12" s="167">
        <f t="shared" si="1"/>
        <v>20000</v>
      </c>
      <c r="T12" s="167">
        <f t="shared" si="1"/>
        <v>20000</v>
      </c>
      <c r="U12" s="167">
        <f t="shared" si="1"/>
        <v>20000</v>
      </c>
      <c r="V12" s="167">
        <f t="shared" si="1"/>
        <v>20000</v>
      </c>
      <c r="W12" s="167">
        <f t="shared" si="1"/>
        <v>20000</v>
      </c>
      <c r="X12" s="167">
        <f t="shared" si="1"/>
        <v>20000</v>
      </c>
      <c r="Y12" s="167">
        <f t="shared" si="1"/>
        <v>20000</v>
      </c>
      <c r="Z12" s="167">
        <f t="shared" si="1"/>
        <v>20000</v>
      </c>
    </row>
    <row r="13" spans="2:26" x14ac:dyDescent="0.35">
      <c r="B13" s="263" t="s">
        <v>21</v>
      </c>
      <c r="C13" s="264"/>
      <c r="D13" s="265">
        <f>Inputs!D108</f>
        <v>150000</v>
      </c>
      <c r="E13" s="266">
        <f>Inputs!E108</f>
        <v>5</v>
      </c>
      <c r="G13" s="167">
        <f t="shared" si="0"/>
        <v>37500</v>
      </c>
      <c r="H13" s="167">
        <f t="shared" si="0"/>
        <v>37500</v>
      </c>
      <c r="I13" s="167">
        <f t="shared" si="0"/>
        <v>37500</v>
      </c>
      <c r="J13" s="167">
        <f t="shared" si="0"/>
        <v>37500</v>
      </c>
      <c r="K13" s="167">
        <f t="shared" si="0"/>
        <v>37500</v>
      </c>
      <c r="L13" s="167">
        <f t="shared" si="0"/>
        <v>37500</v>
      </c>
      <c r="M13" s="167">
        <f t="shared" si="0"/>
        <v>37500</v>
      </c>
      <c r="N13" s="167">
        <f t="shared" si="0"/>
        <v>37500</v>
      </c>
      <c r="O13" s="167">
        <f t="shared" si="0"/>
        <v>37500</v>
      </c>
      <c r="P13" s="167">
        <f t="shared" si="0"/>
        <v>37500</v>
      </c>
      <c r="Q13" s="167">
        <f t="shared" si="1"/>
        <v>37500</v>
      </c>
      <c r="R13" s="167">
        <f t="shared" si="1"/>
        <v>37500</v>
      </c>
      <c r="S13" s="167">
        <f t="shared" si="1"/>
        <v>37500</v>
      </c>
      <c r="T13" s="167">
        <f t="shared" si="1"/>
        <v>37500</v>
      </c>
      <c r="U13" s="167">
        <f t="shared" si="1"/>
        <v>37500</v>
      </c>
      <c r="V13" s="167">
        <f t="shared" si="1"/>
        <v>37500</v>
      </c>
      <c r="W13" s="167">
        <f t="shared" si="1"/>
        <v>37500</v>
      </c>
      <c r="X13" s="167">
        <f t="shared" si="1"/>
        <v>37500</v>
      </c>
      <c r="Y13" s="167">
        <f t="shared" si="1"/>
        <v>37500</v>
      </c>
      <c r="Z13" s="167">
        <f t="shared" si="1"/>
        <v>37500</v>
      </c>
    </row>
    <row r="14" spans="2:26" x14ac:dyDescent="0.35">
      <c r="B14" s="269" t="s">
        <v>22</v>
      </c>
      <c r="C14" s="264"/>
      <c r="D14" s="270"/>
      <c r="E14" s="271"/>
      <c r="G14" s="167"/>
      <c r="H14" s="167"/>
      <c r="I14" s="167"/>
      <c r="J14" s="167"/>
      <c r="K14" s="167"/>
      <c r="L14" s="167"/>
      <c r="M14" s="167"/>
      <c r="N14" s="167"/>
      <c r="O14" s="167"/>
      <c r="P14" s="167"/>
      <c r="Q14" s="167"/>
      <c r="R14" s="167"/>
      <c r="S14" s="167"/>
      <c r="T14" s="167"/>
      <c r="U14" s="167"/>
      <c r="V14" s="167"/>
      <c r="W14" s="167"/>
      <c r="X14" s="167"/>
      <c r="Y14" s="167"/>
      <c r="Z14" s="167"/>
    </row>
    <row r="15" spans="2:26" x14ac:dyDescent="0.35">
      <c r="B15" s="263" t="s">
        <v>23</v>
      </c>
      <c r="C15" s="264"/>
      <c r="D15" s="265">
        <f>Inputs!D110</f>
        <v>100000</v>
      </c>
      <c r="E15" s="266">
        <f>Inputs!E110</f>
        <v>15</v>
      </c>
      <c r="G15" s="167">
        <f t="shared" ref="G15:P17" si="2">IF($E15&lt;=G$5,$D15*G$6,0)</f>
        <v>0</v>
      </c>
      <c r="H15" s="167">
        <f t="shared" si="2"/>
        <v>0</v>
      </c>
      <c r="I15" s="167">
        <f t="shared" si="2"/>
        <v>0</v>
      </c>
      <c r="J15" s="167">
        <f t="shared" si="2"/>
        <v>0</v>
      </c>
      <c r="K15" s="167">
        <f t="shared" si="2"/>
        <v>0</v>
      </c>
      <c r="L15" s="167">
        <f t="shared" si="2"/>
        <v>0</v>
      </c>
      <c r="M15" s="167">
        <f t="shared" si="2"/>
        <v>25000</v>
      </c>
      <c r="N15" s="167">
        <f t="shared" si="2"/>
        <v>25000</v>
      </c>
      <c r="O15" s="167">
        <f t="shared" si="2"/>
        <v>25000</v>
      </c>
      <c r="P15" s="167">
        <f t="shared" si="2"/>
        <v>25000</v>
      </c>
      <c r="Q15" s="167">
        <f t="shared" ref="Q15:Z17" si="3">IF($E15&lt;=Q$5,$D15*Q$6,0)</f>
        <v>25000</v>
      </c>
      <c r="R15" s="167">
        <f t="shared" si="3"/>
        <v>25000</v>
      </c>
      <c r="S15" s="167">
        <f t="shared" si="3"/>
        <v>25000</v>
      </c>
      <c r="T15" s="167">
        <f t="shared" si="3"/>
        <v>25000</v>
      </c>
      <c r="U15" s="167">
        <f t="shared" si="3"/>
        <v>25000</v>
      </c>
      <c r="V15" s="167">
        <f t="shared" si="3"/>
        <v>25000</v>
      </c>
      <c r="W15" s="167">
        <f t="shared" si="3"/>
        <v>25000</v>
      </c>
      <c r="X15" s="167">
        <f t="shared" si="3"/>
        <v>25000</v>
      </c>
      <c r="Y15" s="167">
        <f t="shared" si="3"/>
        <v>25000</v>
      </c>
      <c r="Z15" s="167">
        <f t="shared" si="3"/>
        <v>25000</v>
      </c>
    </row>
    <row r="16" spans="2:26" x14ac:dyDescent="0.35">
      <c r="B16" s="263" t="s">
        <v>24</v>
      </c>
      <c r="C16" s="264"/>
      <c r="D16" s="265">
        <f>Inputs!D111</f>
        <v>40000</v>
      </c>
      <c r="E16" s="266">
        <f>Inputs!E111</f>
        <v>25</v>
      </c>
      <c r="G16" s="167">
        <f t="shared" si="2"/>
        <v>0</v>
      </c>
      <c r="H16" s="167">
        <f t="shared" si="2"/>
        <v>0</v>
      </c>
      <c r="I16" s="167">
        <f t="shared" si="2"/>
        <v>0</v>
      </c>
      <c r="J16" s="167">
        <f t="shared" si="2"/>
        <v>0</v>
      </c>
      <c r="K16" s="167">
        <f t="shared" si="2"/>
        <v>0</v>
      </c>
      <c r="L16" s="167">
        <f t="shared" si="2"/>
        <v>0</v>
      </c>
      <c r="M16" s="167">
        <f t="shared" si="2"/>
        <v>0</v>
      </c>
      <c r="N16" s="167">
        <f t="shared" si="2"/>
        <v>0</v>
      </c>
      <c r="O16" s="167">
        <f t="shared" si="2"/>
        <v>0</v>
      </c>
      <c r="P16" s="167">
        <f t="shared" si="2"/>
        <v>0</v>
      </c>
      <c r="Q16" s="167">
        <f t="shared" si="3"/>
        <v>0</v>
      </c>
      <c r="R16" s="167">
        <f t="shared" si="3"/>
        <v>0</v>
      </c>
      <c r="S16" s="167">
        <f t="shared" si="3"/>
        <v>0</v>
      </c>
      <c r="T16" s="167">
        <f t="shared" si="3"/>
        <v>10000</v>
      </c>
      <c r="U16" s="167">
        <f t="shared" si="3"/>
        <v>10000</v>
      </c>
      <c r="V16" s="167">
        <f t="shared" si="3"/>
        <v>10000</v>
      </c>
      <c r="W16" s="167">
        <f t="shared" si="3"/>
        <v>10000</v>
      </c>
      <c r="X16" s="167">
        <f t="shared" si="3"/>
        <v>10000</v>
      </c>
      <c r="Y16" s="167">
        <f t="shared" si="3"/>
        <v>10000</v>
      </c>
      <c r="Z16" s="167">
        <f t="shared" si="3"/>
        <v>10000</v>
      </c>
    </row>
    <row r="17" spans="2:26" x14ac:dyDescent="0.35">
      <c r="B17" s="263" t="s">
        <v>25</v>
      </c>
      <c r="C17" s="264"/>
      <c r="D17" s="265">
        <f>Inputs!D112</f>
        <v>85000</v>
      </c>
      <c r="E17" s="266">
        <f>Inputs!E112</f>
        <v>25</v>
      </c>
      <c r="G17" s="167">
        <f t="shared" si="2"/>
        <v>0</v>
      </c>
      <c r="H17" s="167">
        <f t="shared" si="2"/>
        <v>0</v>
      </c>
      <c r="I17" s="167">
        <f t="shared" si="2"/>
        <v>0</v>
      </c>
      <c r="J17" s="167">
        <f t="shared" si="2"/>
        <v>0</v>
      </c>
      <c r="K17" s="167">
        <f t="shared" si="2"/>
        <v>0</v>
      </c>
      <c r="L17" s="167">
        <f t="shared" si="2"/>
        <v>0</v>
      </c>
      <c r="M17" s="167">
        <f t="shared" si="2"/>
        <v>0</v>
      </c>
      <c r="N17" s="167">
        <f t="shared" si="2"/>
        <v>0</v>
      </c>
      <c r="O17" s="167">
        <f t="shared" si="2"/>
        <v>0</v>
      </c>
      <c r="P17" s="167">
        <f t="shared" si="2"/>
        <v>0</v>
      </c>
      <c r="Q17" s="167">
        <f t="shared" si="3"/>
        <v>0</v>
      </c>
      <c r="R17" s="167">
        <f t="shared" si="3"/>
        <v>0</v>
      </c>
      <c r="S17" s="167">
        <f t="shared" si="3"/>
        <v>0</v>
      </c>
      <c r="T17" s="167">
        <f t="shared" si="3"/>
        <v>21250</v>
      </c>
      <c r="U17" s="167">
        <f t="shared" si="3"/>
        <v>21250</v>
      </c>
      <c r="V17" s="167">
        <f t="shared" si="3"/>
        <v>21250</v>
      </c>
      <c r="W17" s="167">
        <f t="shared" si="3"/>
        <v>21250</v>
      </c>
      <c r="X17" s="167">
        <f t="shared" si="3"/>
        <v>21250</v>
      </c>
      <c r="Y17" s="167">
        <f t="shared" si="3"/>
        <v>21250</v>
      </c>
      <c r="Z17" s="167">
        <f t="shared" si="3"/>
        <v>21250</v>
      </c>
    </row>
    <row r="18" spans="2:26" x14ac:dyDescent="0.35">
      <c r="B18" s="269" t="s">
        <v>26</v>
      </c>
      <c r="C18" s="264"/>
      <c r="D18" s="270"/>
      <c r="E18" s="271"/>
      <c r="G18" s="167"/>
      <c r="H18" s="167"/>
      <c r="I18" s="167"/>
      <c r="J18" s="167"/>
      <c r="K18" s="167"/>
      <c r="L18" s="167"/>
      <c r="M18" s="167"/>
      <c r="N18" s="167"/>
      <c r="O18" s="167"/>
      <c r="P18" s="167"/>
      <c r="Q18" s="167"/>
      <c r="R18" s="167"/>
      <c r="S18" s="167"/>
      <c r="T18" s="167"/>
      <c r="U18" s="167"/>
      <c r="V18" s="167"/>
      <c r="W18" s="167"/>
      <c r="X18" s="167"/>
      <c r="Y18" s="167"/>
      <c r="Z18" s="167"/>
    </row>
    <row r="19" spans="2:26" x14ac:dyDescent="0.35">
      <c r="B19" s="263" t="s">
        <v>40</v>
      </c>
      <c r="C19" s="264"/>
      <c r="D19" s="265">
        <f>Inputs!D114</f>
        <v>125000</v>
      </c>
      <c r="E19" s="266">
        <f>Inputs!E114</f>
        <v>5</v>
      </c>
      <c r="G19" s="167">
        <f t="shared" ref="G19:P25" si="4">IF($E19&lt;=G$5,$D19*G$6,0)</f>
        <v>31250</v>
      </c>
      <c r="H19" s="167">
        <f t="shared" si="4"/>
        <v>31250</v>
      </c>
      <c r="I19" s="167">
        <f t="shared" si="4"/>
        <v>31250</v>
      </c>
      <c r="J19" s="167">
        <f t="shared" si="4"/>
        <v>31250</v>
      </c>
      <c r="K19" s="167">
        <f t="shared" si="4"/>
        <v>31250</v>
      </c>
      <c r="L19" s="167">
        <f t="shared" si="4"/>
        <v>31250</v>
      </c>
      <c r="M19" s="167">
        <f t="shared" si="4"/>
        <v>31250</v>
      </c>
      <c r="N19" s="167">
        <f t="shared" si="4"/>
        <v>31250</v>
      </c>
      <c r="O19" s="167">
        <f t="shared" si="4"/>
        <v>31250</v>
      </c>
      <c r="P19" s="167">
        <f t="shared" si="4"/>
        <v>31250</v>
      </c>
      <c r="Q19" s="167">
        <f t="shared" ref="Q19:Z25" si="5">IF($E19&lt;=Q$5,$D19*Q$6,0)</f>
        <v>31250</v>
      </c>
      <c r="R19" s="167">
        <f t="shared" si="5"/>
        <v>31250</v>
      </c>
      <c r="S19" s="167">
        <f t="shared" si="5"/>
        <v>31250</v>
      </c>
      <c r="T19" s="167">
        <f t="shared" si="5"/>
        <v>31250</v>
      </c>
      <c r="U19" s="167">
        <f t="shared" si="5"/>
        <v>31250</v>
      </c>
      <c r="V19" s="167">
        <f t="shared" si="5"/>
        <v>31250</v>
      </c>
      <c r="W19" s="167">
        <f t="shared" si="5"/>
        <v>31250</v>
      </c>
      <c r="X19" s="167">
        <f t="shared" si="5"/>
        <v>31250</v>
      </c>
      <c r="Y19" s="167">
        <f t="shared" si="5"/>
        <v>31250</v>
      </c>
      <c r="Z19" s="167">
        <f t="shared" si="5"/>
        <v>31250</v>
      </c>
    </row>
    <row r="20" spans="2:26" x14ac:dyDescent="0.35">
      <c r="B20" s="263" t="s">
        <v>40</v>
      </c>
      <c r="C20" s="264"/>
      <c r="D20" s="265">
        <f>Inputs!D115</f>
        <v>125000</v>
      </c>
      <c r="E20" s="266">
        <f>Inputs!E115</f>
        <v>10</v>
      </c>
      <c r="G20" s="167">
        <f t="shared" si="4"/>
        <v>0</v>
      </c>
      <c r="H20" s="167">
        <f t="shared" si="4"/>
        <v>0</v>
      </c>
      <c r="I20" s="167">
        <f t="shared" si="4"/>
        <v>31250</v>
      </c>
      <c r="J20" s="167">
        <f t="shared" si="4"/>
        <v>31250</v>
      </c>
      <c r="K20" s="167">
        <f t="shared" si="4"/>
        <v>31250</v>
      </c>
      <c r="L20" s="167">
        <f t="shared" si="4"/>
        <v>31250</v>
      </c>
      <c r="M20" s="167">
        <f t="shared" si="4"/>
        <v>31250</v>
      </c>
      <c r="N20" s="167">
        <f t="shared" si="4"/>
        <v>31250</v>
      </c>
      <c r="O20" s="167">
        <f t="shared" si="4"/>
        <v>31250</v>
      </c>
      <c r="P20" s="167">
        <f t="shared" si="4"/>
        <v>31250</v>
      </c>
      <c r="Q20" s="167">
        <f t="shared" si="5"/>
        <v>31250</v>
      </c>
      <c r="R20" s="167">
        <f t="shared" si="5"/>
        <v>31250</v>
      </c>
      <c r="S20" s="167">
        <f t="shared" si="5"/>
        <v>31250</v>
      </c>
      <c r="T20" s="167">
        <f t="shared" si="5"/>
        <v>31250</v>
      </c>
      <c r="U20" s="167">
        <f t="shared" si="5"/>
        <v>31250</v>
      </c>
      <c r="V20" s="167">
        <f t="shared" si="5"/>
        <v>31250</v>
      </c>
      <c r="W20" s="167">
        <f t="shared" si="5"/>
        <v>31250</v>
      </c>
      <c r="X20" s="167">
        <f t="shared" si="5"/>
        <v>31250</v>
      </c>
      <c r="Y20" s="167">
        <f t="shared" si="5"/>
        <v>31250</v>
      </c>
      <c r="Z20" s="167">
        <f t="shared" si="5"/>
        <v>31250</v>
      </c>
    </row>
    <row r="21" spans="2:26" x14ac:dyDescent="0.35">
      <c r="B21" s="263" t="s">
        <v>40</v>
      </c>
      <c r="C21" s="264"/>
      <c r="D21" s="265">
        <f>Inputs!D116</f>
        <v>125000</v>
      </c>
      <c r="E21" s="266">
        <f>Inputs!E116</f>
        <v>15</v>
      </c>
      <c r="G21" s="167">
        <f t="shared" si="4"/>
        <v>0</v>
      </c>
      <c r="H21" s="167">
        <f t="shared" si="4"/>
        <v>0</v>
      </c>
      <c r="I21" s="167">
        <f t="shared" si="4"/>
        <v>0</v>
      </c>
      <c r="J21" s="167">
        <f t="shared" si="4"/>
        <v>0</v>
      </c>
      <c r="K21" s="167">
        <f t="shared" si="4"/>
        <v>0</v>
      </c>
      <c r="L21" s="167">
        <f t="shared" si="4"/>
        <v>0</v>
      </c>
      <c r="M21" s="167">
        <f t="shared" si="4"/>
        <v>31250</v>
      </c>
      <c r="N21" s="167">
        <f t="shared" si="4"/>
        <v>31250</v>
      </c>
      <c r="O21" s="167">
        <f t="shared" si="4"/>
        <v>31250</v>
      </c>
      <c r="P21" s="167">
        <f t="shared" si="4"/>
        <v>31250</v>
      </c>
      <c r="Q21" s="167">
        <f t="shared" si="5"/>
        <v>31250</v>
      </c>
      <c r="R21" s="167">
        <f t="shared" si="5"/>
        <v>31250</v>
      </c>
      <c r="S21" s="167">
        <f t="shared" si="5"/>
        <v>31250</v>
      </c>
      <c r="T21" s="167">
        <f t="shared" si="5"/>
        <v>31250</v>
      </c>
      <c r="U21" s="167">
        <f t="shared" si="5"/>
        <v>31250</v>
      </c>
      <c r="V21" s="167">
        <f t="shared" si="5"/>
        <v>31250</v>
      </c>
      <c r="W21" s="167">
        <f t="shared" si="5"/>
        <v>31250</v>
      </c>
      <c r="X21" s="167">
        <f t="shared" si="5"/>
        <v>31250</v>
      </c>
      <c r="Y21" s="167">
        <f t="shared" si="5"/>
        <v>31250</v>
      </c>
      <c r="Z21" s="167">
        <f t="shared" si="5"/>
        <v>31250</v>
      </c>
    </row>
    <row r="22" spans="2:26" x14ac:dyDescent="0.35">
      <c r="B22" s="263" t="s">
        <v>40</v>
      </c>
      <c r="C22" s="264"/>
      <c r="D22" s="265">
        <f>Inputs!D117</f>
        <v>125000</v>
      </c>
      <c r="E22" s="266">
        <f>Inputs!E117</f>
        <v>20</v>
      </c>
      <c r="G22" s="167">
        <f t="shared" si="4"/>
        <v>0</v>
      </c>
      <c r="H22" s="167">
        <f t="shared" si="4"/>
        <v>0</v>
      </c>
      <c r="I22" s="167">
        <f t="shared" si="4"/>
        <v>0</v>
      </c>
      <c r="J22" s="167">
        <f t="shared" si="4"/>
        <v>0</v>
      </c>
      <c r="K22" s="167">
        <f t="shared" si="4"/>
        <v>0</v>
      </c>
      <c r="L22" s="167">
        <f t="shared" si="4"/>
        <v>0</v>
      </c>
      <c r="M22" s="167">
        <f t="shared" si="4"/>
        <v>0</v>
      </c>
      <c r="N22" s="167">
        <f t="shared" si="4"/>
        <v>0</v>
      </c>
      <c r="O22" s="167">
        <f t="shared" si="4"/>
        <v>0</v>
      </c>
      <c r="P22" s="167">
        <f t="shared" si="4"/>
        <v>31250</v>
      </c>
      <c r="Q22" s="167">
        <f t="shared" si="5"/>
        <v>31250</v>
      </c>
      <c r="R22" s="167">
        <f t="shared" si="5"/>
        <v>31250</v>
      </c>
      <c r="S22" s="167">
        <f t="shared" si="5"/>
        <v>31250</v>
      </c>
      <c r="T22" s="167">
        <f t="shared" si="5"/>
        <v>31250</v>
      </c>
      <c r="U22" s="167">
        <f t="shared" si="5"/>
        <v>31250</v>
      </c>
      <c r="V22" s="167">
        <f t="shared" si="5"/>
        <v>31250</v>
      </c>
      <c r="W22" s="167">
        <f t="shared" si="5"/>
        <v>31250</v>
      </c>
      <c r="X22" s="167">
        <f t="shared" si="5"/>
        <v>31250</v>
      </c>
      <c r="Y22" s="167">
        <f t="shared" si="5"/>
        <v>31250</v>
      </c>
      <c r="Z22" s="167">
        <f t="shared" si="5"/>
        <v>31250</v>
      </c>
    </row>
    <row r="23" spans="2:26" x14ac:dyDescent="0.35">
      <c r="B23" s="263" t="s">
        <v>40</v>
      </c>
      <c r="C23" s="264"/>
      <c r="D23" s="265">
        <f>Inputs!D118</f>
        <v>125000</v>
      </c>
      <c r="E23" s="266">
        <f>Inputs!E118</f>
        <v>25</v>
      </c>
      <c r="G23" s="167">
        <f t="shared" si="4"/>
        <v>0</v>
      </c>
      <c r="H23" s="167">
        <f t="shared" si="4"/>
        <v>0</v>
      </c>
      <c r="I23" s="167">
        <f t="shared" si="4"/>
        <v>0</v>
      </c>
      <c r="J23" s="167">
        <f t="shared" si="4"/>
        <v>0</v>
      </c>
      <c r="K23" s="167">
        <f t="shared" si="4"/>
        <v>0</v>
      </c>
      <c r="L23" s="167">
        <f t="shared" si="4"/>
        <v>0</v>
      </c>
      <c r="M23" s="167">
        <f t="shared" si="4"/>
        <v>0</v>
      </c>
      <c r="N23" s="167">
        <f t="shared" si="4"/>
        <v>0</v>
      </c>
      <c r="O23" s="167">
        <f t="shared" si="4"/>
        <v>0</v>
      </c>
      <c r="P23" s="167">
        <f t="shared" si="4"/>
        <v>0</v>
      </c>
      <c r="Q23" s="167">
        <f t="shared" si="5"/>
        <v>0</v>
      </c>
      <c r="R23" s="167">
        <f t="shared" si="5"/>
        <v>0</v>
      </c>
      <c r="S23" s="167">
        <f t="shared" si="5"/>
        <v>0</v>
      </c>
      <c r="T23" s="167">
        <f t="shared" si="5"/>
        <v>31250</v>
      </c>
      <c r="U23" s="167">
        <f t="shared" si="5"/>
        <v>31250</v>
      </c>
      <c r="V23" s="167">
        <f t="shared" si="5"/>
        <v>31250</v>
      </c>
      <c r="W23" s="167">
        <f t="shared" si="5"/>
        <v>31250</v>
      </c>
      <c r="X23" s="167">
        <f t="shared" si="5"/>
        <v>31250</v>
      </c>
      <c r="Y23" s="167">
        <f t="shared" si="5"/>
        <v>31250</v>
      </c>
      <c r="Z23" s="167">
        <f t="shared" si="5"/>
        <v>31250</v>
      </c>
    </row>
    <row r="24" spans="2:26" x14ac:dyDescent="0.35">
      <c r="B24" s="263" t="s">
        <v>40</v>
      </c>
      <c r="C24" s="264"/>
      <c r="D24" s="265">
        <f>Inputs!D119</f>
        <v>125000</v>
      </c>
      <c r="E24" s="266">
        <f>Inputs!E119</f>
        <v>30</v>
      </c>
      <c r="G24" s="167">
        <f t="shared" si="4"/>
        <v>0</v>
      </c>
      <c r="H24" s="167">
        <f t="shared" si="4"/>
        <v>0</v>
      </c>
      <c r="I24" s="167">
        <f t="shared" si="4"/>
        <v>0</v>
      </c>
      <c r="J24" s="167">
        <f t="shared" si="4"/>
        <v>0</v>
      </c>
      <c r="K24" s="167">
        <f t="shared" si="4"/>
        <v>0</v>
      </c>
      <c r="L24" s="167">
        <f t="shared" si="4"/>
        <v>0</v>
      </c>
      <c r="M24" s="167">
        <f t="shared" si="4"/>
        <v>0</v>
      </c>
      <c r="N24" s="167">
        <f t="shared" si="4"/>
        <v>0</v>
      </c>
      <c r="O24" s="167">
        <f t="shared" si="4"/>
        <v>0</v>
      </c>
      <c r="P24" s="167">
        <f t="shared" si="4"/>
        <v>0</v>
      </c>
      <c r="Q24" s="167">
        <f t="shared" si="5"/>
        <v>0</v>
      </c>
      <c r="R24" s="167">
        <f t="shared" si="5"/>
        <v>0</v>
      </c>
      <c r="S24" s="167">
        <f t="shared" si="5"/>
        <v>0</v>
      </c>
      <c r="T24" s="167">
        <f t="shared" si="5"/>
        <v>0</v>
      </c>
      <c r="U24" s="167">
        <f t="shared" si="5"/>
        <v>0</v>
      </c>
      <c r="V24" s="167">
        <f t="shared" si="5"/>
        <v>0</v>
      </c>
      <c r="W24" s="167">
        <f t="shared" si="5"/>
        <v>31250</v>
      </c>
      <c r="X24" s="167">
        <f t="shared" si="5"/>
        <v>31250</v>
      </c>
      <c r="Y24" s="167">
        <f t="shared" si="5"/>
        <v>31250</v>
      </c>
      <c r="Z24" s="167">
        <f t="shared" si="5"/>
        <v>31250</v>
      </c>
    </row>
    <row r="25" spans="2:26" x14ac:dyDescent="0.35">
      <c r="B25" s="263" t="s">
        <v>40</v>
      </c>
      <c r="C25" s="264"/>
      <c r="D25" s="265">
        <f>Inputs!D120</f>
        <v>125000</v>
      </c>
      <c r="E25" s="266">
        <f>Inputs!E120</f>
        <v>35</v>
      </c>
      <c r="G25" s="167">
        <f t="shared" si="4"/>
        <v>0</v>
      </c>
      <c r="H25" s="167">
        <f t="shared" si="4"/>
        <v>0</v>
      </c>
      <c r="I25" s="167">
        <f t="shared" si="4"/>
        <v>0</v>
      </c>
      <c r="J25" s="167">
        <f t="shared" si="4"/>
        <v>0</v>
      </c>
      <c r="K25" s="167">
        <f t="shared" si="4"/>
        <v>0</v>
      </c>
      <c r="L25" s="167">
        <f t="shared" si="4"/>
        <v>0</v>
      </c>
      <c r="M25" s="167">
        <f t="shared" si="4"/>
        <v>0</v>
      </c>
      <c r="N25" s="167">
        <f t="shared" si="4"/>
        <v>0</v>
      </c>
      <c r="O25" s="167">
        <f t="shared" si="4"/>
        <v>0</v>
      </c>
      <c r="P25" s="167">
        <f t="shared" si="4"/>
        <v>0</v>
      </c>
      <c r="Q25" s="167">
        <f t="shared" si="5"/>
        <v>0</v>
      </c>
      <c r="R25" s="167">
        <f t="shared" si="5"/>
        <v>0</v>
      </c>
      <c r="S25" s="167">
        <f t="shared" si="5"/>
        <v>0</v>
      </c>
      <c r="T25" s="167">
        <f t="shared" si="5"/>
        <v>0</v>
      </c>
      <c r="U25" s="167">
        <f t="shared" si="5"/>
        <v>0</v>
      </c>
      <c r="V25" s="167">
        <f t="shared" si="5"/>
        <v>0</v>
      </c>
      <c r="W25" s="167">
        <f t="shared" si="5"/>
        <v>0</v>
      </c>
      <c r="X25" s="167">
        <f t="shared" si="5"/>
        <v>0</v>
      </c>
      <c r="Y25" s="167">
        <f t="shared" si="5"/>
        <v>0</v>
      </c>
      <c r="Z25" s="167">
        <f t="shared" si="5"/>
        <v>31250</v>
      </c>
    </row>
    <row r="26" spans="2:26" x14ac:dyDescent="0.35">
      <c r="B26" s="269" t="s">
        <v>27</v>
      </c>
      <c r="C26" s="264"/>
      <c r="D26" s="270"/>
      <c r="E26" s="271"/>
      <c r="G26" s="167"/>
      <c r="H26" s="167"/>
      <c r="I26" s="167"/>
      <c r="J26" s="167"/>
      <c r="K26" s="167"/>
      <c r="L26" s="167"/>
      <c r="M26" s="167"/>
      <c r="N26" s="167"/>
      <c r="O26" s="167"/>
      <c r="P26" s="167"/>
      <c r="Q26" s="167"/>
      <c r="R26" s="167"/>
      <c r="S26" s="167"/>
      <c r="T26" s="167"/>
      <c r="U26" s="167"/>
      <c r="V26" s="167"/>
      <c r="W26" s="167"/>
      <c r="X26" s="167"/>
      <c r="Y26" s="167"/>
      <c r="Z26" s="167"/>
    </row>
    <row r="27" spans="2:26" x14ac:dyDescent="0.35">
      <c r="B27" s="263" t="s">
        <v>28</v>
      </c>
      <c r="C27" s="264"/>
      <c r="D27" s="265">
        <f>Inputs!D122</f>
        <v>90000</v>
      </c>
      <c r="E27" s="266">
        <f>Inputs!E122</f>
        <v>20</v>
      </c>
      <c r="G27" s="167">
        <f t="shared" ref="G27:P28" si="6">IF($E27&lt;=G$5,$D27*G$6,0)</f>
        <v>0</v>
      </c>
      <c r="H27" s="167">
        <f t="shared" si="6"/>
        <v>0</v>
      </c>
      <c r="I27" s="167">
        <f t="shared" si="6"/>
        <v>0</v>
      </c>
      <c r="J27" s="167">
        <f t="shared" si="6"/>
        <v>0</v>
      </c>
      <c r="K27" s="167">
        <f t="shared" si="6"/>
        <v>0</v>
      </c>
      <c r="L27" s="167">
        <f t="shared" si="6"/>
        <v>0</v>
      </c>
      <c r="M27" s="167">
        <f t="shared" si="6"/>
        <v>0</v>
      </c>
      <c r="N27" s="167">
        <f t="shared" si="6"/>
        <v>0</v>
      </c>
      <c r="O27" s="167">
        <f t="shared" si="6"/>
        <v>0</v>
      </c>
      <c r="P27" s="167">
        <f t="shared" si="6"/>
        <v>22500</v>
      </c>
      <c r="Q27" s="167">
        <f t="shared" ref="Q27:Z28" si="7">IF($E27&lt;=Q$5,$D27*Q$6,0)</f>
        <v>22500</v>
      </c>
      <c r="R27" s="167">
        <f t="shared" si="7"/>
        <v>22500</v>
      </c>
      <c r="S27" s="167">
        <f t="shared" si="7"/>
        <v>22500</v>
      </c>
      <c r="T27" s="167">
        <f t="shared" si="7"/>
        <v>22500</v>
      </c>
      <c r="U27" s="167">
        <f t="shared" si="7"/>
        <v>22500</v>
      </c>
      <c r="V27" s="167">
        <f t="shared" si="7"/>
        <v>22500</v>
      </c>
      <c r="W27" s="167">
        <f t="shared" si="7"/>
        <v>22500</v>
      </c>
      <c r="X27" s="167">
        <f t="shared" si="7"/>
        <v>22500</v>
      </c>
      <c r="Y27" s="167">
        <f t="shared" si="7"/>
        <v>22500</v>
      </c>
      <c r="Z27" s="167">
        <f t="shared" si="7"/>
        <v>22500</v>
      </c>
    </row>
    <row r="28" spans="2:26" x14ac:dyDescent="0.35">
      <c r="B28" s="263" t="s">
        <v>29</v>
      </c>
      <c r="C28" s="264"/>
      <c r="D28" s="265">
        <f>Inputs!D123</f>
        <v>80000</v>
      </c>
      <c r="E28" s="266">
        <f>Inputs!E123</f>
        <v>40</v>
      </c>
      <c r="G28" s="167">
        <f t="shared" si="6"/>
        <v>0</v>
      </c>
      <c r="H28" s="167">
        <f t="shared" si="6"/>
        <v>0</v>
      </c>
      <c r="I28" s="167">
        <f t="shared" si="6"/>
        <v>0</v>
      </c>
      <c r="J28" s="167">
        <f t="shared" si="6"/>
        <v>0</v>
      </c>
      <c r="K28" s="167">
        <f t="shared" si="6"/>
        <v>0</v>
      </c>
      <c r="L28" s="167">
        <f t="shared" si="6"/>
        <v>0</v>
      </c>
      <c r="M28" s="167">
        <f t="shared" si="6"/>
        <v>0</v>
      </c>
      <c r="N28" s="167">
        <f t="shared" si="6"/>
        <v>0</v>
      </c>
      <c r="O28" s="167">
        <f t="shared" si="6"/>
        <v>0</v>
      </c>
      <c r="P28" s="167">
        <f t="shared" si="6"/>
        <v>0</v>
      </c>
      <c r="Q28" s="167">
        <f t="shared" si="7"/>
        <v>0</v>
      </c>
      <c r="R28" s="167">
        <f t="shared" si="7"/>
        <v>0</v>
      </c>
      <c r="S28" s="167">
        <f t="shared" si="7"/>
        <v>0</v>
      </c>
      <c r="T28" s="167">
        <f t="shared" si="7"/>
        <v>0</v>
      </c>
      <c r="U28" s="167">
        <f t="shared" si="7"/>
        <v>0</v>
      </c>
      <c r="V28" s="167">
        <f t="shared" si="7"/>
        <v>0</v>
      </c>
      <c r="W28" s="167">
        <f t="shared" si="7"/>
        <v>0</v>
      </c>
      <c r="X28" s="167">
        <f t="shared" si="7"/>
        <v>0</v>
      </c>
      <c r="Y28" s="167">
        <f t="shared" si="7"/>
        <v>0</v>
      </c>
      <c r="Z28" s="167">
        <f t="shared" si="7"/>
        <v>0</v>
      </c>
    </row>
    <row r="29" spans="2:26" x14ac:dyDescent="0.35">
      <c r="B29" s="269" t="s">
        <v>30</v>
      </c>
      <c r="C29" s="264"/>
      <c r="D29" s="270"/>
      <c r="E29" s="271"/>
      <c r="G29" s="167"/>
      <c r="H29" s="167"/>
      <c r="I29" s="167"/>
      <c r="J29" s="167"/>
      <c r="K29" s="167"/>
      <c r="L29" s="167"/>
      <c r="M29" s="167"/>
      <c r="N29" s="167"/>
      <c r="O29" s="167"/>
      <c r="P29" s="167"/>
      <c r="Q29" s="167"/>
      <c r="R29" s="167"/>
      <c r="S29" s="167"/>
      <c r="T29" s="167"/>
      <c r="U29" s="167"/>
      <c r="V29" s="167"/>
      <c r="W29" s="167"/>
      <c r="X29" s="167"/>
      <c r="Y29" s="167"/>
      <c r="Z29" s="167"/>
    </row>
    <row r="30" spans="2:26" x14ac:dyDescent="0.35">
      <c r="B30" s="263" t="s">
        <v>31</v>
      </c>
      <c r="C30" s="264"/>
      <c r="D30" s="265">
        <f>Inputs!D125</f>
        <v>120000</v>
      </c>
      <c r="E30" s="266">
        <f>Inputs!E125</f>
        <v>20</v>
      </c>
      <c r="G30" s="167">
        <f t="shared" ref="G30:P31" si="8">IF($E30&lt;=G$5,$D30*G$6,0)</f>
        <v>0</v>
      </c>
      <c r="H30" s="167">
        <f t="shared" si="8"/>
        <v>0</v>
      </c>
      <c r="I30" s="167">
        <f t="shared" si="8"/>
        <v>0</v>
      </c>
      <c r="J30" s="167">
        <f t="shared" si="8"/>
        <v>0</v>
      </c>
      <c r="K30" s="167">
        <f t="shared" si="8"/>
        <v>0</v>
      </c>
      <c r="L30" s="167">
        <f t="shared" si="8"/>
        <v>0</v>
      </c>
      <c r="M30" s="167">
        <f t="shared" si="8"/>
        <v>0</v>
      </c>
      <c r="N30" s="167">
        <f t="shared" si="8"/>
        <v>0</v>
      </c>
      <c r="O30" s="167">
        <f t="shared" si="8"/>
        <v>0</v>
      </c>
      <c r="P30" s="167">
        <f t="shared" si="8"/>
        <v>30000</v>
      </c>
      <c r="Q30" s="167">
        <f t="shared" ref="Q30:Z31" si="9">IF($E30&lt;=Q$5,$D30*Q$6,0)</f>
        <v>30000</v>
      </c>
      <c r="R30" s="167">
        <f t="shared" si="9"/>
        <v>30000</v>
      </c>
      <c r="S30" s="167">
        <f t="shared" si="9"/>
        <v>30000</v>
      </c>
      <c r="T30" s="167">
        <f t="shared" si="9"/>
        <v>30000</v>
      </c>
      <c r="U30" s="167">
        <f t="shared" si="9"/>
        <v>30000</v>
      </c>
      <c r="V30" s="167">
        <f t="shared" si="9"/>
        <v>30000</v>
      </c>
      <c r="W30" s="167">
        <f t="shared" si="9"/>
        <v>30000</v>
      </c>
      <c r="X30" s="167">
        <f t="shared" si="9"/>
        <v>30000</v>
      </c>
      <c r="Y30" s="167">
        <f t="shared" si="9"/>
        <v>30000</v>
      </c>
      <c r="Z30" s="167">
        <f t="shared" si="9"/>
        <v>30000</v>
      </c>
    </row>
    <row r="31" spans="2:26" x14ac:dyDescent="0.35">
      <c r="B31" s="263" t="s">
        <v>32</v>
      </c>
      <c r="C31" s="264"/>
      <c r="D31" s="265">
        <f>Inputs!D126</f>
        <v>75000</v>
      </c>
      <c r="E31" s="266">
        <f>Inputs!E126</f>
        <v>4</v>
      </c>
      <c r="G31" s="167">
        <f t="shared" si="8"/>
        <v>18750</v>
      </c>
      <c r="H31" s="167">
        <f t="shared" si="8"/>
        <v>18750</v>
      </c>
      <c r="I31" s="167">
        <f t="shared" si="8"/>
        <v>18750</v>
      </c>
      <c r="J31" s="167">
        <f t="shared" si="8"/>
        <v>18750</v>
      </c>
      <c r="K31" s="167">
        <f t="shared" si="8"/>
        <v>18750</v>
      </c>
      <c r="L31" s="167">
        <f t="shared" si="8"/>
        <v>18750</v>
      </c>
      <c r="M31" s="167">
        <f t="shared" si="8"/>
        <v>18750</v>
      </c>
      <c r="N31" s="167">
        <f t="shared" si="8"/>
        <v>18750</v>
      </c>
      <c r="O31" s="167">
        <f t="shared" si="8"/>
        <v>18750</v>
      </c>
      <c r="P31" s="167">
        <f t="shared" si="8"/>
        <v>18750</v>
      </c>
      <c r="Q31" s="167">
        <f t="shared" si="9"/>
        <v>18750</v>
      </c>
      <c r="R31" s="167">
        <f t="shared" si="9"/>
        <v>18750</v>
      </c>
      <c r="S31" s="167">
        <f t="shared" si="9"/>
        <v>18750</v>
      </c>
      <c r="T31" s="167">
        <f t="shared" si="9"/>
        <v>18750</v>
      </c>
      <c r="U31" s="167">
        <f t="shared" si="9"/>
        <v>18750</v>
      </c>
      <c r="V31" s="167">
        <f t="shared" si="9"/>
        <v>18750</v>
      </c>
      <c r="W31" s="167">
        <f t="shared" si="9"/>
        <v>18750</v>
      </c>
      <c r="X31" s="167">
        <f t="shared" si="9"/>
        <v>18750</v>
      </c>
      <c r="Y31" s="167">
        <f t="shared" si="9"/>
        <v>18750</v>
      </c>
      <c r="Z31" s="167">
        <f t="shared" si="9"/>
        <v>18750</v>
      </c>
    </row>
    <row r="32" spans="2:26" x14ac:dyDescent="0.35">
      <c r="B32" s="269" t="s">
        <v>5</v>
      </c>
      <c r="C32" s="264"/>
      <c r="D32" s="270"/>
      <c r="E32" s="271"/>
      <c r="G32" s="167"/>
      <c r="H32" s="167"/>
      <c r="I32" s="167"/>
      <c r="J32" s="167"/>
      <c r="K32" s="167"/>
      <c r="L32" s="167"/>
      <c r="M32" s="167"/>
      <c r="N32" s="167"/>
      <c r="O32" s="167"/>
      <c r="P32" s="167"/>
      <c r="Q32" s="167"/>
      <c r="R32" s="167"/>
      <c r="S32" s="167"/>
      <c r="T32" s="167"/>
      <c r="U32" s="167"/>
      <c r="V32" s="167"/>
      <c r="W32" s="167"/>
      <c r="X32" s="167"/>
      <c r="Y32" s="167"/>
      <c r="Z32" s="167"/>
    </row>
    <row r="33" spans="2:26" x14ac:dyDescent="0.35">
      <c r="B33" s="263" t="s">
        <v>33</v>
      </c>
      <c r="C33" s="264"/>
      <c r="D33" s="265">
        <f>Inputs!D128</f>
        <v>50000</v>
      </c>
      <c r="E33" s="266">
        <f>Inputs!E128</f>
        <v>1</v>
      </c>
      <c r="G33" s="167">
        <f t="shared" ref="G33:P34" si="10">IF($E33&lt;=G$5,$D33*G$6,0)</f>
        <v>12500</v>
      </c>
      <c r="H33" s="167">
        <f t="shared" si="10"/>
        <v>12500</v>
      </c>
      <c r="I33" s="167">
        <f t="shared" si="10"/>
        <v>12500</v>
      </c>
      <c r="J33" s="167">
        <f t="shared" si="10"/>
        <v>12500</v>
      </c>
      <c r="K33" s="167">
        <f t="shared" si="10"/>
        <v>12500</v>
      </c>
      <c r="L33" s="167">
        <f t="shared" si="10"/>
        <v>12500</v>
      </c>
      <c r="M33" s="167">
        <f t="shared" si="10"/>
        <v>12500</v>
      </c>
      <c r="N33" s="167">
        <f t="shared" si="10"/>
        <v>12500</v>
      </c>
      <c r="O33" s="167">
        <f t="shared" si="10"/>
        <v>12500</v>
      </c>
      <c r="P33" s="167">
        <f t="shared" si="10"/>
        <v>12500</v>
      </c>
      <c r="Q33" s="167">
        <f t="shared" ref="Q33:Z34" si="11">IF($E33&lt;=Q$5,$D33*Q$6,0)</f>
        <v>12500</v>
      </c>
      <c r="R33" s="167">
        <f t="shared" si="11"/>
        <v>12500</v>
      </c>
      <c r="S33" s="167">
        <f t="shared" si="11"/>
        <v>12500</v>
      </c>
      <c r="T33" s="167">
        <f t="shared" si="11"/>
        <v>12500</v>
      </c>
      <c r="U33" s="167">
        <f t="shared" si="11"/>
        <v>12500</v>
      </c>
      <c r="V33" s="167">
        <f t="shared" si="11"/>
        <v>12500</v>
      </c>
      <c r="W33" s="167">
        <f t="shared" si="11"/>
        <v>12500</v>
      </c>
      <c r="X33" s="167">
        <f t="shared" si="11"/>
        <v>12500</v>
      </c>
      <c r="Y33" s="167">
        <f t="shared" si="11"/>
        <v>12500</v>
      </c>
      <c r="Z33" s="167">
        <f t="shared" si="11"/>
        <v>12500</v>
      </c>
    </row>
    <row r="34" spans="2:26" x14ac:dyDescent="0.35">
      <c r="B34" s="263" t="s">
        <v>34</v>
      </c>
      <c r="C34" s="276" t="s">
        <v>38</v>
      </c>
      <c r="D34" s="265">
        <f>Inputs!D129</f>
        <v>50000</v>
      </c>
      <c r="E34" s="266">
        <f>Inputs!E129</f>
        <v>30</v>
      </c>
      <c r="G34" s="167">
        <f t="shared" si="10"/>
        <v>0</v>
      </c>
      <c r="H34" s="167">
        <f t="shared" si="10"/>
        <v>0</v>
      </c>
      <c r="I34" s="167">
        <f t="shared" si="10"/>
        <v>0</v>
      </c>
      <c r="J34" s="167">
        <f t="shared" si="10"/>
        <v>0</v>
      </c>
      <c r="K34" s="167">
        <f t="shared" si="10"/>
        <v>0</v>
      </c>
      <c r="L34" s="167">
        <f t="shared" si="10"/>
        <v>0</v>
      </c>
      <c r="M34" s="167">
        <f t="shared" si="10"/>
        <v>0</v>
      </c>
      <c r="N34" s="167">
        <f t="shared" si="10"/>
        <v>0</v>
      </c>
      <c r="O34" s="167">
        <f t="shared" si="10"/>
        <v>0</v>
      </c>
      <c r="P34" s="167">
        <f t="shared" si="10"/>
        <v>0</v>
      </c>
      <c r="Q34" s="167">
        <f t="shared" si="11"/>
        <v>0</v>
      </c>
      <c r="R34" s="167">
        <f t="shared" si="11"/>
        <v>0</v>
      </c>
      <c r="S34" s="167">
        <f t="shared" si="11"/>
        <v>0</v>
      </c>
      <c r="T34" s="167">
        <f t="shared" si="11"/>
        <v>0</v>
      </c>
      <c r="U34" s="167">
        <f t="shared" si="11"/>
        <v>0</v>
      </c>
      <c r="V34" s="167">
        <f t="shared" si="11"/>
        <v>0</v>
      </c>
      <c r="W34" s="167">
        <f t="shared" si="11"/>
        <v>12500</v>
      </c>
      <c r="X34" s="167">
        <f t="shared" si="11"/>
        <v>12500</v>
      </c>
      <c r="Y34" s="167">
        <f t="shared" si="11"/>
        <v>12500</v>
      </c>
      <c r="Z34" s="167">
        <f t="shared" si="11"/>
        <v>12500</v>
      </c>
    </row>
    <row r="35" spans="2:26" x14ac:dyDescent="0.35">
      <c r="B35" s="272" t="s">
        <v>35</v>
      </c>
      <c r="C35" s="273">
        <f>Inputs!C130</f>
        <v>0.15</v>
      </c>
      <c r="D35" s="274"/>
      <c r="E35" s="275"/>
      <c r="G35" s="277">
        <f>SUM(G10:G34)*$C$35</f>
        <v>24375</v>
      </c>
      <c r="H35" s="277">
        <f>SUM(H10:H34)*$C$35</f>
        <v>24375</v>
      </c>
      <c r="I35" s="277">
        <f t="shared" ref="I35:Z35" si="12">SUM(I10:I34)*$C$35</f>
        <v>34687.5</v>
      </c>
      <c r="J35" s="277">
        <f t="shared" si="12"/>
        <v>34687.5</v>
      </c>
      <c r="K35" s="277">
        <f t="shared" si="12"/>
        <v>34687.5</v>
      </c>
      <c r="L35" s="277">
        <f t="shared" si="12"/>
        <v>34687.5</v>
      </c>
      <c r="M35" s="277">
        <f t="shared" si="12"/>
        <v>46125</v>
      </c>
      <c r="N35" s="277">
        <f t="shared" si="12"/>
        <v>46125</v>
      </c>
      <c r="O35" s="277">
        <f t="shared" si="12"/>
        <v>46125</v>
      </c>
      <c r="P35" s="277">
        <f t="shared" si="12"/>
        <v>58687.5</v>
      </c>
      <c r="Q35" s="277">
        <f t="shared" si="12"/>
        <v>58687.5</v>
      </c>
      <c r="R35" s="277">
        <f t="shared" si="12"/>
        <v>58687.5</v>
      </c>
      <c r="S35" s="277">
        <f t="shared" si="12"/>
        <v>58687.5</v>
      </c>
      <c r="T35" s="277">
        <f t="shared" si="12"/>
        <v>68062.5</v>
      </c>
      <c r="U35" s="277">
        <f t="shared" si="12"/>
        <v>68062.5</v>
      </c>
      <c r="V35" s="277">
        <f t="shared" si="12"/>
        <v>68062.5</v>
      </c>
      <c r="W35" s="277">
        <f t="shared" si="12"/>
        <v>74625</v>
      </c>
      <c r="X35" s="277">
        <f t="shared" si="12"/>
        <v>74625</v>
      </c>
      <c r="Y35" s="277">
        <f t="shared" si="12"/>
        <v>74625</v>
      </c>
      <c r="Z35" s="277">
        <f t="shared" si="12"/>
        <v>79312.5</v>
      </c>
    </row>
    <row r="37" spans="2:26" ht="15" thickBot="1" x14ac:dyDescent="0.4">
      <c r="E37" s="165" t="s">
        <v>225</v>
      </c>
      <c r="G37" s="180">
        <f>SUM(G10:G35)</f>
        <v>186875</v>
      </c>
      <c r="H37" s="180">
        <f t="shared" ref="H37:Z37" si="13">SUM(H10:H35)</f>
        <v>186875</v>
      </c>
      <c r="I37" s="180">
        <f t="shared" si="13"/>
        <v>265937.5</v>
      </c>
      <c r="J37" s="180">
        <f t="shared" si="13"/>
        <v>265937.5</v>
      </c>
      <c r="K37" s="180">
        <f t="shared" si="13"/>
        <v>265937.5</v>
      </c>
      <c r="L37" s="180">
        <f t="shared" si="13"/>
        <v>265937.5</v>
      </c>
      <c r="M37" s="180">
        <f t="shared" si="13"/>
        <v>353625</v>
      </c>
      <c r="N37" s="180">
        <f t="shared" si="13"/>
        <v>353625</v>
      </c>
      <c r="O37" s="180">
        <f t="shared" si="13"/>
        <v>353625</v>
      </c>
      <c r="P37" s="180">
        <f t="shared" si="13"/>
        <v>449937.5</v>
      </c>
      <c r="Q37" s="180">
        <f t="shared" si="13"/>
        <v>449937.5</v>
      </c>
      <c r="R37" s="180">
        <f t="shared" si="13"/>
        <v>449937.5</v>
      </c>
      <c r="S37" s="180">
        <f t="shared" si="13"/>
        <v>449937.5</v>
      </c>
      <c r="T37" s="180">
        <f t="shared" si="13"/>
        <v>521812.5</v>
      </c>
      <c r="U37" s="180">
        <f t="shared" si="13"/>
        <v>521812.5</v>
      </c>
      <c r="V37" s="180">
        <f t="shared" si="13"/>
        <v>521812.5</v>
      </c>
      <c r="W37" s="180">
        <f t="shared" si="13"/>
        <v>572125</v>
      </c>
      <c r="X37" s="180">
        <f t="shared" si="13"/>
        <v>572125</v>
      </c>
      <c r="Y37" s="180">
        <f t="shared" si="13"/>
        <v>572125</v>
      </c>
      <c r="Z37" s="180">
        <f t="shared" si="13"/>
        <v>608062.5</v>
      </c>
    </row>
    <row r="38" spans="2:26" ht="15" thickTop="1" x14ac:dyDescent="0.35"/>
    <row r="39" spans="2:26" ht="14" x14ac:dyDescent="0.3">
      <c r="B39" s="278" t="s">
        <v>226</v>
      </c>
      <c r="C39" s="278"/>
      <c r="D39" s="278"/>
      <c r="E39" s="278"/>
      <c r="F39" s="278"/>
      <c r="G39" s="278"/>
      <c r="H39" s="278"/>
      <c r="I39" s="278"/>
      <c r="J39" s="278"/>
      <c r="K39" s="278"/>
      <c r="L39" s="278"/>
      <c r="M39" s="278"/>
      <c r="N39" s="278"/>
      <c r="O39" s="278"/>
      <c r="P39" s="278"/>
      <c r="Q39" s="278"/>
      <c r="R39" s="278"/>
      <c r="S39" s="278"/>
      <c r="T39" s="278"/>
      <c r="U39" s="278"/>
      <c r="V39" s="278"/>
      <c r="W39" s="278"/>
      <c r="X39" s="278"/>
      <c r="Y39" s="278"/>
      <c r="Z39" s="278"/>
    </row>
    <row r="40" spans="2:26" x14ac:dyDescent="0.35">
      <c r="B40" s="279" t="str">
        <f>B61</f>
        <v>Payroll Tax and Benefits</v>
      </c>
      <c r="G40" s="169">
        <f>G$37*$E$61</f>
        <v>37375</v>
      </c>
      <c r="H40" s="169">
        <f t="shared" ref="H40:Z40" si="14">H$37*$E$61</f>
        <v>37375</v>
      </c>
      <c r="I40" s="169">
        <f t="shared" si="14"/>
        <v>53187.5</v>
      </c>
      <c r="J40" s="169">
        <f t="shared" si="14"/>
        <v>53187.5</v>
      </c>
      <c r="K40" s="169">
        <f t="shared" si="14"/>
        <v>53187.5</v>
      </c>
      <c r="L40" s="169">
        <f t="shared" si="14"/>
        <v>53187.5</v>
      </c>
      <c r="M40" s="169">
        <f t="shared" si="14"/>
        <v>70725</v>
      </c>
      <c r="N40" s="169">
        <f t="shared" si="14"/>
        <v>70725</v>
      </c>
      <c r="O40" s="169">
        <f t="shared" si="14"/>
        <v>70725</v>
      </c>
      <c r="P40" s="169">
        <f t="shared" si="14"/>
        <v>89987.5</v>
      </c>
      <c r="Q40" s="169">
        <f t="shared" si="14"/>
        <v>89987.5</v>
      </c>
      <c r="R40" s="169">
        <f t="shared" si="14"/>
        <v>89987.5</v>
      </c>
      <c r="S40" s="169">
        <f t="shared" si="14"/>
        <v>89987.5</v>
      </c>
      <c r="T40" s="169">
        <f t="shared" si="14"/>
        <v>104362.5</v>
      </c>
      <c r="U40" s="169">
        <f t="shared" si="14"/>
        <v>104362.5</v>
      </c>
      <c r="V40" s="169">
        <f t="shared" si="14"/>
        <v>104362.5</v>
      </c>
      <c r="W40" s="169">
        <f t="shared" si="14"/>
        <v>114425</v>
      </c>
      <c r="X40" s="169">
        <f t="shared" si="14"/>
        <v>114425</v>
      </c>
      <c r="Y40" s="169">
        <f t="shared" si="14"/>
        <v>114425</v>
      </c>
      <c r="Z40" s="169">
        <f t="shared" si="14"/>
        <v>121612.5</v>
      </c>
    </row>
    <row r="41" spans="2:26" x14ac:dyDescent="0.35">
      <c r="B41" s="163" t="str">
        <f>B62</f>
        <v>Rent Expense</v>
      </c>
      <c r="G41" s="167">
        <f>$E$65*G6</f>
        <v>12000</v>
      </c>
      <c r="H41" s="167">
        <f t="shared" ref="H41:I41" si="15">$E$65*H6</f>
        <v>12000</v>
      </c>
      <c r="I41" s="167">
        <f t="shared" si="15"/>
        <v>12000</v>
      </c>
      <c r="J41" s="167">
        <f>$E$65*J6</f>
        <v>12000</v>
      </c>
      <c r="K41" s="167">
        <f t="shared" ref="K41:Z41" si="16">$E$65*K6</f>
        <v>12000</v>
      </c>
      <c r="L41" s="167">
        <f t="shared" si="16"/>
        <v>12000</v>
      </c>
      <c r="M41" s="167">
        <f t="shared" si="16"/>
        <v>12000</v>
      </c>
      <c r="N41" s="167">
        <f t="shared" si="16"/>
        <v>12000</v>
      </c>
      <c r="O41" s="167">
        <f t="shared" si="16"/>
        <v>12000</v>
      </c>
      <c r="P41" s="167">
        <f t="shared" si="16"/>
        <v>12000</v>
      </c>
      <c r="Q41" s="167">
        <f t="shared" si="16"/>
        <v>12000</v>
      </c>
      <c r="R41" s="167">
        <f t="shared" si="16"/>
        <v>12000</v>
      </c>
      <c r="S41" s="167">
        <f t="shared" si="16"/>
        <v>12000</v>
      </c>
      <c r="T41" s="167">
        <f t="shared" si="16"/>
        <v>12000</v>
      </c>
      <c r="U41" s="167">
        <f t="shared" si="16"/>
        <v>12000</v>
      </c>
      <c r="V41" s="167">
        <f t="shared" si="16"/>
        <v>12000</v>
      </c>
      <c r="W41" s="167">
        <f t="shared" si="16"/>
        <v>12000</v>
      </c>
      <c r="X41" s="167">
        <f t="shared" si="16"/>
        <v>12000</v>
      </c>
      <c r="Y41" s="167">
        <f t="shared" si="16"/>
        <v>12000</v>
      </c>
      <c r="Z41" s="167">
        <f t="shared" si="16"/>
        <v>12000</v>
      </c>
    </row>
    <row r="42" spans="2:26" x14ac:dyDescent="0.35">
      <c r="B42" s="163" t="s">
        <v>43</v>
      </c>
      <c r="G42" s="169">
        <f>$E$67*G$41</f>
        <v>1800</v>
      </c>
      <c r="H42" s="169">
        <f t="shared" ref="H42:Z42" si="17">$E$67*H$41</f>
        <v>1800</v>
      </c>
      <c r="I42" s="169">
        <f t="shared" si="17"/>
        <v>1800</v>
      </c>
      <c r="J42" s="169">
        <f t="shared" si="17"/>
        <v>1800</v>
      </c>
      <c r="K42" s="169">
        <f t="shared" si="17"/>
        <v>1800</v>
      </c>
      <c r="L42" s="169">
        <f t="shared" si="17"/>
        <v>1800</v>
      </c>
      <c r="M42" s="169">
        <f t="shared" si="17"/>
        <v>1800</v>
      </c>
      <c r="N42" s="169">
        <f t="shared" si="17"/>
        <v>1800</v>
      </c>
      <c r="O42" s="169">
        <f t="shared" si="17"/>
        <v>1800</v>
      </c>
      <c r="P42" s="169">
        <f t="shared" si="17"/>
        <v>1800</v>
      </c>
      <c r="Q42" s="169">
        <f t="shared" si="17"/>
        <v>1800</v>
      </c>
      <c r="R42" s="169">
        <f t="shared" si="17"/>
        <v>1800</v>
      </c>
      <c r="S42" s="169">
        <f t="shared" si="17"/>
        <v>1800</v>
      </c>
      <c r="T42" s="169">
        <f t="shared" si="17"/>
        <v>1800</v>
      </c>
      <c r="U42" s="169">
        <f t="shared" si="17"/>
        <v>1800</v>
      </c>
      <c r="V42" s="169">
        <f t="shared" si="17"/>
        <v>1800</v>
      </c>
      <c r="W42" s="169">
        <f t="shared" si="17"/>
        <v>1800</v>
      </c>
      <c r="X42" s="169">
        <f t="shared" si="17"/>
        <v>1800</v>
      </c>
      <c r="Y42" s="169">
        <f t="shared" si="17"/>
        <v>1800</v>
      </c>
      <c r="Z42" s="169">
        <f t="shared" si="17"/>
        <v>1800</v>
      </c>
    </row>
    <row r="43" spans="2:26" x14ac:dyDescent="0.35">
      <c r="B43" s="163" t="s">
        <v>230</v>
      </c>
      <c r="G43" s="169">
        <f>$E$68*G$41</f>
        <v>300</v>
      </c>
      <c r="H43" s="169">
        <f t="shared" ref="H43:Z43" si="18">$E$68*H$41</f>
        <v>300</v>
      </c>
      <c r="I43" s="169">
        <f t="shared" si="18"/>
        <v>300</v>
      </c>
      <c r="J43" s="169">
        <f t="shared" si="18"/>
        <v>300</v>
      </c>
      <c r="K43" s="169">
        <f t="shared" si="18"/>
        <v>300</v>
      </c>
      <c r="L43" s="169">
        <f t="shared" si="18"/>
        <v>300</v>
      </c>
      <c r="M43" s="169">
        <f t="shared" si="18"/>
        <v>300</v>
      </c>
      <c r="N43" s="169">
        <f t="shared" si="18"/>
        <v>300</v>
      </c>
      <c r="O43" s="169">
        <f t="shared" si="18"/>
        <v>300</v>
      </c>
      <c r="P43" s="169">
        <f t="shared" si="18"/>
        <v>300</v>
      </c>
      <c r="Q43" s="169">
        <f t="shared" si="18"/>
        <v>300</v>
      </c>
      <c r="R43" s="169">
        <f t="shared" si="18"/>
        <v>300</v>
      </c>
      <c r="S43" s="169">
        <f t="shared" si="18"/>
        <v>300</v>
      </c>
      <c r="T43" s="169">
        <f t="shared" si="18"/>
        <v>300</v>
      </c>
      <c r="U43" s="169">
        <f t="shared" si="18"/>
        <v>300</v>
      </c>
      <c r="V43" s="169">
        <f t="shared" si="18"/>
        <v>300</v>
      </c>
      <c r="W43" s="169">
        <f t="shared" si="18"/>
        <v>300</v>
      </c>
      <c r="X43" s="169">
        <f t="shared" si="18"/>
        <v>300</v>
      </c>
      <c r="Y43" s="169">
        <f t="shared" si="18"/>
        <v>300</v>
      </c>
      <c r="Z43" s="169">
        <f t="shared" si="18"/>
        <v>300</v>
      </c>
    </row>
    <row r="44" spans="2:26" x14ac:dyDescent="0.35">
      <c r="B44" s="163" t="str">
        <f>B75</f>
        <v>Corporate Travel Expenses</v>
      </c>
      <c r="G44" s="169">
        <f>$E$79*3</f>
        <v>5700</v>
      </c>
      <c r="H44" s="169">
        <f t="shared" ref="H44:Z44" si="19">$E$79*3</f>
        <v>5700</v>
      </c>
      <c r="I44" s="169">
        <f t="shared" si="19"/>
        <v>5700</v>
      </c>
      <c r="J44" s="169">
        <f t="shared" si="19"/>
        <v>5700</v>
      </c>
      <c r="K44" s="169">
        <f t="shared" si="19"/>
        <v>5700</v>
      </c>
      <c r="L44" s="169">
        <f t="shared" si="19"/>
        <v>5700</v>
      </c>
      <c r="M44" s="169">
        <f t="shared" si="19"/>
        <v>5700</v>
      </c>
      <c r="N44" s="169">
        <f t="shared" si="19"/>
        <v>5700</v>
      </c>
      <c r="O44" s="169">
        <f t="shared" si="19"/>
        <v>5700</v>
      </c>
      <c r="P44" s="169">
        <f t="shared" si="19"/>
        <v>5700</v>
      </c>
      <c r="Q44" s="169">
        <f t="shared" si="19"/>
        <v>5700</v>
      </c>
      <c r="R44" s="169">
        <f t="shared" si="19"/>
        <v>5700</v>
      </c>
      <c r="S44" s="169">
        <f t="shared" si="19"/>
        <v>5700</v>
      </c>
      <c r="T44" s="169">
        <f t="shared" si="19"/>
        <v>5700</v>
      </c>
      <c r="U44" s="169">
        <f t="shared" si="19"/>
        <v>5700</v>
      </c>
      <c r="V44" s="169">
        <f t="shared" si="19"/>
        <v>5700</v>
      </c>
      <c r="W44" s="169">
        <f t="shared" si="19"/>
        <v>5700</v>
      </c>
      <c r="X44" s="169">
        <f t="shared" si="19"/>
        <v>5700</v>
      </c>
      <c r="Y44" s="169">
        <f t="shared" si="19"/>
        <v>5700</v>
      </c>
      <c r="Z44" s="169">
        <f t="shared" si="19"/>
        <v>5700</v>
      </c>
    </row>
    <row r="45" spans="2:26" x14ac:dyDescent="0.35">
      <c r="B45" s="163" t="s">
        <v>231</v>
      </c>
      <c r="G45" s="169">
        <f>$E69*3</f>
        <v>750</v>
      </c>
      <c r="H45" s="169">
        <f t="shared" ref="H45:Z45" si="20">$E69*3</f>
        <v>750</v>
      </c>
      <c r="I45" s="169">
        <f t="shared" si="20"/>
        <v>750</v>
      </c>
      <c r="J45" s="169">
        <f t="shared" si="20"/>
        <v>750</v>
      </c>
      <c r="K45" s="169">
        <f t="shared" si="20"/>
        <v>750</v>
      </c>
      <c r="L45" s="169">
        <f t="shared" si="20"/>
        <v>750</v>
      </c>
      <c r="M45" s="169">
        <f t="shared" si="20"/>
        <v>750</v>
      </c>
      <c r="N45" s="169">
        <f t="shared" si="20"/>
        <v>750</v>
      </c>
      <c r="O45" s="169">
        <f t="shared" si="20"/>
        <v>750</v>
      </c>
      <c r="P45" s="169">
        <f t="shared" si="20"/>
        <v>750</v>
      </c>
      <c r="Q45" s="169">
        <f t="shared" si="20"/>
        <v>750</v>
      </c>
      <c r="R45" s="169">
        <f t="shared" si="20"/>
        <v>750</v>
      </c>
      <c r="S45" s="169">
        <f t="shared" si="20"/>
        <v>750</v>
      </c>
      <c r="T45" s="169">
        <f t="shared" si="20"/>
        <v>750</v>
      </c>
      <c r="U45" s="169">
        <f t="shared" si="20"/>
        <v>750</v>
      </c>
      <c r="V45" s="169">
        <f t="shared" si="20"/>
        <v>750</v>
      </c>
      <c r="W45" s="169">
        <f t="shared" si="20"/>
        <v>750</v>
      </c>
      <c r="X45" s="169">
        <f t="shared" si="20"/>
        <v>750</v>
      </c>
      <c r="Y45" s="169">
        <f t="shared" si="20"/>
        <v>750</v>
      </c>
      <c r="Z45" s="169">
        <f t="shared" si="20"/>
        <v>750</v>
      </c>
    </row>
    <row r="46" spans="2:26" x14ac:dyDescent="0.35">
      <c r="B46" s="163" t="s">
        <v>227</v>
      </c>
      <c r="G46" s="169">
        <f>$E70*3</f>
        <v>60</v>
      </c>
      <c r="H46" s="169">
        <f t="shared" ref="H46:Z46" si="21">$E70*3</f>
        <v>60</v>
      </c>
      <c r="I46" s="169">
        <f t="shared" si="21"/>
        <v>60</v>
      </c>
      <c r="J46" s="169">
        <f t="shared" si="21"/>
        <v>60</v>
      </c>
      <c r="K46" s="169">
        <f t="shared" si="21"/>
        <v>60</v>
      </c>
      <c r="L46" s="169">
        <f t="shared" si="21"/>
        <v>60</v>
      </c>
      <c r="M46" s="169">
        <f t="shared" si="21"/>
        <v>60</v>
      </c>
      <c r="N46" s="169">
        <f t="shared" si="21"/>
        <v>60</v>
      </c>
      <c r="O46" s="169">
        <f t="shared" si="21"/>
        <v>60</v>
      </c>
      <c r="P46" s="169">
        <f t="shared" si="21"/>
        <v>60</v>
      </c>
      <c r="Q46" s="169">
        <f t="shared" si="21"/>
        <v>60</v>
      </c>
      <c r="R46" s="169">
        <f t="shared" si="21"/>
        <v>60</v>
      </c>
      <c r="S46" s="169">
        <f t="shared" si="21"/>
        <v>60</v>
      </c>
      <c r="T46" s="169">
        <f t="shared" si="21"/>
        <v>60</v>
      </c>
      <c r="U46" s="169">
        <f t="shared" si="21"/>
        <v>60</v>
      </c>
      <c r="V46" s="169">
        <f t="shared" si="21"/>
        <v>60</v>
      </c>
      <c r="W46" s="169">
        <f t="shared" si="21"/>
        <v>60</v>
      </c>
      <c r="X46" s="169">
        <f t="shared" si="21"/>
        <v>60</v>
      </c>
      <c r="Y46" s="169">
        <f t="shared" si="21"/>
        <v>60</v>
      </c>
      <c r="Z46" s="169">
        <f t="shared" si="21"/>
        <v>60</v>
      </c>
    </row>
    <row r="47" spans="2:26" x14ac:dyDescent="0.35">
      <c r="B47" s="163" t="s">
        <v>228</v>
      </c>
      <c r="G47" s="169">
        <f>$E71*3</f>
        <v>750</v>
      </c>
      <c r="H47" s="169">
        <f t="shared" ref="H47:Z48" si="22">$E71*3</f>
        <v>750</v>
      </c>
      <c r="I47" s="169">
        <f t="shared" si="22"/>
        <v>750</v>
      </c>
      <c r="J47" s="169">
        <f t="shared" si="22"/>
        <v>750</v>
      </c>
      <c r="K47" s="169">
        <f t="shared" si="22"/>
        <v>750</v>
      </c>
      <c r="L47" s="169">
        <f t="shared" si="22"/>
        <v>750</v>
      </c>
      <c r="M47" s="169">
        <f t="shared" si="22"/>
        <v>750</v>
      </c>
      <c r="N47" s="169">
        <f t="shared" si="22"/>
        <v>750</v>
      </c>
      <c r="O47" s="169">
        <f t="shared" si="22"/>
        <v>750</v>
      </c>
      <c r="P47" s="169">
        <f t="shared" si="22"/>
        <v>750</v>
      </c>
      <c r="Q47" s="169">
        <f t="shared" si="22"/>
        <v>750</v>
      </c>
      <c r="R47" s="169">
        <f t="shared" si="22"/>
        <v>750</v>
      </c>
      <c r="S47" s="169">
        <f t="shared" si="22"/>
        <v>750</v>
      </c>
      <c r="T47" s="169">
        <f t="shared" si="22"/>
        <v>750</v>
      </c>
      <c r="U47" s="169">
        <f t="shared" si="22"/>
        <v>750</v>
      </c>
      <c r="V47" s="169">
        <f t="shared" si="22"/>
        <v>750</v>
      </c>
      <c r="W47" s="169">
        <f t="shared" si="22"/>
        <v>750</v>
      </c>
      <c r="X47" s="169">
        <f t="shared" si="22"/>
        <v>750</v>
      </c>
      <c r="Y47" s="169">
        <f t="shared" si="22"/>
        <v>750</v>
      </c>
      <c r="Z47" s="169">
        <f t="shared" si="22"/>
        <v>750</v>
      </c>
    </row>
    <row r="48" spans="2:26" x14ac:dyDescent="0.35">
      <c r="B48" s="163" t="s">
        <v>229</v>
      </c>
      <c r="G48" s="169">
        <f>$E72*3</f>
        <v>450</v>
      </c>
      <c r="H48" s="169">
        <f t="shared" si="22"/>
        <v>450</v>
      </c>
      <c r="I48" s="169">
        <f t="shared" si="22"/>
        <v>450</v>
      </c>
      <c r="J48" s="169">
        <f t="shared" si="22"/>
        <v>450</v>
      </c>
      <c r="K48" s="169">
        <f t="shared" si="22"/>
        <v>450</v>
      </c>
      <c r="L48" s="169">
        <f t="shared" si="22"/>
        <v>450</v>
      </c>
      <c r="M48" s="169">
        <f t="shared" si="22"/>
        <v>450</v>
      </c>
      <c r="N48" s="169">
        <f t="shared" si="22"/>
        <v>450</v>
      </c>
      <c r="O48" s="169">
        <f t="shared" si="22"/>
        <v>450</v>
      </c>
      <c r="P48" s="169">
        <f t="shared" si="22"/>
        <v>450</v>
      </c>
      <c r="Q48" s="169">
        <f t="shared" si="22"/>
        <v>450</v>
      </c>
      <c r="R48" s="169">
        <f t="shared" si="22"/>
        <v>450</v>
      </c>
      <c r="S48" s="169">
        <f t="shared" si="22"/>
        <v>450</v>
      </c>
      <c r="T48" s="169">
        <f t="shared" si="22"/>
        <v>450</v>
      </c>
      <c r="U48" s="169">
        <f t="shared" si="22"/>
        <v>450</v>
      </c>
      <c r="V48" s="169">
        <f t="shared" si="22"/>
        <v>450</v>
      </c>
      <c r="W48" s="169">
        <f t="shared" si="22"/>
        <v>450</v>
      </c>
      <c r="X48" s="169">
        <f t="shared" si="22"/>
        <v>450</v>
      </c>
      <c r="Y48" s="169">
        <f t="shared" si="22"/>
        <v>450</v>
      </c>
      <c r="Z48" s="169">
        <f t="shared" si="22"/>
        <v>450</v>
      </c>
    </row>
    <row r="49" spans="2:26" x14ac:dyDescent="0.35">
      <c r="B49" s="163" t="str">
        <f>B73</f>
        <v>Software Costs</v>
      </c>
      <c r="G49" s="169">
        <f>$E$73*G$6</f>
        <v>5000</v>
      </c>
      <c r="H49" s="169">
        <f t="shared" ref="H49:Z49" si="23">$E$73*H$6</f>
        <v>5000</v>
      </c>
      <c r="I49" s="169">
        <f t="shared" si="23"/>
        <v>5000</v>
      </c>
      <c r="J49" s="169">
        <f t="shared" si="23"/>
        <v>5000</v>
      </c>
      <c r="K49" s="169">
        <f t="shared" si="23"/>
        <v>5000</v>
      </c>
      <c r="L49" s="169">
        <f t="shared" si="23"/>
        <v>5000</v>
      </c>
      <c r="M49" s="169">
        <f t="shared" si="23"/>
        <v>5000</v>
      </c>
      <c r="N49" s="169">
        <f t="shared" si="23"/>
        <v>5000</v>
      </c>
      <c r="O49" s="169">
        <f t="shared" si="23"/>
        <v>5000</v>
      </c>
      <c r="P49" s="169">
        <f t="shared" si="23"/>
        <v>5000</v>
      </c>
      <c r="Q49" s="169">
        <f t="shared" si="23"/>
        <v>5000</v>
      </c>
      <c r="R49" s="169">
        <f t="shared" si="23"/>
        <v>5000</v>
      </c>
      <c r="S49" s="169">
        <f t="shared" si="23"/>
        <v>5000</v>
      </c>
      <c r="T49" s="169">
        <f t="shared" si="23"/>
        <v>5000</v>
      </c>
      <c r="U49" s="169">
        <f t="shared" si="23"/>
        <v>5000</v>
      </c>
      <c r="V49" s="169">
        <f t="shared" si="23"/>
        <v>5000</v>
      </c>
      <c r="W49" s="169">
        <f t="shared" si="23"/>
        <v>5000</v>
      </c>
      <c r="X49" s="169">
        <f t="shared" si="23"/>
        <v>5000</v>
      </c>
      <c r="Y49" s="169">
        <f t="shared" si="23"/>
        <v>5000</v>
      </c>
      <c r="Z49" s="169">
        <f t="shared" si="23"/>
        <v>5000</v>
      </c>
    </row>
    <row r="51" spans="2:26" ht="15" thickBot="1" x14ac:dyDescent="0.4">
      <c r="E51" s="165" t="s">
        <v>225</v>
      </c>
      <c r="G51" s="297">
        <f>SUM(G40:G49)</f>
        <v>64185</v>
      </c>
      <c r="H51" s="297">
        <f t="shared" ref="H51:Z51" si="24">SUM(H40:H49)</f>
        <v>64185</v>
      </c>
      <c r="I51" s="297">
        <f t="shared" si="24"/>
        <v>79997.5</v>
      </c>
      <c r="J51" s="297">
        <f t="shared" si="24"/>
        <v>79997.5</v>
      </c>
      <c r="K51" s="297">
        <f t="shared" si="24"/>
        <v>79997.5</v>
      </c>
      <c r="L51" s="297">
        <f t="shared" si="24"/>
        <v>79997.5</v>
      </c>
      <c r="M51" s="297">
        <f t="shared" si="24"/>
        <v>97535</v>
      </c>
      <c r="N51" s="297">
        <f t="shared" si="24"/>
        <v>97535</v>
      </c>
      <c r="O51" s="297">
        <f t="shared" si="24"/>
        <v>97535</v>
      </c>
      <c r="P51" s="297">
        <f t="shared" si="24"/>
        <v>116797.5</v>
      </c>
      <c r="Q51" s="297">
        <f t="shared" si="24"/>
        <v>116797.5</v>
      </c>
      <c r="R51" s="297">
        <f t="shared" si="24"/>
        <v>116797.5</v>
      </c>
      <c r="S51" s="297">
        <f t="shared" si="24"/>
        <v>116797.5</v>
      </c>
      <c r="T51" s="297">
        <f t="shared" si="24"/>
        <v>131172.5</v>
      </c>
      <c r="U51" s="297">
        <f t="shared" si="24"/>
        <v>131172.5</v>
      </c>
      <c r="V51" s="297">
        <f t="shared" si="24"/>
        <v>131172.5</v>
      </c>
      <c r="W51" s="297">
        <f t="shared" si="24"/>
        <v>141235</v>
      </c>
      <c r="X51" s="297">
        <f t="shared" si="24"/>
        <v>141235</v>
      </c>
      <c r="Y51" s="297">
        <f t="shared" si="24"/>
        <v>141235</v>
      </c>
      <c r="Z51" s="297">
        <f t="shared" si="24"/>
        <v>148422.5</v>
      </c>
    </row>
    <row r="52" spans="2:26" ht="15" thickTop="1" x14ac:dyDescent="0.35"/>
    <row r="53" spans="2:26" ht="15" thickBot="1" x14ac:dyDescent="0.4">
      <c r="C53" s="298"/>
      <c r="D53" s="299" t="s">
        <v>232</v>
      </c>
      <c r="E53" s="298"/>
      <c r="G53" s="297">
        <f>G51+G37</f>
        <v>251060</v>
      </c>
      <c r="H53" s="297">
        <f t="shared" ref="H53:Z53" si="25">H51+H37</f>
        <v>251060</v>
      </c>
      <c r="I53" s="297">
        <f t="shared" si="25"/>
        <v>345935</v>
      </c>
      <c r="J53" s="297">
        <f t="shared" si="25"/>
        <v>345935</v>
      </c>
      <c r="K53" s="297">
        <f t="shared" si="25"/>
        <v>345935</v>
      </c>
      <c r="L53" s="297">
        <f t="shared" si="25"/>
        <v>345935</v>
      </c>
      <c r="M53" s="297">
        <f t="shared" si="25"/>
        <v>451160</v>
      </c>
      <c r="N53" s="297">
        <f t="shared" si="25"/>
        <v>451160</v>
      </c>
      <c r="O53" s="297">
        <f t="shared" si="25"/>
        <v>451160</v>
      </c>
      <c r="P53" s="297">
        <f t="shared" si="25"/>
        <v>566735</v>
      </c>
      <c r="Q53" s="297">
        <f t="shared" si="25"/>
        <v>566735</v>
      </c>
      <c r="R53" s="297">
        <f t="shared" si="25"/>
        <v>566735</v>
      </c>
      <c r="S53" s="297">
        <f t="shared" si="25"/>
        <v>566735</v>
      </c>
      <c r="T53" s="297">
        <f t="shared" si="25"/>
        <v>652985</v>
      </c>
      <c r="U53" s="297">
        <f t="shared" si="25"/>
        <v>652985</v>
      </c>
      <c r="V53" s="297">
        <f t="shared" si="25"/>
        <v>652985</v>
      </c>
      <c r="W53" s="297">
        <f t="shared" si="25"/>
        <v>713360</v>
      </c>
      <c r="X53" s="297">
        <f t="shared" si="25"/>
        <v>713360</v>
      </c>
      <c r="Y53" s="297">
        <f t="shared" si="25"/>
        <v>713360</v>
      </c>
      <c r="Z53" s="297">
        <f t="shared" si="25"/>
        <v>756485</v>
      </c>
    </row>
    <row r="54" spans="2:26" ht="15" thickTop="1" x14ac:dyDescent="0.35"/>
    <row r="59" spans="2:26" x14ac:dyDescent="0.35">
      <c r="B59" s="280" t="s">
        <v>45</v>
      </c>
      <c r="C59" s="281"/>
      <c r="D59" s="281"/>
      <c r="E59" s="282"/>
    </row>
    <row r="60" spans="2:26" x14ac:dyDescent="0.35">
      <c r="B60" s="283"/>
      <c r="C60" s="284"/>
      <c r="D60" s="284"/>
      <c r="E60" s="285"/>
    </row>
    <row r="61" spans="2:26" x14ac:dyDescent="0.35">
      <c r="B61" s="286" t="s">
        <v>41</v>
      </c>
      <c r="C61" s="284"/>
      <c r="D61" s="284"/>
      <c r="E61" s="293">
        <f>Inputs!E135</f>
        <v>0.2</v>
      </c>
    </row>
    <row r="62" spans="2:26" x14ac:dyDescent="0.35">
      <c r="B62" s="287" t="s">
        <v>46</v>
      </c>
      <c r="C62" s="284"/>
      <c r="D62" s="284"/>
      <c r="E62" s="293">
        <f>Inputs!E136</f>
        <v>0</v>
      </c>
    </row>
    <row r="63" spans="2:26" x14ac:dyDescent="0.35">
      <c r="B63" s="263" t="s">
        <v>47</v>
      </c>
      <c r="C63" s="284"/>
      <c r="D63" s="284"/>
      <c r="E63" s="294">
        <f>Inputs!E137</f>
        <v>4000</v>
      </c>
    </row>
    <row r="64" spans="2:26" x14ac:dyDescent="0.35">
      <c r="B64" s="263" t="s">
        <v>48</v>
      </c>
      <c r="C64" s="284"/>
      <c r="D64" s="284"/>
      <c r="E64" s="295">
        <f>Inputs!E138</f>
        <v>12</v>
      </c>
    </row>
    <row r="65" spans="2:5" x14ac:dyDescent="0.35">
      <c r="B65" s="288" t="s">
        <v>49</v>
      </c>
      <c r="C65" s="289"/>
      <c r="D65" s="289"/>
      <c r="E65" s="296">
        <f>Inputs!E139</f>
        <v>48000</v>
      </c>
    </row>
    <row r="66" spans="2:5" x14ac:dyDescent="0.35">
      <c r="B66" s="290"/>
      <c r="C66" s="284"/>
      <c r="D66" s="284"/>
      <c r="E66" s="293">
        <f>Inputs!E140</f>
        <v>0</v>
      </c>
    </row>
    <row r="67" spans="2:5" x14ac:dyDescent="0.35">
      <c r="B67" s="286" t="s">
        <v>50</v>
      </c>
      <c r="C67" s="284"/>
      <c r="D67" s="284"/>
      <c r="E67" s="293">
        <f>Inputs!E141</f>
        <v>0.15</v>
      </c>
    </row>
    <row r="68" spans="2:5" x14ac:dyDescent="0.35">
      <c r="B68" s="286" t="s">
        <v>51</v>
      </c>
      <c r="C68" s="284"/>
      <c r="D68" s="284"/>
      <c r="E68" s="293">
        <f>Inputs!E142</f>
        <v>2.5000000000000001E-2</v>
      </c>
    </row>
    <row r="69" spans="2:5" x14ac:dyDescent="0.35">
      <c r="B69" s="286" t="s">
        <v>52</v>
      </c>
      <c r="C69" s="284"/>
      <c r="D69" s="284"/>
      <c r="E69" s="295">
        <f>Inputs!E143</f>
        <v>250</v>
      </c>
    </row>
    <row r="70" spans="2:5" x14ac:dyDescent="0.35">
      <c r="B70" s="286" t="s">
        <v>53</v>
      </c>
      <c r="C70" s="284"/>
      <c r="D70" s="284"/>
      <c r="E70" s="295">
        <f>Inputs!E144</f>
        <v>20</v>
      </c>
    </row>
    <row r="71" spans="2:5" x14ac:dyDescent="0.35">
      <c r="B71" s="286" t="s">
        <v>54</v>
      </c>
      <c r="C71" s="284"/>
      <c r="D71" s="284"/>
      <c r="E71" s="295">
        <f>Inputs!E145</f>
        <v>250</v>
      </c>
    </row>
    <row r="72" spans="2:5" x14ac:dyDescent="0.35">
      <c r="B72" s="286" t="s">
        <v>55</v>
      </c>
      <c r="C72" s="284"/>
      <c r="D72" s="284"/>
      <c r="E72" s="295">
        <f>Inputs!E146</f>
        <v>150</v>
      </c>
    </row>
    <row r="73" spans="2:5" x14ac:dyDescent="0.35">
      <c r="B73" s="286" t="s">
        <v>17</v>
      </c>
      <c r="C73" s="284"/>
      <c r="D73" s="284"/>
      <c r="E73" s="295">
        <f>Inputs!E147</f>
        <v>20000</v>
      </c>
    </row>
    <row r="74" spans="2:5" x14ac:dyDescent="0.35">
      <c r="B74" s="283"/>
      <c r="C74" s="284"/>
      <c r="D74" s="284"/>
      <c r="E74" s="293">
        <f>Inputs!E148</f>
        <v>0</v>
      </c>
    </row>
    <row r="75" spans="2:5" x14ac:dyDescent="0.35">
      <c r="B75" s="287" t="s">
        <v>44</v>
      </c>
      <c r="C75" s="284"/>
      <c r="D75" s="284"/>
      <c r="E75" s="293">
        <f>Inputs!E149</f>
        <v>0</v>
      </c>
    </row>
    <row r="76" spans="2:5" x14ac:dyDescent="0.35">
      <c r="B76" s="263" t="s">
        <v>56</v>
      </c>
      <c r="C76" s="284"/>
      <c r="D76" s="284"/>
      <c r="E76" s="295">
        <f>Inputs!E150</f>
        <v>500</v>
      </c>
    </row>
    <row r="77" spans="2:5" x14ac:dyDescent="0.35">
      <c r="B77" s="263" t="s">
        <v>57</v>
      </c>
      <c r="C77" s="284"/>
      <c r="D77" s="284"/>
      <c r="E77" s="295">
        <f>Inputs!E151</f>
        <v>400</v>
      </c>
    </row>
    <row r="78" spans="2:5" x14ac:dyDescent="0.35">
      <c r="B78" s="263" t="s">
        <v>58</v>
      </c>
      <c r="C78" s="284"/>
      <c r="D78" s="284"/>
      <c r="E78" s="295">
        <f>Inputs!E152</f>
        <v>1000</v>
      </c>
    </row>
    <row r="79" spans="2:5" x14ac:dyDescent="0.35">
      <c r="B79" s="291" t="s">
        <v>59</v>
      </c>
      <c r="C79" s="292"/>
      <c r="D79" s="292"/>
      <c r="E79" s="295">
        <f>Inputs!E153</f>
        <v>1900</v>
      </c>
    </row>
  </sheetData>
  <pageMargins left="0.7" right="0.7" top="0.75" bottom="0.75" header="0.3" footer="0.3"/>
  <pageSetup orientation="portrait" r:id="rId1"/>
  <ignoredErrors>
    <ignoredError sqref="B44"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2:W38"/>
  <sheetViews>
    <sheetView zoomScale="80" zoomScaleNormal="80" workbookViewId="0">
      <pane xSplit="2" topLeftCell="C1" activePane="topRight" state="frozen"/>
      <selection pane="topRight" activeCell="G42" sqref="G42"/>
    </sheetView>
  </sheetViews>
  <sheetFormatPr defaultRowHeight="14.5" x14ac:dyDescent="0.35"/>
  <cols>
    <col min="2" max="2" width="42.26953125" bestFit="1" customWidth="1"/>
    <col min="3" max="3" width="1.6328125" customWidth="1"/>
    <col min="4" max="13" width="12.6328125" bestFit="1" customWidth="1"/>
    <col min="14" max="23" width="13.81640625" bestFit="1" customWidth="1"/>
  </cols>
  <sheetData>
    <row r="2" spans="2:23" x14ac:dyDescent="0.35">
      <c r="B2" s="188"/>
      <c r="C2" s="163"/>
      <c r="D2" s="208" t="s">
        <v>6</v>
      </c>
      <c r="E2" s="209"/>
      <c r="F2" s="209"/>
      <c r="G2" s="209"/>
      <c r="H2" s="208" t="s">
        <v>7</v>
      </c>
      <c r="I2" s="209"/>
      <c r="J2" s="209"/>
      <c r="K2" s="209"/>
      <c r="L2" s="208" t="s">
        <v>8</v>
      </c>
      <c r="M2" s="209"/>
      <c r="N2" s="209"/>
      <c r="O2" s="209"/>
      <c r="P2" s="208" t="s">
        <v>9</v>
      </c>
      <c r="Q2" s="209"/>
      <c r="R2" s="209"/>
      <c r="S2" s="209"/>
      <c r="T2" s="208" t="s">
        <v>10</v>
      </c>
      <c r="U2" s="209"/>
      <c r="V2" s="209"/>
      <c r="W2" s="209"/>
    </row>
    <row r="3" spans="2:23" x14ac:dyDescent="0.35">
      <c r="B3" s="163"/>
      <c r="C3" s="201"/>
      <c r="D3" s="201" t="s">
        <v>11</v>
      </c>
      <c r="E3" s="201" t="s">
        <v>12</v>
      </c>
      <c r="F3" s="201" t="s">
        <v>13</v>
      </c>
      <c r="G3" s="201" t="s">
        <v>14</v>
      </c>
      <c r="H3" s="201" t="s">
        <v>11</v>
      </c>
      <c r="I3" s="201" t="s">
        <v>12</v>
      </c>
      <c r="J3" s="201" t="s">
        <v>13</v>
      </c>
      <c r="K3" s="201" t="s">
        <v>14</v>
      </c>
      <c r="L3" s="201" t="s">
        <v>11</v>
      </c>
      <c r="M3" s="201" t="s">
        <v>12</v>
      </c>
      <c r="N3" s="201" t="s">
        <v>13</v>
      </c>
      <c r="O3" s="201" t="s">
        <v>14</v>
      </c>
      <c r="P3" s="201" t="s">
        <v>11</v>
      </c>
      <c r="Q3" s="201" t="s">
        <v>12</v>
      </c>
      <c r="R3" s="201" t="s">
        <v>13</v>
      </c>
      <c r="S3" s="201" t="s">
        <v>14</v>
      </c>
      <c r="T3" s="201" t="s">
        <v>11</v>
      </c>
      <c r="U3" s="201" t="s">
        <v>12</v>
      </c>
      <c r="V3" s="201" t="s">
        <v>13</v>
      </c>
      <c r="W3" s="201" t="s">
        <v>14</v>
      </c>
    </row>
    <row r="4" spans="2:23" x14ac:dyDescent="0.35">
      <c r="B4" s="163" t="s">
        <v>15</v>
      </c>
      <c r="C4" s="163"/>
      <c r="D4" s="166">
        <f ca="1">'Existing Stores---&gt;'!D4+'Inc_Stm_New_Stores---&gt;'!G35</f>
        <v>3245861.0924999998</v>
      </c>
      <c r="E4" s="166">
        <f ca="1">'Existing Stores---&gt;'!E4+'Inc_Stm_New_Stores---&gt;'!H35</f>
        <v>4156966.0370306242</v>
      </c>
      <c r="F4" s="166">
        <f ca="1">'Existing Stores---&gt;'!F4+'Inc_Stm_New_Stores---&gt;'!I35</f>
        <v>5074899.7393568922</v>
      </c>
      <c r="G4" s="166">
        <f ca="1">'Existing Stores---&gt;'!G4+'Inc_Stm_New_Stores---&gt;'!J35</f>
        <v>5554398.4881989714</v>
      </c>
      <c r="H4" s="166">
        <f ca="1">'Existing Stores---&gt;'!H4+'Inc_Stm_New_Stores---&gt;'!K35</f>
        <v>6037489.0956178103</v>
      </c>
      <c r="I4" s="166">
        <f ca="1">'Existing Stores---&gt;'!I4+'Inc_Stm_New_Stores---&gt;'!L35</f>
        <v>6969513.5759537928</v>
      </c>
      <c r="J4" s="166">
        <f ca="1">'Existing Stores---&gt;'!J4+'Inc_Stm_New_Stores---&gt;'!M35</f>
        <v>7908524.0098575968</v>
      </c>
      <c r="K4" s="166">
        <f ca="1">'Existing Stores---&gt;'!K4+'Inc_Stm_New_Stores---&gt;'!N35</f>
        <v>8409257.869801404</v>
      </c>
      <c r="L4" s="166">
        <f ca="1">'Existing Stores---&gt;'!L4+'Inc_Stm_New_Stores---&gt;'!O35</f>
        <v>8913743.1605316177</v>
      </c>
      <c r="M4" s="166">
        <f ca="1">'Existing Stores---&gt;'!M4+'Inc_Stm_New_Stores---&gt;'!P35</f>
        <v>9867323.0980751105</v>
      </c>
      <c r="N4" s="166">
        <f ca="1">'Existing Stores---&gt;'!N4+'Inc_Stm_New_Stores---&gt;'!Q35</f>
        <v>10828050.973838165</v>
      </c>
      <c r="O4" s="166">
        <f ca="1">'Existing Stores---&gt;'!O4+'Inc_Stm_New_Stores---&gt;'!R35</f>
        <v>11350665.480186325</v>
      </c>
      <c r="P4" s="166">
        <f ca="1">'Existing Stores---&gt;'!P4+'Inc_Stm_New_Stores---&gt;'!S35</f>
        <v>11877195.850966234</v>
      </c>
      <c r="Q4" s="166">
        <f ca="1">'Existing Stores---&gt;'!Q4+'Inc_Stm_New_Stores---&gt;'!T35</f>
        <v>12852986.540581562</v>
      </c>
      <c r="R4" s="166">
        <f ca="1">'Existing Stores---&gt;'!R4+'Inc_Stm_New_Stores---&gt;'!U35</f>
        <v>13836092.088162126</v>
      </c>
      <c r="S4" s="166">
        <f ca="1">'Existing Stores---&gt;'!S4+'Inc_Stm_New_Stores---&gt;'!V35</f>
        <v>14381252.443214478</v>
      </c>
      <c r="T4" s="166">
        <f ca="1">'Existing Stores---&gt;'!T4+'Inc_Stm_New_Stores---&gt;'!W35</f>
        <v>14930498.106214985</v>
      </c>
      <c r="U4" s="166">
        <f ca="1">'Existing Stores---&gt;'!U4+'Inc_Stm_New_Stores---&gt;'!X35</f>
        <v>15929174.80775759</v>
      </c>
      <c r="V4" s="166">
        <f ca="1">'Existing Stores---&gt;'!V4+'Inc_Stm_New_Stores---&gt;'!Y35</f>
        <v>16935338.372795254</v>
      </c>
      <c r="W4" s="166">
        <f ca="1">'Existing Stores---&gt;'!W4+'Inc_Stm_New_Stores---&gt;'!Z35</f>
        <v>17503730.046363443</v>
      </c>
    </row>
    <row r="5" spans="2:23" x14ac:dyDescent="0.35">
      <c r="B5" s="163"/>
      <c r="C5" s="163"/>
      <c r="D5" s="166"/>
      <c r="E5" s="166"/>
      <c r="F5" s="166"/>
      <c r="G5" s="166"/>
      <c r="H5" s="166"/>
      <c r="I5" s="166"/>
      <c r="J5" s="166"/>
      <c r="K5" s="166"/>
      <c r="L5" s="166"/>
      <c r="M5" s="166"/>
      <c r="N5" s="166"/>
      <c r="O5" s="166"/>
      <c r="P5" s="166"/>
      <c r="Q5" s="166"/>
      <c r="R5" s="166"/>
      <c r="S5" s="166"/>
      <c r="T5" s="166"/>
      <c r="U5" s="166"/>
      <c r="V5" s="166"/>
      <c r="W5" s="166"/>
    </row>
    <row r="6" spans="2:23" x14ac:dyDescent="0.35">
      <c r="B6" s="163" t="s">
        <v>66</v>
      </c>
      <c r="C6" s="163"/>
      <c r="D6" s="166">
        <f ca="1">'Existing Stores---&gt;'!D6+'Inc_Stm_New_Stores---&gt;'!G37</f>
        <v>132863.5</v>
      </c>
      <c r="E6" s="166">
        <f ca="1">'Existing Stores---&gt;'!E6+'Inc_Stm_New_Stores---&gt;'!H37</f>
        <v>178063.28237499998</v>
      </c>
      <c r="F6" s="166">
        <f ca="1">'Existing Stores---&gt;'!F6+'Inc_Stm_New_Stores---&gt;'!I37</f>
        <v>223601.87140259374</v>
      </c>
      <c r="G6" s="166">
        <f ca="1">'Existing Stores---&gt;'!G6+'Inc_Stm_New_Stores---&gt;'!J37</f>
        <v>247316.8103311951</v>
      </c>
      <c r="H6" s="166">
        <f ca="1">'Existing Stores---&gt;'!H6+'Inc_Stm_New_Stores---&gt;'!K37</f>
        <v>271209.42402278469</v>
      </c>
      <c r="I6" s="166">
        <f ca="1">'Existing Stores---&gt;'!I6+'Inc_Stm_New_Stores---&gt;'!L37</f>
        <v>317446.04731548269</v>
      </c>
      <c r="J6" s="166">
        <f ca="1">'Existing Stores---&gt;'!J6+'Inc_Stm_New_Stores---&gt;'!M37</f>
        <v>364029.26259884518</v>
      </c>
      <c r="K6" s="166">
        <f ca="1">'Existing Stores---&gt;'!K6+'Inc_Stm_New_Stores---&gt;'!N37</f>
        <v>388796.67167098122</v>
      </c>
      <c r="L6" s="166">
        <f ca="1">'Existing Stores---&gt;'!L6+'Inc_Stm_New_Stores---&gt;'!O37</f>
        <v>413749.65838460298</v>
      </c>
      <c r="M6" s="166">
        <f ca="1">'Existing Stores---&gt;'!M6+'Inc_Stm_New_Stores---&gt;'!P37</f>
        <v>461054.61701292661</v>
      </c>
      <c r="N6" s="166">
        <f ca="1">'Existing Stores---&gt;'!N6+'Inc_Stm_New_Stores---&gt;'!Q37</f>
        <v>508714.18982832273</v>
      </c>
      <c r="O6" s="166">
        <f ca="1">'Existing Stores---&gt;'!O6+'Inc_Stm_New_Stores---&gt;'!R37</f>
        <v>534566.03896281205</v>
      </c>
      <c r="P6" s="166">
        <f ca="1">'Existing Stores---&gt;'!P6+'Inc_Stm_New_Stores---&gt;'!S37</f>
        <v>560611.60905752087</v>
      </c>
      <c r="Q6" s="166">
        <f ca="1">'Existing Stores---&gt;'!Q6+'Inc_Stm_New_Stores---&gt;'!T37</f>
        <v>609017.35563201131</v>
      </c>
      <c r="R6" s="166">
        <f ca="1">'Existing Stores---&gt;'!R6+'Inc_Stm_New_Stores---&gt;'!U37</f>
        <v>657785.98266638839</v>
      </c>
      <c r="S6" s="166">
        <f ca="1">'Existing Stores---&gt;'!S6+'Inc_Stm_New_Stores---&gt;'!V37</f>
        <v>684755.2144652789</v>
      </c>
      <c r="T6" s="166">
        <f ca="1">'Existing Stores---&gt;'!T6+'Inc_Stm_New_Stores---&gt;'!W37</f>
        <v>711926.55831079429</v>
      </c>
      <c r="U6" s="166">
        <f ca="1">'Existing Stores---&gt;'!U6+'Inc_Stm_New_Stores---&gt;'!X37</f>
        <v>761466.5328353974</v>
      </c>
      <c r="V6" s="166">
        <f ca="1">'Existing Stores---&gt;'!V6+'Inc_Stm_New_Stores---&gt;'!Y37</f>
        <v>811377.90560757101</v>
      </c>
      <c r="W6" s="166">
        <f ca="1">'Existing Stores---&gt;'!W6+'Inc_Stm_New_Stores---&gt;'!Z37</f>
        <v>839498.46499938541</v>
      </c>
    </row>
    <row r="7" spans="2:23" x14ac:dyDescent="0.35">
      <c r="B7" s="163" t="s">
        <v>69</v>
      </c>
      <c r="C7" s="163"/>
      <c r="D7" s="166">
        <f ca="1">'Existing Stores---&gt;'!D7+'Inc_Stm_New_Stores---&gt;'!G38</f>
        <v>613008.03200000001</v>
      </c>
      <c r="E7" s="166">
        <f ca="1">'Existing Stores---&gt;'!E7+'Inc_Stm_New_Stores---&gt;'!H38</f>
        <v>821551.60973599995</v>
      </c>
      <c r="F7" s="166">
        <f ca="1">'Existing Stores---&gt;'!F7+'Inc_Stm_New_Stores---&gt;'!I38</f>
        <v>1031658.3797658579</v>
      </c>
      <c r="G7" s="166">
        <f ca="1">'Existing Stores---&gt;'!G7+'Inc_Stm_New_Stores---&gt;'!J38</f>
        <v>1141074.7961753467</v>
      </c>
      <c r="H7" s="166">
        <f ca="1">'Existing Stores---&gt;'!H7+'Inc_Stm_New_Stores---&gt;'!K38</f>
        <v>1251310.971636761</v>
      </c>
      <c r="I7" s="166">
        <f ca="1">'Existing Stores---&gt;'!I7+'Inc_Stm_New_Stores---&gt;'!L38</f>
        <v>1464638.3448504889</v>
      </c>
      <c r="J7" s="166">
        <f ca="1">'Existing Stores---&gt;'!J7+'Inc_Stm_New_Stores---&gt;'!M38</f>
        <v>1679564.8304924173</v>
      </c>
      <c r="K7" s="166">
        <f ca="1">'Existing Stores---&gt;'!K7+'Inc_Stm_New_Stores---&gt;'!N38</f>
        <v>1793837.1527859676</v>
      </c>
      <c r="L7" s="166">
        <f ca="1">'Existing Stores---&gt;'!L7+'Inc_Stm_New_Stores---&gt;'!O38</f>
        <v>1908965.6965759429</v>
      </c>
      <c r="M7" s="166">
        <f ca="1">'Existing Stores---&gt;'!M7+'Inc_Stm_New_Stores---&gt;'!P38</f>
        <v>2127222.1747854589</v>
      </c>
      <c r="N7" s="166">
        <f ca="1">'Existing Stores---&gt;'!N7+'Inc_Stm_New_Stores---&gt;'!Q38</f>
        <v>2347114.778378821</v>
      </c>
      <c r="O7" s="166">
        <f ca="1">'Existing Stores---&gt;'!O7+'Inc_Stm_New_Stores---&gt;'!R38</f>
        <v>2466390.5099491491</v>
      </c>
      <c r="P7" s="166">
        <f ca="1">'Existing Stores---&gt;'!P7+'Inc_Stm_New_Stores---&gt;'!S38</f>
        <v>2586560.0348079363</v>
      </c>
      <c r="Q7" s="166">
        <f ca="1">'Existing Stores---&gt;'!Q7+'Inc_Stm_New_Stores---&gt;'!T38</f>
        <v>2809895.348457803</v>
      </c>
      <c r="R7" s="166">
        <f ca="1">'Existing Stores---&gt;'!R7+'Inc_Stm_New_Stores---&gt;'!U38</f>
        <v>3034904.9265713221</v>
      </c>
      <c r="S7" s="166">
        <f ca="1">'Existing Stores---&gt;'!S7+'Inc_Stm_New_Stores---&gt;'!V38</f>
        <v>3159336.0585947125</v>
      </c>
      <c r="T7" s="166">
        <f ca="1">'Existing Stores---&gt;'!T7+'Inc_Stm_New_Stores---&gt;'!W38</f>
        <v>3284699.698853584</v>
      </c>
      <c r="U7" s="166">
        <f ca="1">'Existing Stores---&gt;'!U7+'Inc_Stm_New_Stores---&gt;'!X38</f>
        <v>3513268.1340420069</v>
      </c>
      <c r="V7" s="166">
        <f ca="1">'Existing Stores---&gt;'!V7+'Inc_Stm_New_Stores---&gt;'!Y38</f>
        <v>3743550.1332177669</v>
      </c>
      <c r="W7" s="166">
        <f ca="1">'Existing Stores---&gt;'!W7+'Inc_Stm_New_Stores---&gt;'!Z38</f>
        <v>3873293.2814226197</v>
      </c>
    </row>
    <row r="8" spans="2:23" x14ac:dyDescent="0.35">
      <c r="B8" s="199" t="s">
        <v>199</v>
      </c>
      <c r="C8" s="163"/>
      <c r="D8" s="171">
        <f ca="1">SUM(D6:D7)</f>
        <v>745871.53200000001</v>
      </c>
      <c r="E8" s="171">
        <f t="shared" ref="E8:W8" ca="1" si="0">SUM(E6:E7)</f>
        <v>999614.89211099991</v>
      </c>
      <c r="F8" s="171">
        <f t="shared" ca="1" si="0"/>
        <v>1255260.2511684517</v>
      </c>
      <c r="G8" s="171">
        <f t="shared" ca="1" si="0"/>
        <v>1388391.6065065418</v>
      </c>
      <c r="H8" s="171">
        <f t="shared" ca="1" si="0"/>
        <v>1522520.3956595457</v>
      </c>
      <c r="I8" s="171">
        <f t="shared" ca="1" si="0"/>
        <v>1782084.3921659717</v>
      </c>
      <c r="J8" s="171">
        <f t="shared" ca="1" si="0"/>
        <v>2043594.0930912625</v>
      </c>
      <c r="K8" s="171">
        <f t="shared" ca="1" si="0"/>
        <v>2182633.8244569488</v>
      </c>
      <c r="L8" s="171">
        <f t="shared" ca="1" si="0"/>
        <v>2322715.3549605459</v>
      </c>
      <c r="M8" s="171">
        <f t="shared" ca="1" si="0"/>
        <v>2588276.7917983858</v>
      </c>
      <c r="N8" s="171">
        <f t="shared" ca="1" si="0"/>
        <v>2855828.9682071437</v>
      </c>
      <c r="O8" s="171">
        <f t="shared" ca="1" si="0"/>
        <v>3000956.5489119613</v>
      </c>
      <c r="P8" s="171">
        <f t="shared" ca="1" si="0"/>
        <v>3147171.6438654573</v>
      </c>
      <c r="Q8" s="171">
        <f t="shared" ca="1" si="0"/>
        <v>3418912.7040898143</v>
      </c>
      <c r="R8" s="171">
        <f t="shared" ca="1" si="0"/>
        <v>3692690.9092377108</v>
      </c>
      <c r="S8" s="171">
        <f t="shared" ca="1" si="0"/>
        <v>3844091.2730599912</v>
      </c>
      <c r="T8" s="171">
        <f t="shared" ca="1" si="0"/>
        <v>3996626.2571643782</v>
      </c>
      <c r="U8" s="171">
        <f t="shared" ca="1" si="0"/>
        <v>4274734.6668774039</v>
      </c>
      <c r="V8" s="171">
        <f t="shared" ca="1" si="0"/>
        <v>4554928.0388253378</v>
      </c>
      <c r="W8" s="171">
        <f t="shared" ca="1" si="0"/>
        <v>4712791.7464220049</v>
      </c>
    </row>
    <row r="9" spans="2:23" x14ac:dyDescent="0.35">
      <c r="B9" s="163"/>
      <c r="C9" s="163"/>
      <c r="D9" s="166"/>
      <c r="E9" s="166"/>
      <c r="F9" s="166"/>
      <c r="G9" s="166"/>
      <c r="H9" s="166"/>
      <c r="I9" s="166"/>
      <c r="J9" s="166"/>
      <c r="K9" s="166"/>
      <c r="L9" s="166"/>
      <c r="M9" s="166"/>
      <c r="N9" s="166"/>
      <c r="O9" s="166"/>
      <c r="P9" s="166"/>
      <c r="Q9" s="166"/>
      <c r="R9" s="166"/>
      <c r="S9" s="166"/>
      <c r="T9" s="166"/>
      <c r="U9" s="166"/>
      <c r="V9" s="166"/>
      <c r="W9" s="166"/>
    </row>
    <row r="10" spans="2:23" x14ac:dyDescent="0.35">
      <c r="B10" s="163" t="s">
        <v>1</v>
      </c>
      <c r="C10" s="163"/>
      <c r="D10" s="166">
        <f ca="1">'Existing Stores---&gt;'!D10+'Inc_Stm_New_Stores---&gt;'!G41</f>
        <v>57432.107963999995</v>
      </c>
      <c r="E10" s="166">
        <f ca="1">'Existing Stores---&gt;'!E10+'Inc_Stm_New_Stores---&gt;'!H41</f>
        <v>76970.346692546984</v>
      </c>
      <c r="F10" s="166">
        <f ca="1">'Existing Stores---&gt;'!F10+'Inc_Stm_New_Stores---&gt;'!I41</f>
        <v>96655.039339970768</v>
      </c>
      <c r="G10" s="166">
        <f ca="1">'Existing Stores---&gt;'!G10+'Inc_Stm_New_Stores---&gt;'!J41</f>
        <v>106906.1537010037</v>
      </c>
      <c r="H10" s="166">
        <f ca="1">'Existing Stores---&gt;'!H10+'Inc_Stm_New_Stores---&gt;'!K41</f>
        <v>117234.070465785</v>
      </c>
      <c r="I10" s="166">
        <f ca="1">'Existing Stores---&gt;'!I10+'Inc_Stm_New_Stores---&gt;'!L41</f>
        <v>137220.49819677981</v>
      </c>
      <c r="J10" s="166">
        <f ca="1">'Existing Stores---&gt;'!J10+'Inc_Stm_New_Stores---&gt;'!M41</f>
        <v>157356.74516802724</v>
      </c>
      <c r="K10" s="166">
        <f ca="1">'Existing Stores---&gt;'!K10+'Inc_Stm_New_Stores---&gt;'!N41</f>
        <v>168062.80448318506</v>
      </c>
      <c r="L10" s="166">
        <f ca="1">'Existing Stores---&gt;'!L10+'Inc_Stm_New_Stores---&gt;'!O41</f>
        <v>178849.08233196201</v>
      </c>
      <c r="M10" s="166">
        <f ca="1">'Existing Stores---&gt;'!M10+'Inc_Stm_New_Stores---&gt;'!P41</f>
        <v>199297.31296847566</v>
      </c>
      <c r="N10" s="166">
        <f ca="1">'Existing Stores---&gt;'!N10+'Inc_Stm_New_Stores---&gt;'!Q41</f>
        <v>219898.83055195006</v>
      </c>
      <c r="O10" s="166">
        <f ca="1">'Existing Stores---&gt;'!O10+'Inc_Stm_New_Stores---&gt;'!R41</f>
        <v>231073.65426622101</v>
      </c>
      <c r="P10" s="166">
        <f ca="1">'Existing Stores---&gt;'!P10+'Inc_Stm_New_Stores---&gt;'!S41</f>
        <v>242332.21657764021</v>
      </c>
      <c r="Q10" s="166">
        <f ca="1">'Existing Stores---&gt;'!Q10+'Inc_Stm_New_Stores---&gt;'!T41</f>
        <v>263256.27821491566</v>
      </c>
      <c r="R10" s="166">
        <f ca="1">'Existing Stores---&gt;'!R10+'Inc_Stm_New_Stores---&gt;'!U41</f>
        <v>284337.20001130371</v>
      </c>
      <c r="S10" s="166">
        <f ca="1">'Existing Stores---&gt;'!S10+'Inc_Stm_New_Stores---&gt;'!V41</f>
        <v>295995.02802561934</v>
      </c>
      <c r="T10" s="166">
        <f ca="1">'Existing Stores---&gt;'!T10+'Inc_Stm_New_Stores---&gt;'!W41</f>
        <v>307740.22180165717</v>
      </c>
      <c r="U10" s="166">
        <f ca="1">'Existing Stores---&gt;'!U10+'Inc_Stm_New_Stores---&gt;'!X41</f>
        <v>329154.56934956013</v>
      </c>
      <c r="V10" s="166">
        <f ca="1">'Existing Stores---&gt;'!V10+'Inc_Stm_New_Stores---&gt;'!Y41</f>
        <v>350729.458989551</v>
      </c>
      <c r="W10" s="166">
        <f ca="1">'Existing Stores---&gt;'!W10+'Inc_Stm_New_Stores---&gt;'!Z41</f>
        <v>362884.96447449445</v>
      </c>
    </row>
    <row r="11" spans="2:23" x14ac:dyDescent="0.35">
      <c r="B11" s="163" t="s">
        <v>0</v>
      </c>
      <c r="C11" s="163"/>
      <c r="D11" s="166">
        <f>'Existing Stores---&gt;'!D11+'Inc_Stm_New_Stores---&gt;'!G42</f>
        <v>34500</v>
      </c>
      <c r="E11" s="166">
        <f ca="1">'Existing Stores---&gt;'!E11+'Inc_Stm_New_Stores---&gt;'!H42</f>
        <v>46000</v>
      </c>
      <c r="F11" s="166">
        <f ca="1">'Existing Stores---&gt;'!F11+'Inc_Stm_New_Stores---&gt;'!I42</f>
        <v>57500</v>
      </c>
      <c r="G11" s="166">
        <f ca="1">'Existing Stores---&gt;'!G11+'Inc_Stm_New_Stores---&gt;'!J42</f>
        <v>63250</v>
      </c>
      <c r="H11" s="166">
        <f ca="1">'Existing Stores---&gt;'!H11+'Inc_Stm_New_Stores---&gt;'!K42</f>
        <v>69000</v>
      </c>
      <c r="I11" s="166">
        <f ca="1">'Existing Stores---&gt;'!I11+'Inc_Stm_New_Stores---&gt;'!L42</f>
        <v>80500</v>
      </c>
      <c r="J11" s="166">
        <f ca="1">'Existing Stores---&gt;'!J11+'Inc_Stm_New_Stores---&gt;'!M42</f>
        <v>92000</v>
      </c>
      <c r="K11" s="166">
        <f ca="1">'Existing Stores---&gt;'!K11+'Inc_Stm_New_Stores---&gt;'!N42</f>
        <v>97750</v>
      </c>
      <c r="L11" s="166">
        <f ca="1">'Existing Stores---&gt;'!L11+'Inc_Stm_New_Stores---&gt;'!O42</f>
        <v>103500</v>
      </c>
      <c r="M11" s="166">
        <f ca="1">'Existing Stores---&gt;'!M11+'Inc_Stm_New_Stores---&gt;'!P42</f>
        <v>115000</v>
      </c>
      <c r="N11" s="166">
        <f ca="1">'Existing Stores---&gt;'!N11+'Inc_Stm_New_Stores---&gt;'!Q42</f>
        <v>126500</v>
      </c>
      <c r="O11" s="166">
        <f ca="1">'Existing Stores---&gt;'!O11+'Inc_Stm_New_Stores---&gt;'!R42</f>
        <v>132250</v>
      </c>
      <c r="P11" s="166">
        <f ca="1">'Existing Stores---&gt;'!P11+'Inc_Stm_New_Stores---&gt;'!S42</f>
        <v>138000</v>
      </c>
      <c r="Q11" s="166">
        <f ca="1">'Existing Stores---&gt;'!Q11+'Inc_Stm_New_Stores---&gt;'!T42</f>
        <v>149500</v>
      </c>
      <c r="R11" s="166">
        <f ca="1">'Existing Stores---&gt;'!R11+'Inc_Stm_New_Stores---&gt;'!U42</f>
        <v>161000</v>
      </c>
      <c r="S11" s="166">
        <f ca="1">'Existing Stores---&gt;'!S11+'Inc_Stm_New_Stores---&gt;'!V42</f>
        <v>166750</v>
      </c>
      <c r="T11" s="166">
        <f ca="1">'Existing Stores---&gt;'!T11+'Inc_Stm_New_Stores---&gt;'!W42</f>
        <v>172500</v>
      </c>
      <c r="U11" s="166">
        <f ca="1">'Existing Stores---&gt;'!U11+'Inc_Stm_New_Stores---&gt;'!X42</f>
        <v>184000</v>
      </c>
      <c r="V11" s="166">
        <f ca="1">'Existing Stores---&gt;'!V11+'Inc_Stm_New_Stores---&gt;'!Y42</f>
        <v>195500</v>
      </c>
      <c r="W11" s="166">
        <f ca="1">'Existing Stores---&gt;'!W11+'Inc_Stm_New_Stores---&gt;'!Z42</f>
        <v>201250</v>
      </c>
    </row>
    <row r="12" spans="2:23" x14ac:dyDescent="0.35">
      <c r="B12" s="163" t="s">
        <v>2</v>
      </c>
      <c r="C12" s="163"/>
      <c r="D12" s="166">
        <f ca="1">'Existing Stores---&gt;'!D12+'Inc_Stm_New_Stores---&gt;'!G43</f>
        <v>16782.109469999996</v>
      </c>
      <c r="E12" s="166">
        <f ca="1">'Existing Stores---&gt;'!E12+'Inc_Stm_New_Stores---&gt;'!H43</f>
        <v>22491.335072497495</v>
      </c>
      <c r="F12" s="166">
        <f ca="1">'Existing Stores---&gt;'!F12+'Inc_Stm_New_Stores---&gt;'!I43</f>
        <v>28243.35565129016</v>
      </c>
      <c r="G12" s="166">
        <f ca="1">'Existing Stores---&gt;'!G12+'Inc_Stm_New_Stores---&gt;'!J43</f>
        <v>31238.811146397187</v>
      </c>
      <c r="H12" s="166">
        <f ca="1">'Existing Stores---&gt;'!H12+'Inc_Stm_New_Stores---&gt;'!K43</f>
        <v>34256.708902339771</v>
      </c>
      <c r="I12" s="166">
        <f ca="1">'Existing Stores---&gt;'!I12+'Inc_Stm_New_Stores---&gt;'!L43</f>
        <v>40096.898823734358</v>
      </c>
      <c r="J12" s="166">
        <f ca="1">'Existing Stores---&gt;'!J12+'Inc_Stm_New_Stores---&gt;'!M43</f>
        <v>45980.86709455341</v>
      </c>
      <c r="K12" s="166">
        <f ca="1">'Existing Stores---&gt;'!K12+'Inc_Stm_New_Stores---&gt;'!N43</f>
        <v>49109.261050281348</v>
      </c>
      <c r="L12" s="166">
        <f ca="1">'Existing Stores---&gt;'!L12+'Inc_Stm_New_Stores---&gt;'!O43</f>
        <v>52261.095486612277</v>
      </c>
      <c r="M12" s="166">
        <f ca="1">'Existing Stores---&gt;'!M12+'Inc_Stm_New_Stores---&gt;'!P43</f>
        <v>58236.227815463673</v>
      </c>
      <c r="N12" s="166">
        <f ca="1">'Existing Stores---&gt;'!N12+'Inc_Stm_New_Stores---&gt;'!Q43</f>
        <v>64256.151784660731</v>
      </c>
      <c r="O12" s="166">
        <f ca="1">'Existing Stores---&gt;'!O12+'Inc_Stm_New_Stores---&gt;'!R43</f>
        <v>67521.522350519139</v>
      </c>
      <c r="P12" s="166">
        <f ca="1">'Existing Stores---&gt;'!P12+'Inc_Stm_New_Stores---&gt;'!S43</f>
        <v>70811.361986972785</v>
      </c>
      <c r="Q12" s="166">
        <f ca="1">'Existing Stores---&gt;'!Q12+'Inc_Stm_New_Stores---&gt;'!T43</f>
        <v>76925.535842020821</v>
      </c>
      <c r="R12" s="166">
        <f ca="1">'Existing Stores---&gt;'!R12+'Inc_Stm_New_Stores---&gt;'!U43</f>
        <v>83085.545457848493</v>
      </c>
      <c r="S12" s="166">
        <f ca="1">'Existing Stores---&gt;'!S12+'Inc_Stm_New_Stores---&gt;'!V43</f>
        <v>86492.053643849824</v>
      </c>
      <c r="T12" s="166">
        <f ca="1">'Existing Stores---&gt;'!T12+'Inc_Stm_New_Stores---&gt;'!W43</f>
        <v>89924.090786198532</v>
      </c>
      <c r="U12" s="166">
        <f ca="1">'Existing Stores---&gt;'!U12+'Inc_Stm_New_Stores---&gt;'!X43</f>
        <v>96181.530004741609</v>
      </c>
      <c r="V12" s="166">
        <f ca="1">'Existing Stores---&gt;'!V12+'Inc_Stm_New_Stores---&gt;'!Y43</f>
        <v>102485.8808735701</v>
      </c>
      <c r="W12" s="166">
        <f ca="1">'Existing Stores---&gt;'!W12+'Inc_Stm_New_Stores---&gt;'!Z43</f>
        <v>106037.81429449513</v>
      </c>
    </row>
    <row r="13" spans="2:23" x14ac:dyDescent="0.35">
      <c r="B13" s="163" t="s">
        <v>3</v>
      </c>
      <c r="C13" s="163"/>
      <c r="D13" s="166">
        <f ca="1">'Existing Stores---&gt;'!D13+'Inc_Stm_New_Stores---&gt;'!G44</f>
        <v>16782.109469999996</v>
      </c>
      <c r="E13" s="166">
        <f ca="1">'Existing Stores---&gt;'!E13+'Inc_Stm_New_Stores---&gt;'!H44</f>
        <v>22491.335072497495</v>
      </c>
      <c r="F13" s="166">
        <f ca="1">'Existing Stores---&gt;'!F13+'Inc_Stm_New_Stores---&gt;'!I44</f>
        <v>28243.35565129016</v>
      </c>
      <c r="G13" s="166">
        <f ca="1">'Existing Stores---&gt;'!G13+'Inc_Stm_New_Stores---&gt;'!J44</f>
        <v>31238.811146397187</v>
      </c>
      <c r="H13" s="166">
        <f ca="1">'Existing Stores---&gt;'!H13+'Inc_Stm_New_Stores---&gt;'!K44</f>
        <v>34256.708902339771</v>
      </c>
      <c r="I13" s="166">
        <f ca="1">'Existing Stores---&gt;'!I13+'Inc_Stm_New_Stores---&gt;'!L44</f>
        <v>40096.898823734358</v>
      </c>
      <c r="J13" s="166">
        <f ca="1">'Existing Stores---&gt;'!J13+'Inc_Stm_New_Stores---&gt;'!M44</f>
        <v>45980.86709455341</v>
      </c>
      <c r="K13" s="166">
        <f ca="1">'Existing Stores---&gt;'!K13+'Inc_Stm_New_Stores---&gt;'!N44</f>
        <v>49109.261050281348</v>
      </c>
      <c r="L13" s="166">
        <f ca="1">'Existing Stores---&gt;'!L13+'Inc_Stm_New_Stores---&gt;'!O44</f>
        <v>52261.095486612277</v>
      </c>
      <c r="M13" s="166">
        <f ca="1">'Existing Stores---&gt;'!M13+'Inc_Stm_New_Stores---&gt;'!P44</f>
        <v>58236.227815463673</v>
      </c>
      <c r="N13" s="166">
        <f ca="1">'Existing Stores---&gt;'!N13+'Inc_Stm_New_Stores---&gt;'!Q44</f>
        <v>64256.151784660731</v>
      </c>
      <c r="O13" s="166">
        <f ca="1">'Existing Stores---&gt;'!O13+'Inc_Stm_New_Stores---&gt;'!R44</f>
        <v>67521.522350519139</v>
      </c>
      <c r="P13" s="166">
        <f ca="1">'Existing Stores---&gt;'!P13+'Inc_Stm_New_Stores---&gt;'!S44</f>
        <v>70811.361986972785</v>
      </c>
      <c r="Q13" s="166">
        <f ca="1">'Existing Stores---&gt;'!Q13+'Inc_Stm_New_Stores---&gt;'!T44</f>
        <v>76925.535842020821</v>
      </c>
      <c r="R13" s="166">
        <f ca="1">'Existing Stores---&gt;'!R13+'Inc_Stm_New_Stores---&gt;'!U44</f>
        <v>83085.545457848493</v>
      </c>
      <c r="S13" s="166">
        <f ca="1">'Existing Stores---&gt;'!S13+'Inc_Stm_New_Stores---&gt;'!V44</f>
        <v>86492.053643849824</v>
      </c>
      <c r="T13" s="166">
        <f ca="1">'Existing Stores---&gt;'!T13+'Inc_Stm_New_Stores---&gt;'!W44</f>
        <v>89924.090786198532</v>
      </c>
      <c r="U13" s="166">
        <f ca="1">'Existing Stores---&gt;'!U13+'Inc_Stm_New_Stores---&gt;'!X44</f>
        <v>96181.530004741609</v>
      </c>
      <c r="V13" s="166">
        <f ca="1">'Existing Stores---&gt;'!V13+'Inc_Stm_New_Stores---&gt;'!Y44</f>
        <v>102485.8808735701</v>
      </c>
      <c r="W13" s="166">
        <f ca="1">'Existing Stores---&gt;'!W13+'Inc_Stm_New_Stores---&gt;'!Z44</f>
        <v>106037.81429449513</v>
      </c>
    </row>
    <row r="14" spans="2:23" x14ac:dyDescent="0.35">
      <c r="B14" s="163" t="s">
        <v>16</v>
      </c>
      <c r="C14" s="163"/>
      <c r="D14" s="166">
        <f ca="1">'Existing Stores---&gt;'!D14+'Inc_Stm_New_Stores---&gt;'!G45</f>
        <v>16782.109469999996</v>
      </c>
      <c r="E14" s="166">
        <f ca="1">'Existing Stores---&gt;'!E14+'Inc_Stm_New_Stores---&gt;'!H45</f>
        <v>22491.335072497495</v>
      </c>
      <c r="F14" s="166">
        <f ca="1">'Existing Stores---&gt;'!F14+'Inc_Stm_New_Stores---&gt;'!I45</f>
        <v>28243.35565129016</v>
      </c>
      <c r="G14" s="166">
        <f ca="1">'Existing Stores---&gt;'!G14+'Inc_Stm_New_Stores---&gt;'!J45</f>
        <v>31238.811146397187</v>
      </c>
      <c r="H14" s="166">
        <f ca="1">'Existing Stores---&gt;'!H14+'Inc_Stm_New_Stores---&gt;'!K45</f>
        <v>34256.708902339771</v>
      </c>
      <c r="I14" s="166">
        <f ca="1">'Existing Stores---&gt;'!I14+'Inc_Stm_New_Stores---&gt;'!L45</f>
        <v>40096.898823734358</v>
      </c>
      <c r="J14" s="166">
        <f ca="1">'Existing Stores---&gt;'!J14+'Inc_Stm_New_Stores---&gt;'!M45</f>
        <v>45980.86709455341</v>
      </c>
      <c r="K14" s="166">
        <f ca="1">'Existing Stores---&gt;'!K14+'Inc_Stm_New_Stores---&gt;'!N45</f>
        <v>49109.261050281348</v>
      </c>
      <c r="L14" s="166">
        <f ca="1">'Existing Stores---&gt;'!L14+'Inc_Stm_New_Stores---&gt;'!O45</f>
        <v>52261.095486612277</v>
      </c>
      <c r="M14" s="166">
        <f ca="1">'Existing Stores---&gt;'!M14+'Inc_Stm_New_Stores---&gt;'!P45</f>
        <v>58236.227815463673</v>
      </c>
      <c r="N14" s="166">
        <f ca="1">'Existing Stores---&gt;'!N14+'Inc_Stm_New_Stores---&gt;'!Q45</f>
        <v>64256.151784660731</v>
      </c>
      <c r="O14" s="166">
        <f ca="1">'Existing Stores---&gt;'!O14+'Inc_Stm_New_Stores---&gt;'!R45</f>
        <v>67521.522350519139</v>
      </c>
      <c r="P14" s="166">
        <f ca="1">'Existing Stores---&gt;'!P14+'Inc_Stm_New_Stores---&gt;'!S45</f>
        <v>70811.361986972785</v>
      </c>
      <c r="Q14" s="166">
        <f ca="1">'Existing Stores---&gt;'!Q14+'Inc_Stm_New_Stores---&gt;'!T45</f>
        <v>76925.535842020821</v>
      </c>
      <c r="R14" s="166">
        <f ca="1">'Existing Stores---&gt;'!R14+'Inc_Stm_New_Stores---&gt;'!U45</f>
        <v>83085.545457848493</v>
      </c>
      <c r="S14" s="166">
        <f ca="1">'Existing Stores---&gt;'!S14+'Inc_Stm_New_Stores---&gt;'!V45</f>
        <v>86492.053643849824</v>
      </c>
      <c r="T14" s="166">
        <f ca="1">'Existing Stores---&gt;'!T14+'Inc_Stm_New_Stores---&gt;'!W45</f>
        <v>89924.090786198532</v>
      </c>
      <c r="U14" s="166">
        <f ca="1">'Existing Stores---&gt;'!U14+'Inc_Stm_New_Stores---&gt;'!X45</f>
        <v>96181.530004741609</v>
      </c>
      <c r="V14" s="166">
        <f ca="1">'Existing Stores---&gt;'!V14+'Inc_Stm_New_Stores---&gt;'!Y45</f>
        <v>102485.8808735701</v>
      </c>
      <c r="W14" s="166">
        <f ca="1">'Existing Stores---&gt;'!W14+'Inc_Stm_New_Stores---&gt;'!Z45</f>
        <v>106037.81429449513</v>
      </c>
    </row>
    <row r="15" spans="2:23" x14ac:dyDescent="0.35">
      <c r="B15" s="163" t="s">
        <v>4</v>
      </c>
      <c r="C15" s="163"/>
      <c r="D15" s="166">
        <f ca="1">'Existing Stores---&gt;'!D15+'Inc_Stm_New_Stores---&gt;'!G46</f>
        <v>33564.218939999992</v>
      </c>
      <c r="E15" s="166">
        <f ca="1">'Existing Stores---&gt;'!E15+'Inc_Stm_New_Stores---&gt;'!H46</f>
        <v>44982.670144994991</v>
      </c>
      <c r="F15" s="166">
        <f ca="1">'Existing Stores---&gt;'!F15+'Inc_Stm_New_Stores---&gt;'!I46</f>
        <v>56486.711302580319</v>
      </c>
      <c r="G15" s="166">
        <f ca="1">'Existing Stores---&gt;'!G15+'Inc_Stm_New_Stores---&gt;'!J46</f>
        <v>62477.622292794375</v>
      </c>
      <c r="H15" s="166">
        <f ca="1">'Existing Stores---&gt;'!H15+'Inc_Stm_New_Stores---&gt;'!K46</f>
        <v>68513.417804679542</v>
      </c>
      <c r="I15" s="166">
        <f ca="1">'Existing Stores---&gt;'!I15+'Inc_Stm_New_Stores---&gt;'!L46</f>
        <v>80193.797647468717</v>
      </c>
      <c r="J15" s="166">
        <f ca="1">'Existing Stores---&gt;'!J15+'Inc_Stm_New_Stores---&gt;'!M46</f>
        <v>91961.734189106821</v>
      </c>
      <c r="K15" s="166">
        <f ca="1">'Existing Stores---&gt;'!K15+'Inc_Stm_New_Stores---&gt;'!N46</f>
        <v>98218.522100562695</v>
      </c>
      <c r="L15" s="166">
        <f ca="1">'Existing Stores---&gt;'!L15+'Inc_Stm_New_Stores---&gt;'!O46</f>
        <v>104522.19097322455</v>
      </c>
      <c r="M15" s="166">
        <f ca="1">'Existing Stores---&gt;'!M15+'Inc_Stm_New_Stores---&gt;'!P46</f>
        <v>116472.45563092735</v>
      </c>
      <c r="N15" s="166">
        <f ca="1">'Existing Stores---&gt;'!N15+'Inc_Stm_New_Stores---&gt;'!Q46</f>
        <v>128512.30356932146</v>
      </c>
      <c r="O15" s="166">
        <f ca="1">'Existing Stores---&gt;'!O15+'Inc_Stm_New_Stores---&gt;'!R46</f>
        <v>135043.04470103828</v>
      </c>
      <c r="P15" s="166">
        <f ca="1">'Existing Stores---&gt;'!P15+'Inc_Stm_New_Stores---&gt;'!S46</f>
        <v>141622.72397394557</v>
      </c>
      <c r="Q15" s="166">
        <f ca="1">'Existing Stores---&gt;'!Q15+'Inc_Stm_New_Stores---&gt;'!T46</f>
        <v>153851.07168404164</v>
      </c>
      <c r="R15" s="166">
        <f ca="1">'Existing Stores---&gt;'!R15+'Inc_Stm_New_Stores---&gt;'!U46</f>
        <v>166171.09091569699</v>
      </c>
      <c r="S15" s="166">
        <f ca="1">'Existing Stores---&gt;'!S15+'Inc_Stm_New_Stores---&gt;'!V46</f>
        <v>172984.10728769965</v>
      </c>
      <c r="T15" s="166">
        <f ca="1">'Existing Stores---&gt;'!T15+'Inc_Stm_New_Stores---&gt;'!W46</f>
        <v>179848.18157239706</v>
      </c>
      <c r="U15" s="166">
        <f ca="1">'Existing Stores---&gt;'!U15+'Inc_Stm_New_Stores---&gt;'!X46</f>
        <v>192363.06000948322</v>
      </c>
      <c r="V15" s="166">
        <f ca="1">'Existing Stores---&gt;'!V15+'Inc_Stm_New_Stores---&gt;'!Y46</f>
        <v>204971.7617471402</v>
      </c>
      <c r="W15" s="166">
        <f ca="1">'Existing Stores---&gt;'!W15+'Inc_Stm_New_Stores---&gt;'!Z46</f>
        <v>212075.62858899025</v>
      </c>
    </row>
    <row r="16" spans="2:23" x14ac:dyDescent="0.35">
      <c r="B16" s="176" t="s">
        <v>200</v>
      </c>
      <c r="C16" s="163"/>
      <c r="D16" s="171">
        <f ca="1">SUM(D10:D15)</f>
        <v>175842.65531399997</v>
      </c>
      <c r="E16" s="171">
        <f t="shared" ref="E16:W16" ca="1" si="1">SUM(E10:E15)</f>
        <v>235427.02205503447</v>
      </c>
      <c r="F16" s="171">
        <f t="shared" ca="1" si="1"/>
        <v>295371.81759642158</v>
      </c>
      <c r="G16" s="171">
        <f t="shared" ca="1" si="1"/>
        <v>326350.20943298971</v>
      </c>
      <c r="H16" s="171">
        <f t="shared" ca="1" si="1"/>
        <v>357517.61497748381</v>
      </c>
      <c r="I16" s="171">
        <f t="shared" ca="1" si="1"/>
        <v>418204.99231545161</v>
      </c>
      <c r="J16" s="171">
        <f t="shared" ca="1" si="1"/>
        <v>479261.08064079436</v>
      </c>
      <c r="K16" s="171">
        <f t="shared" ca="1" si="1"/>
        <v>511359.1097345918</v>
      </c>
      <c r="L16" s="171">
        <f t="shared" ca="1" si="1"/>
        <v>543654.55976502341</v>
      </c>
      <c r="M16" s="171">
        <f t="shared" ca="1" si="1"/>
        <v>605478.45204579399</v>
      </c>
      <c r="N16" s="171">
        <f t="shared" ca="1" si="1"/>
        <v>667679.58947525383</v>
      </c>
      <c r="O16" s="171">
        <f t="shared" ca="1" si="1"/>
        <v>700931.26601881662</v>
      </c>
      <c r="P16" s="171">
        <f t="shared" ca="1" si="1"/>
        <v>734389.02651250421</v>
      </c>
      <c r="Q16" s="171">
        <f t="shared" ca="1" si="1"/>
        <v>797383.95742501982</v>
      </c>
      <c r="R16" s="171">
        <f t="shared" ca="1" si="1"/>
        <v>860764.92730054609</v>
      </c>
      <c r="S16" s="171">
        <f t="shared" ca="1" si="1"/>
        <v>895205.29624486831</v>
      </c>
      <c r="T16" s="171">
        <f t="shared" ca="1" si="1"/>
        <v>929860.67573264986</v>
      </c>
      <c r="U16" s="171">
        <f t="shared" ca="1" si="1"/>
        <v>994062.21937326819</v>
      </c>
      <c r="V16" s="171">
        <f t="shared" ca="1" si="1"/>
        <v>1058658.8633574015</v>
      </c>
      <c r="W16" s="171">
        <f t="shared" ca="1" si="1"/>
        <v>1094324.0359469701</v>
      </c>
    </row>
    <row r="17" spans="2:23" x14ac:dyDescent="0.35">
      <c r="B17" s="199" t="s">
        <v>201</v>
      </c>
      <c r="C17" s="163"/>
      <c r="D17" s="226">
        <f ca="1">D8+D16</f>
        <v>921714.18731399998</v>
      </c>
      <c r="E17" s="226">
        <f t="shared" ref="E17:W17" ca="1" si="2">E8+E16</f>
        <v>1235041.9141660344</v>
      </c>
      <c r="F17" s="226">
        <f t="shared" ca="1" si="2"/>
        <v>1550632.0687648733</v>
      </c>
      <c r="G17" s="226">
        <f t="shared" ca="1" si="2"/>
        <v>1714741.8159395317</v>
      </c>
      <c r="H17" s="226">
        <f t="shared" ca="1" si="2"/>
        <v>1880038.0106370295</v>
      </c>
      <c r="I17" s="226">
        <f t="shared" ca="1" si="2"/>
        <v>2200289.3844814235</v>
      </c>
      <c r="J17" s="226">
        <f t="shared" ca="1" si="2"/>
        <v>2522855.1737320567</v>
      </c>
      <c r="K17" s="226">
        <f t="shared" ca="1" si="2"/>
        <v>2693992.9341915408</v>
      </c>
      <c r="L17" s="226">
        <f t="shared" ca="1" si="2"/>
        <v>2866369.9147255691</v>
      </c>
      <c r="M17" s="226">
        <f t="shared" ca="1" si="2"/>
        <v>3193755.2438441799</v>
      </c>
      <c r="N17" s="226">
        <f t="shared" ca="1" si="2"/>
        <v>3523508.5576823978</v>
      </c>
      <c r="O17" s="226">
        <f t="shared" ca="1" si="2"/>
        <v>3701887.814930778</v>
      </c>
      <c r="P17" s="226">
        <f t="shared" ca="1" si="2"/>
        <v>3881560.6703779614</v>
      </c>
      <c r="Q17" s="226">
        <f t="shared" ca="1" si="2"/>
        <v>4216296.6615148345</v>
      </c>
      <c r="R17" s="226">
        <f t="shared" ca="1" si="2"/>
        <v>4553455.8365382571</v>
      </c>
      <c r="S17" s="226">
        <f t="shared" ca="1" si="2"/>
        <v>4739296.5693048593</v>
      </c>
      <c r="T17" s="226">
        <f t="shared" ca="1" si="2"/>
        <v>4926486.9328970276</v>
      </c>
      <c r="U17" s="226">
        <f t="shared" ca="1" si="2"/>
        <v>5268796.8862506719</v>
      </c>
      <c r="V17" s="226">
        <f t="shared" ca="1" si="2"/>
        <v>5613586.9021827392</v>
      </c>
      <c r="W17" s="226">
        <f t="shared" ca="1" si="2"/>
        <v>5807115.7823689748</v>
      </c>
    </row>
    <row r="18" spans="2:23" x14ac:dyDescent="0.35">
      <c r="B18" s="163"/>
      <c r="C18" s="163"/>
      <c r="D18" s="166"/>
      <c r="E18" s="166"/>
      <c r="F18" s="166"/>
      <c r="G18" s="166"/>
      <c r="H18" s="166"/>
      <c r="I18" s="166"/>
      <c r="J18" s="166"/>
      <c r="K18" s="166"/>
      <c r="L18" s="166"/>
      <c r="M18" s="166"/>
      <c r="N18" s="166"/>
      <c r="O18" s="166"/>
      <c r="P18" s="166"/>
      <c r="Q18" s="166"/>
      <c r="R18" s="166"/>
      <c r="S18" s="166"/>
      <c r="T18" s="166"/>
      <c r="U18" s="166"/>
      <c r="V18" s="166"/>
      <c r="W18" s="166"/>
    </row>
    <row r="19" spans="2:23" x14ac:dyDescent="0.35">
      <c r="B19" s="163" t="s">
        <v>71</v>
      </c>
      <c r="C19" s="163"/>
      <c r="D19" s="166">
        <f ca="1">'Existing Stores---&gt;'!D19+'Inc_Stm_New_Stores---&gt;'!G50</f>
        <v>843923.88405000011</v>
      </c>
      <c r="E19" s="166">
        <f ca="1">'Existing Stores---&gt;'!E19+'Inc_Stm_New_Stores---&gt;'!H50</f>
        <v>1080811.1696279624</v>
      </c>
      <c r="F19" s="166">
        <f ca="1">'Existing Stores---&gt;'!F19+'Inc_Stm_New_Stores---&gt;'!I50</f>
        <v>1319473.932232792</v>
      </c>
      <c r="G19" s="166">
        <f ca="1">'Existing Stores---&gt;'!G19+'Inc_Stm_New_Stores---&gt;'!J50</f>
        <v>1444143.6069317325</v>
      </c>
      <c r="H19" s="166">
        <f ca="1">'Existing Stores---&gt;'!H19+'Inc_Stm_New_Stores---&gt;'!K50</f>
        <v>1569747.1648606306</v>
      </c>
      <c r="I19" s="166">
        <f ca="1">'Existing Stores---&gt;'!I19+'Inc_Stm_New_Stores---&gt;'!L50</f>
        <v>1812073.5297479862</v>
      </c>
      <c r="J19" s="166">
        <f ca="1">'Existing Stores---&gt;'!J19+'Inc_Stm_New_Stores---&gt;'!M50</f>
        <v>2056216.2425629748</v>
      </c>
      <c r="K19" s="166">
        <f ca="1">'Existing Stores---&gt;'!K19+'Inc_Stm_New_Stores---&gt;'!N50</f>
        <v>2186407.0461483649</v>
      </c>
      <c r="L19" s="166">
        <f ca="1">'Existing Stores---&gt;'!L19+'Inc_Stm_New_Stores---&gt;'!O50</f>
        <v>2317573.2217382207</v>
      </c>
      <c r="M19" s="166">
        <f ca="1">'Existing Stores---&gt;'!M19+'Inc_Stm_New_Stores---&gt;'!P50</f>
        <v>2565504.0054995283</v>
      </c>
      <c r="N19" s="166">
        <f ca="1">'Existing Stores---&gt;'!N19+'Inc_Stm_New_Stores---&gt;'!Q50</f>
        <v>2815293.2531979224</v>
      </c>
      <c r="O19" s="166">
        <f ca="1">'Existing Stores---&gt;'!O19+'Inc_Stm_New_Stores---&gt;'!R50</f>
        <v>2951173.0248484444</v>
      </c>
      <c r="P19" s="166">
        <f ca="1">'Existing Stores---&gt;'!P19+'Inc_Stm_New_Stores---&gt;'!S50</f>
        <v>3088070.9212512216</v>
      </c>
      <c r="Q19" s="166">
        <f ca="1">'Existing Stores---&gt;'!Q19+'Inc_Stm_New_Stores---&gt;'!T50</f>
        <v>3341776.5005512061</v>
      </c>
      <c r="R19" s="166">
        <f ca="1">'Existing Stores---&gt;'!R19+'Inc_Stm_New_Stores---&gt;'!U50</f>
        <v>3597383.942922153</v>
      </c>
      <c r="S19" s="166">
        <f ca="1">'Existing Stores---&gt;'!S19+'Inc_Stm_New_Stores---&gt;'!V50</f>
        <v>3739125.6352357641</v>
      </c>
      <c r="T19" s="166">
        <f ca="1">'Existing Stores---&gt;'!T19+'Inc_Stm_New_Stores---&gt;'!W50</f>
        <v>3881929.5076158969</v>
      </c>
      <c r="U19" s="166">
        <f ca="1">'Existing Stores---&gt;'!U19+'Inc_Stm_New_Stores---&gt;'!X50</f>
        <v>4141585.4500169735</v>
      </c>
      <c r="V19" s="166">
        <f ca="1">'Existing Stores---&gt;'!V19+'Inc_Stm_New_Stores---&gt;'!Y50</f>
        <v>4403187.9769267654</v>
      </c>
      <c r="W19" s="166">
        <f ca="1">'Existing Stores---&gt;'!W19+'Inc_Stm_New_Stores---&gt;'!Z50</f>
        <v>4550969.8120544953</v>
      </c>
    </row>
    <row r="20" spans="2:23" x14ac:dyDescent="0.35">
      <c r="B20" s="163" t="s">
        <v>72</v>
      </c>
      <c r="C20" s="163"/>
      <c r="D20" s="166">
        <f ca="1">'Existing Stores---&gt;'!D20+'Inc_Stm_New_Stores---&gt;'!G51</f>
        <v>97375.832774999988</v>
      </c>
      <c r="E20" s="166">
        <f ca="1">'Existing Stores---&gt;'!E20+'Inc_Stm_New_Stores---&gt;'!H51</f>
        <v>124708.98111091873</v>
      </c>
      <c r="F20" s="166">
        <f ca="1">'Existing Stores---&gt;'!F20+'Inc_Stm_New_Stores---&gt;'!I51</f>
        <v>152246.99218070676</v>
      </c>
      <c r="G20" s="166">
        <f ca="1">'Existing Stores---&gt;'!G20+'Inc_Stm_New_Stores---&gt;'!J51</f>
        <v>166631.95464596915</v>
      </c>
      <c r="H20" s="166">
        <f ca="1">'Existing Stores---&gt;'!H20+'Inc_Stm_New_Stores---&gt;'!K51</f>
        <v>181124.67286853428</v>
      </c>
      <c r="I20" s="166">
        <f ca="1">'Existing Stores---&gt;'!I20+'Inc_Stm_New_Stores---&gt;'!L51</f>
        <v>209085.40727861377</v>
      </c>
      <c r="J20" s="166">
        <f ca="1">'Existing Stores---&gt;'!J20+'Inc_Stm_New_Stores---&gt;'!M51</f>
        <v>237255.72029572786</v>
      </c>
      <c r="K20" s="166">
        <f ca="1">'Existing Stores---&gt;'!K20+'Inc_Stm_New_Stores---&gt;'!N51</f>
        <v>252277.73609404205</v>
      </c>
      <c r="L20" s="166">
        <f ca="1">'Existing Stores---&gt;'!L20+'Inc_Stm_New_Stores---&gt;'!O51</f>
        <v>267412.29481594852</v>
      </c>
      <c r="M20" s="166">
        <f ca="1">'Existing Stores---&gt;'!M20+'Inc_Stm_New_Stores---&gt;'!P51</f>
        <v>296019.69294225331</v>
      </c>
      <c r="N20" s="166">
        <f ca="1">'Existing Stores---&gt;'!N20+'Inc_Stm_New_Stores---&gt;'!Q51</f>
        <v>324841.52921514487</v>
      </c>
      <c r="O20" s="166">
        <f ca="1">'Existing Stores---&gt;'!O20+'Inc_Stm_New_Stores---&gt;'!R51</f>
        <v>340519.96440558962</v>
      </c>
      <c r="P20" s="166">
        <f ca="1">'Existing Stores---&gt;'!P20+'Inc_Stm_New_Stores---&gt;'!S51</f>
        <v>356315.87552898703</v>
      </c>
      <c r="Q20" s="166">
        <f ca="1">'Existing Stores---&gt;'!Q20+'Inc_Stm_New_Stores---&gt;'!T51</f>
        <v>385589.59621744684</v>
      </c>
      <c r="R20" s="166">
        <f ca="1">'Existing Stores---&gt;'!R20+'Inc_Stm_New_Stores---&gt;'!U51</f>
        <v>415082.7626448638</v>
      </c>
      <c r="S20" s="166">
        <f ca="1">'Existing Stores---&gt;'!S20+'Inc_Stm_New_Stores---&gt;'!V51</f>
        <v>431437.57329643413</v>
      </c>
      <c r="T20" s="166">
        <f ca="1">'Existing Stores---&gt;'!T20+'Inc_Stm_New_Stores---&gt;'!W51</f>
        <v>447914.94318644959</v>
      </c>
      <c r="U20" s="166">
        <f ca="1">'Existing Stores---&gt;'!U20+'Inc_Stm_New_Stores---&gt;'!X51</f>
        <v>477875.24423272768</v>
      </c>
      <c r="V20" s="166">
        <f ca="1">'Existing Stores---&gt;'!V20+'Inc_Stm_New_Stores---&gt;'!Y51</f>
        <v>508060.15118385747</v>
      </c>
      <c r="W20" s="166">
        <f ca="1">'Existing Stores---&gt;'!W20+'Inc_Stm_New_Stores---&gt;'!Z51</f>
        <v>525111.90139090316</v>
      </c>
    </row>
    <row r="21" spans="2:23" x14ac:dyDescent="0.35">
      <c r="B21" s="199" t="s">
        <v>202</v>
      </c>
      <c r="C21" s="163"/>
      <c r="D21" s="226">
        <f ca="1">SUM(D19:D20)</f>
        <v>941299.71682500013</v>
      </c>
      <c r="E21" s="226">
        <f t="shared" ref="E21:W21" ca="1" si="3">SUM(E19:E20)</f>
        <v>1205520.1507388812</v>
      </c>
      <c r="F21" s="226">
        <f t="shared" ca="1" si="3"/>
        <v>1471720.9244134987</v>
      </c>
      <c r="G21" s="226">
        <f t="shared" ca="1" si="3"/>
        <v>1610775.5615777017</v>
      </c>
      <c r="H21" s="226">
        <f t="shared" ca="1" si="3"/>
        <v>1750871.8377291649</v>
      </c>
      <c r="I21" s="226">
        <f t="shared" ca="1" si="3"/>
        <v>2021158.9370265999</v>
      </c>
      <c r="J21" s="226">
        <f t="shared" ca="1" si="3"/>
        <v>2293471.9628587025</v>
      </c>
      <c r="K21" s="226">
        <f t="shared" ca="1" si="3"/>
        <v>2438684.7822424071</v>
      </c>
      <c r="L21" s="226">
        <f t="shared" ca="1" si="3"/>
        <v>2584985.5165541694</v>
      </c>
      <c r="M21" s="226">
        <f t="shared" ca="1" si="3"/>
        <v>2861523.6984417816</v>
      </c>
      <c r="N21" s="226">
        <f t="shared" ca="1" si="3"/>
        <v>3140134.7824130673</v>
      </c>
      <c r="O21" s="226">
        <f t="shared" ca="1" si="3"/>
        <v>3291692.9892540341</v>
      </c>
      <c r="P21" s="226">
        <f t="shared" ca="1" si="3"/>
        <v>3444386.7967802086</v>
      </c>
      <c r="Q21" s="226">
        <f t="shared" ca="1" si="3"/>
        <v>3727366.096768653</v>
      </c>
      <c r="R21" s="226">
        <f t="shared" ca="1" si="3"/>
        <v>4012466.7055670167</v>
      </c>
      <c r="S21" s="226">
        <f t="shared" ca="1" si="3"/>
        <v>4170563.2085321983</v>
      </c>
      <c r="T21" s="226">
        <f t="shared" ca="1" si="3"/>
        <v>4329844.4508023467</v>
      </c>
      <c r="U21" s="226">
        <f t="shared" ca="1" si="3"/>
        <v>4619460.6942497008</v>
      </c>
      <c r="V21" s="226">
        <f t="shared" ca="1" si="3"/>
        <v>4911248.128110623</v>
      </c>
      <c r="W21" s="226">
        <f t="shared" ca="1" si="3"/>
        <v>5076081.713445399</v>
      </c>
    </row>
    <row r="22" spans="2:23" x14ac:dyDescent="0.35">
      <c r="B22" s="163"/>
      <c r="C22" s="163"/>
      <c r="D22" s="166"/>
      <c r="E22" s="166"/>
      <c r="F22" s="166"/>
      <c r="G22" s="166"/>
      <c r="H22" s="166"/>
      <c r="I22" s="166"/>
      <c r="J22" s="166"/>
      <c r="K22" s="166"/>
      <c r="L22" s="166"/>
      <c r="M22" s="166"/>
      <c r="N22" s="166"/>
      <c r="O22" s="166"/>
      <c r="P22" s="166"/>
      <c r="Q22" s="166"/>
      <c r="R22" s="166"/>
      <c r="S22" s="166"/>
      <c r="T22" s="166"/>
      <c r="U22" s="166"/>
      <c r="V22" s="166"/>
      <c r="W22" s="166"/>
    </row>
    <row r="23" spans="2:23" x14ac:dyDescent="0.35">
      <c r="B23" s="163" t="s">
        <v>73</v>
      </c>
      <c r="C23" s="163"/>
      <c r="D23" s="166">
        <f ca="1">'Existing Stores---&gt;'!D23+'Inc_Stm_New_Stores---&gt;'!G54</f>
        <v>48687.916387499994</v>
      </c>
      <c r="E23" s="166">
        <f ca="1">'Existing Stores---&gt;'!E23+'Inc_Stm_New_Stores---&gt;'!H54</f>
        <v>62354.490555459364</v>
      </c>
      <c r="F23" s="166">
        <f ca="1">'Existing Stores---&gt;'!F23+'Inc_Stm_New_Stores---&gt;'!I54</f>
        <v>76123.496090353379</v>
      </c>
      <c r="G23" s="166">
        <f ca="1">'Existing Stores---&gt;'!G23+'Inc_Stm_New_Stores---&gt;'!J54</f>
        <v>83315.977322984574</v>
      </c>
      <c r="H23" s="166">
        <f ca="1">'Existing Stores---&gt;'!H23+'Inc_Stm_New_Stores---&gt;'!K54</f>
        <v>90562.336434267141</v>
      </c>
      <c r="I23" s="166">
        <f ca="1">'Existing Stores---&gt;'!I23+'Inc_Stm_New_Stores---&gt;'!L54</f>
        <v>104542.70363930688</v>
      </c>
      <c r="J23" s="166">
        <f ca="1">'Existing Stores---&gt;'!J23+'Inc_Stm_New_Stores---&gt;'!M54</f>
        <v>118627.86014786393</v>
      </c>
      <c r="K23" s="166">
        <f ca="1">'Existing Stores---&gt;'!K23+'Inc_Stm_New_Stores---&gt;'!N54</f>
        <v>126138.86804702102</v>
      </c>
      <c r="L23" s="166">
        <f ca="1">'Existing Stores---&gt;'!L23+'Inc_Stm_New_Stores---&gt;'!O54</f>
        <v>133706.14740797426</v>
      </c>
      <c r="M23" s="166">
        <f ca="1">'Existing Stores---&gt;'!M23+'Inc_Stm_New_Stores---&gt;'!P54</f>
        <v>148009.84647112666</v>
      </c>
      <c r="N23" s="166">
        <f ca="1">'Existing Stores---&gt;'!N23+'Inc_Stm_New_Stores---&gt;'!Q54</f>
        <v>162420.76460757243</v>
      </c>
      <c r="O23" s="166">
        <f ca="1">'Existing Stores---&gt;'!O23+'Inc_Stm_New_Stores---&gt;'!R54</f>
        <v>170259.98220279481</v>
      </c>
      <c r="P23" s="166">
        <f ca="1">'Existing Stores---&gt;'!P23+'Inc_Stm_New_Stores---&gt;'!S54</f>
        <v>178157.93776449352</v>
      </c>
      <c r="Q23" s="166">
        <f ca="1">'Existing Stores---&gt;'!Q23+'Inc_Stm_New_Stores---&gt;'!T54</f>
        <v>192794.79810872342</v>
      </c>
      <c r="R23" s="166">
        <f ca="1">'Existing Stores---&gt;'!R23+'Inc_Stm_New_Stores---&gt;'!U54</f>
        <v>207541.3813224319</v>
      </c>
      <c r="S23" s="166">
        <f ca="1">'Existing Stores---&gt;'!S23+'Inc_Stm_New_Stores---&gt;'!V54</f>
        <v>215718.78664821706</v>
      </c>
      <c r="T23" s="166">
        <f ca="1">'Existing Stores---&gt;'!T23+'Inc_Stm_New_Stores---&gt;'!W54</f>
        <v>223957.47159322479</v>
      </c>
      <c r="U23" s="166">
        <f ca="1">'Existing Stores---&gt;'!U23+'Inc_Stm_New_Stores---&gt;'!X54</f>
        <v>238937.62211636384</v>
      </c>
      <c r="V23" s="166">
        <f ca="1">'Existing Stores---&gt;'!V23+'Inc_Stm_New_Stores---&gt;'!Y54</f>
        <v>254030.07559192873</v>
      </c>
      <c r="W23" s="166">
        <f ca="1">'Existing Stores---&gt;'!W23+'Inc_Stm_New_Stores---&gt;'!Z54</f>
        <v>262555.95069545158</v>
      </c>
    </row>
    <row r="24" spans="2:23" x14ac:dyDescent="0.35">
      <c r="B24" s="163" t="s">
        <v>74</v>
      </c>
      <c r="C24" s="163"/>
      <c r="D24" s="166">
        <f ca="1">'Existing Stores---&gt;'!D24+'Inc_Stm_New_Stores---&gt;'!G55</f>
        <v>64917.221850000002</v>
      </c>
      <c r="E24" s="166">
        <f ca="1">'Existing Stores---&gt;'!E24+'Inc_Stm_New_Stores---&gt;'!H55</f>
        <v>83139.3207406125</v>
      </c>
      <c r="F24" s="166">
        <f ca="1">'Existing Stores---&gt;'!F24+'Inc_Stm_New_Stores---&gt;'!I55</f>
        <v>101497.99478713785</v>
      </c>
      <c r="G24" s="166">
        <f ca="1">'Existing Stores---&gt;'!G24+'Inc_Stm_New_Stores---&gt;'!J55</f>
        <v>111087.96976397943</v>
      </c>
      <c r="H24" s="166">
        <f ca="1">'Existing Stores---&gt;'!H24+'Inc_Stm_New_Stores---&gt;'!K55</f>
        <v>120749.78191235621</v>
      </c>
      <c r="I24" s="166">
        <f ca="1">'Existing Stores---&gt;'!I24+'Inc_Stm_New_Stores---&gt;'!L55</f>
        <v>139390.27151907588</v>
      </c>
      <c r="J24" s="166">
        <f ca="1">'Existing Stores---&gt;'!J24+'Inc_Stm_New_Stores---&gt;'!M55</f>
        <v>158170.48019715189</v>
      </c>
      <c r="K24" s="166">
        <f ca="1">'Existing Stores---&gt;'!K24+'Inc_Stm_New_Stores---&gt;'!N55</f>
        <v>168185.15739602808</v>
      </c>
      <c r="L24" s="166">
        <f ca="1">'Existing Stores---&gt;'!L24+'Inc_Stm_New_Stores---&gt;'!O55</f>
        <v>178274.86321063238</v>
      </c>
      <c r="M24" s="166">
        <f ca="1">'Existing Stores---&gt;'!M24+'Inc_Stm_New_Stores---&gt;'!P55</f>
        <v>197346.46196150218</v>
      </c>
      <c r="N24" s="166">
        <f ca="1">'Existing Stores---&gt;'!N24+'Inc_Stm_New_Stores---&gt;'!Q55</f>
        <v>216561.01947676323</v>
      </c>
      <c r="O24" s="166">
        <f ca="1">'Existing Stores---&gt;'!O24+'Inc_Stm_New_Stores---&gt;'!R55</f>
        <v>227013.30960372649</v>
      </c>
      <c r="P24" s="166">
        <f ca="1">'Existing Stores---&gt;'!P24+'Inc_Stm_New_Stores---&gt;'!S55</f>
        <v>237543.9170193247</v>
      </c>
      <c r="Q24" s="166">
        <f ca="1">'Existing Stores---&gt;'!Q24+'Inc_Stm_New_Stores---&gt;'!T55</f>
        <v>257059.73081163128</v>
      </c>
      <c r="R24" s="166">
        <f ca="1">'Existing Stores---&gt;'!R24+'Inc_Stm_New_Stores---&gt;'!U55</f>
        <v>276721.84176324256</v>
      </c>
      <c r="S24" s="166">
        <f ca="1">'Existing Stores---&gt;'!S24+'Inc_Stm_New_Stores---&gt;'!V55</f>
        <v>287625.04886428954</v>
      </c>
      <c r="T24" s="166">
        <f ca="1">'Existing Stores---&gt;'!T24+'Inc_Stm_New_Stores---&gt;'!W55</f>
        <v>298609.96212429972</v>
      </c>
      <c r="U24" s="166">
        <f ca="1">'Existing Stores---&gt;'!U24+'Inc_Stm_New_Stores---&gt;'!X55</f>
        <v>318583.49615515181</v>
      </c>
      <c r="V24" s="166">
        <f ca="1">'Existing Stores---&gt;'!V24+'Inc_Stm_New_Stores---&gt;'!Y55</f>
        <v>338706.76745590509</v>
      </c>
      <c r="W24" s="166">
        <f ca="1">'Existing Stores---&gt;'!W24+'Inc_Stm_New_Stores---&gt;'!Z55</f>
        <v>350074.60092726885</v>
      </c>
    </row>
    <row r="25" spans="2:23" x14ac:dyDescent="0.35">
      <c r="B25" s="163" t="s">
        <v>75</v>
      </c>
      <c r="C25" s="163"/>
      <c r="D25" s="166">
        <f ca="1">'Existing Stores---&gt;'!D25+'Inc_Stm_New_Stores---&gt;'!G56</f>
        <v>22721.027647499999</v>
      </c>
      <c r="E25" s="166">
        <f ca="1">'Existing Stores---&gt;'!E25+'Inc_Stm_New_Stores---&gt;'!H56</f>
        <v>29098.762259214374</v>
      </c>
      <c r="F25" s="166">
        <f ca="1">'Existing Stores---&gt;'!F25+'Inc_Stm_New_Stores---&gt;'!I56</f>
        <v>35524.298175498247</v>
      </c>
      <c r="G25" s="166">
        <f ca="1">'Existing Stores---&gt;'!G25+'Inc_Stm_New_Stores---&gt;'!J56</f>
        <v>38880.789417392807</v>
      </c>
      <c r="H25" s="166">
        <f ca="1">'Existing Stores---&gt;'!H25+'Inc_Stm_New_Stores---&gt;'!K56</f>
        <v>42262.423669324664</v>
      </c>
      <c r="I25" s="166">
        <f ca="1">'Existing Stores---&gt;'!I25+'Inc_Stm_New_Stores---&gt;'!L56</f>
        <v>48786.595031676552</v>
      </c>
      <c r="J25" s="166">
        <f ca="1">'Existing Stores---&gt;'!J25+'Inc_Stm_New_Stores---&gt;'!M56</f>
        <v>55359.668069003164</v>
      </c>
      <c r="K25" s="166">
        <f ca="1">'Existing Stores---&gt;'!K25+'Inc_Stm_New_Stores---&gt;'!N56</f>
        <v>58864.805088609828</v>
      </c>
      <c r="L25" s="166">
        <f ca="1">'Existing Stores---&gt;'!L25+'Inc_Stm_New_Stores---&gt;'!O56</f>
        <v>62396.202123721327</v>
      </c>
      <c r="M25" s="166">
        <f ca="1">'Existing Stores---&gt;'!M25+'Inc_Stm_New_Stores---&gt;'!P56</f>
        <v>69071.261686525773</v>
      </c>
      <c r="N25" s="166">
        <f ca="1">'Existing Stores---&gt;'!N25+'Inc_Stm_New_Stores---&gt;'!Q56</f>
        <v>75796.356816867148</v>
      </c>
      <c r="O25" s="166">
        <f ca="1">'Existing Stores---&gt;'!O25+'Inc_Stm_New_Stores---&gt;'!R56</f>
        <v>79454.65836130426</v>
      </c>
      <c r="P25" s="166">
        <f ca="1">'Existing Stores---&gt;'!P25+'Inc_Stm_New_Stores---&gt;'!S56</f>
        <v>83140.37095676364</v>
      </c>
      <c r="Q25" s="166">
        <f ca="1">'Existing Stores---&gt;'!Q25+'Inc_Stm_New_Stores---&gt;'!T56</f>
        <v>89970.905784070943</v>
      </c>
      <c r="R25" s="166">
        <f ca="1">'Existing Stores---&gt;'!R25+'Inc_Stm_New_Stores---&gt;'!U56</f>
        <v>96852.644617134894</v>
      </c>
      <c r="S25" s="166">
        <f ca="1">'Existing Stores---&gt;'!S25+'Inc_Stm_New_Stores---&gt;'!V56</f>
        <v>100668.76710250133</v>
      </c>
      <c r="T25" s="166">
        <f ca="1">'Existing Stores---&gt;'!T25+'Inc_Stm_New_Stores---&gt;'!W56</f>
        <v>104513.48674350491</v>
      </c>
      <c r="U25" s="166">
        <f ca="1">'Existing Stores---&gt;'!U25+'Inc_Stm_New_Stores---&gt;'!X56</f>
        <v>111504.22365430313</v>
      </c>
      <c r="V25" s="166">
        <f ca="1">'Existing Stores---&gt;'!V25+'Inc_Stm_New_Stores---&gt;'!Y56</f>
        <v>118547.36860956677</v>
      </c>
      <c r="W25" s="166">
        <f ca="1">'Existing Stores---&gt;'!W25+'Inc_Stm_New_Stores---&gt;'!Z56</f>
        <v>122526.1103245441</v>
      </c>
    </row>
    <row r="26" spans="2:23" x14ac:dyDescent="0.35">
      <c r="B26" s="163" t="s">
        <v>76</v>
      </c>
      <c r="C26" s="163"/>
      <c r="D26" s="166">
        <f>'Existing Stores---&gt;'!D26+'Inc_Stm_New_Stores---&gt;'!G57</f>
        <v>24000</v>
      </c>
      <c r="E26" s="166">
        <f ca="1">'Existing Stores---&gt;'!E26+'Inc_Stm_New_Stores---&gt;'!H57</f>
        <v>32000</v>
      </c>
      <c r="F26" s="166">
        <f ca="1">'Existing Stores---&gt;'!F26+'Inc_Stm_New_Stores---&gt;'!I57</f>
        <v>40000</v>
      </c>
      <c r="G26" s="166">
        <f ca="1">'Existing Stores---&gt;'!G26+'Inc_Stm_New_Stores---&gt;'!J57</f>
        <v>44000</v>
      </c>
      <c r="H26" s="166">
        <f ca="1">'Existing Stores---&gt;'!H26+'Inc_Stm_New_Stores---&gt;'!K57</f>
        <v>48000</v>
      </c>
      <c r="I26" s="166">
        <f ca="1">'Existing Stores---&gt;'!I26+'Inc_Stm_New_Stores---&gt;'!L57</f>
        <v>56000</v>
      </c>
      <c r="J26" s="166">
        <f ca="1">'Existing Stores---&gt;'!J26+'Inc_Stm_New_Stores---&gt;'!M57</f>
        <v>64000</v>
      </c>
      <c r="K26" s="166">
        <f ca="1">'Existing Stores---&gt;'!K26+'Inc_Stm_New_Stores---&gt;'!N57</f>
        <v>68000</v>
      </c>
      <c r="L26" s="166">
        <f ca="1">'Existing Stores---&gt;'!L26+'Inc_Stm_New_Stores---&gt;'!O57</f>
        <v>72000</v>
      </c>
      <c r="M26" s="166">
        <f ca="1">'Existing Stores---&gt;'!M26+'Inc_Stm_New_Stores---&gt;'!P57</f>
        <v>80000</v>
      </c>
      <c r="N26" s="166">
        <f ca="1">'Existing Stores---&gt;'!N26+'Inc_Stm_New_Stores---&gt;'!Q57</f>
        <v>88000</v>
      </c>
      <c r="O26" s="166">
        <f ca="1">'Existing Stores---&gt;'!O26+'Inc_Stm_New_Stores---&gt;'!R57</f>
        <v>92000</v>
      </c>
      <c r="P26" s="166">
        <f ca="1">'Existing Stores---&gt;'!P26+'Inc_Stm_New_Stores---&gt;'!S57</f>
        <v>96000</v>
      </c>
      <c r="Q26" s="166">
        <f ca="1">'Existing Stores---&gt;'!Q26+'Inc_Stm_New_Stores---&gt;'!T57</f>
        <v>104000</v>
      </c>
      <c r="R26" s="166">
        <f ca="1">'Existing Stores---&gt;'!R26+'Inc_Stm_New_Stores---&gt;'!U57</f>
        <v>112000</v>
      </c>
      <c r="S26" s="166">
        <f ca="1">'Existing Stores---&gt;'!S26+'Inc_Stm_New_Stores---&gt;'!V57</f>
        <v>116000</v>
      </c>
      <c r="T26" s="166">
        <f ca="1">'Existing Stores---&gt;'!T26+'Inc_Stm_New_Stores---&gt;'!W57</f>
        <v>120000</v>
      </c>
      <c r="U26" s="166">
        <f ca="1">'Existing Stores---&gt;'!U26+'Inc_Stm_New_Stores---&gt;'!X57</f>
        <v>128000</v>
      </c>
      <c r="V26" s="166">
        <f ca="1">'Existing Stores---&gt;'!V26+'Inc_Stm_New_Stores---&gt;'!Y57</f>
        <v>136000</v>
      </c>
      <c r="W26" s="166">
        <f ca="1">'Existing Stores---&gt;'!W26+'Inc_Stm_New_Stores---&gt;'!Z57</f>
        <v>140000</v>
      </c>
    </row>
    <row r="27" spans="2:23" x14ac:dyDescent="0.35">
      <c r="B27" s="163" t="s">
        <v>43</v>
      </c>
      <c r="C27" s="163"/>
      <c r="D27" s="166">
        <f>'Existing Stores---&gt;'!D27+'Inc_Stm_New_Stores---&gt;'!G58</f>
        <v>124500</v>
      </c>
      <c r="E27" s="166">
        <f ca="1">'Existing Stores---&gt;'!E27+'Inc_Stm_New_Stores---&gt;'!H58</f>
        <v>166000</v>
      </c>
      <c r="F27" s="166">
        <f ca="1">'Existing Stores---&gt;'!F27+'Inc_Stm_New_Stores---&gt;'!I58</f>
        <v>207500</v>
      </c>
      <c r="G27" s="166">
        <f ca="1">'Existing Stores---&gt;'!G27+'Inc_Stm_New_Stores---&gt;'!J58</f>
        <v>228250</v>
      </c>
      <c r="H27" s="166">
        <f ca="1">'Existing Stores---&gt;'!H27+'Inc_Stm_New_Stores---&gt;'!K58</f>
        <v>249000</v>
      </c>
      <c r="I27" s="166">
        <f ca="1">'Existing Stores---&gt;'!I27+'Inc_Stm_New_Stores---&gt;'!L58</f>
        <v>290500</v>
      </c>
      <c r="J27" s="166">
        <f ca="1">'Existing Stores---&gt;'!J27+'Inc_Stm_New_Stores---&gt;'!M58</f>
        <v>332000</v>
      </c>
      <c r="K27" s="166">
        <f ca="1">'Existing Stores---&gt;'!K27+'Inc_Stm_New_Stores---&gt;'!N58</f>
        <v>352750</v>
      </c>
      <c r="L27" s="166">
        <f ca="1">'Existing Stores---&gt;'!L27+'Inc_Stm_New_Stores---&gt;'!O58</f>
        <v>373500</v>
      </c>
      <c r="M27" s="166">
        <f ca="1">'Existing Stores---&gt;'!M27+'Inc_Stm_New_Stores---&gt;'!P58</f>
        <v>415000</v>
      </c>
      <c r="N27" s="166">
        <f ca="1">'Existing Stores---&gt;'!N27+'Inc_Stm_New_Stores---&gt;'!Q58</f>
        <v>456500</v>
      </c>
      <c r="O27" s="166">
        <f ca="1">'Existing Stores---&gt;'!O27+'Inc_Stm_New_Stores---&gt;'!R58</f>
        <v>477250</v>
      </c>
      <c r="P27" s="166">
        <f ca="1">'Existing Stores---&gt;'!P27+'Inc_Stm_New_Stores---&gt;'!S58</f>
        <v>498000</v>
      </c>
      <c r="Q27" s="166">
        <f ca="1">'Existing Stores---&gt;'!Q27+'Inc_Stm_New_Stores---&gt;'!T58</f>
        <v>539500</v>
      </c>
      <c r="R27" s="166">
        <f ca="1">'Existing Stores---&gt;'!R27+'Inc_Stm_New_Stores---&gt;'!U58</f>
        <v>581000</v>
      </c>
      <c r="S27" s="166">
        <f ca="1">'Existing Stores---&gt;'!S27+'Inc_Stm_New_Stores---&gt;'!V58</f>
        <v>601750</v>
      </c>
      <c r="T27" s="166">
        <f ca="1">'Existing Stores---&gt;'!T27+'Inc_Stm_New_Stores---&gt;'!W58</f>
        <v>622500</v>
      </c>
      <c r="U27" s="166">
        <f ca="1">'Existing Stores---&gt;'!U27+'Inc_Stm_New_Stores---&gt;'!X58</f>
        <v>664000</v>
      </c>
      <c r="V27" s="166">
        <f ca="1">'Existing Stores---&gt;'!V27+'Inc_Stm_New_Stores---&gt;'!Y58</f>
        <v>705500</v>
      </c>
      <c r="W27" s="166">
        <f ca="1">'Existing Stores---&gt;'!W27+'Inc_Stm_New_Stores---&gt;'!Z58</f>
        <v>726250</v>
      </c>
    </row>
    <row r="28" spans="2:23" x14ac:dyDescent="0.35">
      <c r="B28" s="199" t="s">
        <v>203</v>
      </c>
      <c r="C28" s="163"/>
      <c r="D28" s="226">
        <f ca="1">SUM(D23:D27)</f>
        <v>284826.16588500002</v>
      </c>
      <c r="E28" s="226">
        <f t="shared" ref="E28:W28" ca="1" si="4">SUM(E23:E27)</f>
        <v>372592.57355528622</v>
      </c>
      <c r="F28" s="226">
        <f t="shared" ca="1" si="4"/>
        <v>460645.78905298951</v>
      </c>
      <c r="G28" s="226">
        <f t="shared" ca="1" si="4"/>
        <v>505534.73650435684</v>
      </c>
      <c r="H28" s="226">
        <f t="shared" ca="1" si="4"/>
        <v>550574.54201594798</v>
      </c>
      <c r="I28" s="226">
        <f t="shared" ca="1" si="4"/>
        <v>639219.57019005925</v>
      </c>
      <c r="J28" s="226">
        <f t="shared" ca="1" si="4"/>
        <v>728158.0084140189</v>
      </c>
      <c r="K28" s="226">
        <f t="shared" ca="1" si="4"/>
        <v>773938.83053165884</v>
      </c>
      <c r="L28" s="226">
        <f t="shared" ca="1" si="4"/>
        <v>819877.21274232795</v>
      </c>
      <c r="M28" s="226">
        <f t="shared" ca="1" si="4"/>
        <v>909427.57011915464</v>
      </c>
      <c r="N28" s="226">
        <f t="shared" ca="1" si="4"/>
        <v>999278.1409012028</v>
      </c>
      <c r="O28" s="226">
        <f t="shared" ca="1" si="4"/>
        <v>1045977.9501678256</v>
      </c>
      <c r="P28" s="226">
        <f t="shared" ca="1" si="4"/>
        <v>1092842.2257405818</v>
      </c>
      <c r="Q28" s="226">
        <f t="shared" ca="1" si="4"/>
        <v>1183325.4347044257</v>
      </c>
      <c r="R28" s="226">
        <f t="shared" ca="1" si="4"/>
        <v>1274115.8677028094</v>
      </c>
      <c r="S28" s="226">
        <f t="shared" ca="1" si="4"/>
        <v>1321762.6026150079</v>
      </c>
      <c r="T28" s="226">
        <f t="shared" ca="1" si="4"/>
        <v>1369580.9204610293</v>
      </c>
      <c r="U28" s="226">
        <f t="shared" ca="1" si="4"/>
        <v>1461025.3419258189</v>
      </c>
      <c r="V28" s="226">
        <f t="shared" ca="1" si="4"/>
        <v>1552784.2116574005</v>
      </c>
      <c r="W28" s="226">
        <f t="shared" ca="1" si="4"/>
        <v>1601406.6619472646</v>
      </c>
    </row>
    <row r="29" spans="2:23" x14ac:dyDescent="0.35">
      <c r="B29" s="163"/>
      <c r="C29" s="163"/>
      <c r="D29" s="166"/>
      <c r="E29" s="166"/>
      <c r="F29" s="166"/>
      <c r="G29" s="166"/>
      <c r="H29" s="166"/>
      <c r="I29" s="166"/>
      <c r="J29" s="166"/>
      <c r="K29" s="166"/>
      <c r="L29" s="166"/>
      <c r="M29" s="166"/>
      <c r="N29" s="166"/>
      <c r="O29" s="166"/>
      <c r="P29" s="166"/>
      <c r="Q29" s="166"/>
      <c r="R29" s="166"/>
      <c r="S29" s="166"/>
      <c r="T29" s="166"/>
      <c r="U29" s="166"/>
      <c r="V29" s="166"/>
      <c r="W29" s="166"/>
    </row>
    <row r="30" spans="2:23" x14ac:dyDescent="0.35">
      <c r="B30" s="163" t="s">
        <v>42</v>
      </c>
      <c r="C30" s="163"/>
      <c r="D30" s="166">
        <f>'Existing Stores---&gt;'!D30+'Inc_Stm_New_Stores---&gt;'!G61</f>
        <v>150000</v>
      </c>
      <c r="E30" s="166">
        <f ca="1">'Existing Stores---&gt;'!E30+'Inc_Stm_New_Stores---&gt;'!H61</f>
        <v>200000</v>
      </c>
      <c r="F30" s="166">
        <f ca="1">'Existing Stores---&gt;'!F30+'Inc_Stm_New_Stores---&gt;'!I61</f>
        <v>250000</v>
      </c>
      <c r="G30" s="166">
        <f ca="1">'Existing Stores---&gt;'!G30+'Inc_Stm_New_Stores---&gt;'!J61</f>
        <v>275000</v>
      </c>
      <c r="H30" s="166">
        <f ca="1">'Existing Stores---&gt;'!H30+'Inc_Stm_New_Stores---&gt;'!K61</f>
        <v>300000</v>
      </c>
      <c r="I30" s="166">
        <f ca="1">'Existing Stores---&gt;'!I30+'Inc_Stm_New_Stores---&gt;'!L61</f>
        <v>350000</v>
      </c>
      <c r="J30" s="166">
        <f ca="1">'Existing Stores---&gt;'!J30+'Inc_Stm_New_Stores---&gt;'!M61</f>
        <v>400000</v>
      </c>
      <c r="K30" s="166">
        <f ca="1">'Existing Stores---&gt;'!K30+'Inc_Stm_New_Stores---&gt;'!N61</f>
        <v>425000</v>
      </c>
      <c r="L30" s="166">
        <f ca="1">'Existing Stores---&gt;'!L30+'Inc_Stm_New_Stores---&gt;'!O61</f>
        <v>450000</v>
      </c>
      <c r="M30" s="166">
        <f ca="1">'Existing Stores---&gt;'!M30+'Inc_Stm_New_Stores---&gt;'!P61</f>
        <v>500000</v>
      </c>
      <c r="N30" s="166">
        <f ca="1">'Existing Stores---&gt;'!N30+'Inc_Stm_New_Stores---&gt;'!Q61</f>
        <v>550000</v>
      </c>
      <c r="O30" s="166">
        <f ca="1">'Existing Stores---&gt;'!O30+'Inc_Stm_New_Stores---&gt;'!R61</f>
        <v>575000</v>
      </c>
      <c r="P30" s="166">
        <f ca="1">'Existing Stores---&gt;'!P30+'Inc_Stm_New_Stores---&gt;'!S61</f>
        <v>600000</v>
      </c>
      <c r="Q30" s="166">
        <f ca="1">'Existing Stores---&gt;'!Q30+'Inc_Stm_New_Stores---&gt;'!T61</f>
        <v>650000</v>
      </c>
      <c r="R30" s="166">
        <f ca="1">'Existing Stores---&gt;'!R30+'Inc_Stm_New_Stores---&gt;'!U61</f>
        <v>700000</v>
      </c>
      <c r="S30" s="166">
        <f ca="1">'Existing Stores---&gt;'!S30+'Inc_Stm_New_Stores---&gt;'!V61</f>
        <v>725000</v>
      </c>
      <c r="T30" s="166">
        <f ca="1">'Existing Stores---&gt;'!T30+'Inc_Stm_New_Stores---&gt;'!W61</f>
        <v>750000</v>
      </c>
      <c r="U30" s="166">
        <f ca="1">'Existing Stores---&gt;'!U30+'Inc_Stm_New_Stores---&gt;'!X61</f>
        <v>800000</v>
      </c>
      <c r="V30" s="166">
        <f ca="1">'Existing Stores---&gt;'!V30+'Inc_Stm_New_Stores---&gt;'!Y61</f>
        <v>850000</v>
      </c>
      <c r="W30" s="166">
        <f ca="1">'Existing Stores---&gt;'!W30+'Inc_Stm_New_Stores---&gt;'!Z61</f>
        <v>875000</v>
      </c>
    </row>
    <row r="31" spans="2:23" x14ac:dyDescent="0.35">
      <c r="B31" s="163" t="s">
        <v>77</v>
      </c>
      <c r="C31" s="163"/>
      <c r="D31" s="166">
        <f>'Existing Stores---&gt;'!D31+'Inc_Stm_New_Stores---&gt;'!G62</f>
        <v>45000</v>
      </c>
      <c r="E31" s="166">
        <f ca="1">'Existing Stores---&gt;'!E31+'Inc_Stm_New_Stores---&gt;'!H62</f>
        <v>60000</v>
      </c>
      <c r="F31" s="166">
        <f ca="1">'Existing Stores---&gt;'!F31+'Inc_Stm_New_Stores---&gt;'!I62</f>
        <v>75000</v>
      </c>
      <c r="G31" s="166">
        <f ca="1">'Existing Stores---&gt;'!G31+'Inc_Stm_New_Stores---&gt;'!J62</f>
        <v>82500</v>
      </c>
      <c r="H31" s="166">
        <f ca="1">'Existing Stores---&gt;'!H31+'Inc_Stm_New_Stores---&gt;'!K62</f>
        <v>90000</v>
      </c>
      <c r="I31" s="166">
        <f ca="1">'Existing Stores---&gt;'!I31+'Inc_Stm_New_Stores---&gt;'!L62</f>
        <v>105000</v>
      </c>
      <c r="J31" s="166">
        <f ca="1">'Existing Stores---&gt;'!J31+'Inc_Stm_New_Stores---&gt;'!M62</f>
        <v>120000</v>
      </c>
      <c r="K31" s="166">
        <f ca="1">'Existing Stores---&gt;'!K31+'Inc_Stm_New_Stores---&gt;'!N62</f>
        <v>127500</v>
      </c>
      <c r="L31" s="166">
        <f ca="1">'Existing Stores---&gt;'!L31+'Inc_Stm_New_Stores---&gt;'!O62</f>
        <v>135000</v>
      </c>
      <c r="M31" s="166">
        <f ca="1">'Existing Stores---&gt;'!M31+'Inc_Stm_New_Stores---&gt;'!P62</f>
        <v>150000</v>
      </c>
      <c r="N31" s="166">
        <f ca="1">'Existing Stores---&gt;'!N31+'Inc_Stm_New_Stores---&gt;'!Q62</f>
        <v>165000</v>
      </c>
      <c r="O31" s="166">
        <f ca="1">'Existing Stores---&gt;'!O31+'Inc_Stm_New_Stores---&gt;'!R62</f>
        <v>172500</v>
      </c>
      <c r="P31" s="166">
        <f ca="1">'Existing Stores---&gt;'!P31+'Inc_Stm_New_Stores---&gt;'!S62</f>
        <v>180000</v>
      </c>
      <c r="Q31" s="166">
        <f ca="1">'Existing Stores---&gt;'!Q31+'Inc_Stm_New_Stores---&gt;'!T62</f>
        <v>195000</v>
      </c>
      <c r="R31" s="166">
        <f ca="1">'Existing Stores---&gt;'!R31+'Inc_Stm_New_Stores---&gt;'!U62</f>
        <v>210000</v>
      </c>
      <c r="S31" s="166">
        <f ca="1">'Existing Stores---&gt;'!S31+'Inc_Stm_New_Stores---&gt;'!V62</f>
        <v>217500</v>
      </c>
      <c r="T31" s="166">
        <f ca="1">'Existing Stores---&gt;'!T31+'Inc_Stm_New_Stores---&gt;'!W62</f>
        <v>225000</v>
      </c>
      <c r="U31" s="166">
        <f ca="1">'Existing Stores---&gt;'!U31+'Inc_Stm_New_Stores---&gt;'!X62</f>
        <v>240000</v>
      </c>
      <c r="V31" s="166">
        <f ca="1">'Existing Stores---&gt;'!V31+'Inc_Stm_New_Stores---&gt;'!Y62</f>
        <v>255000</v>
      </c>
      <c r="W31" s="166">
        <f ca="1">'Existing Stores---&gt;'!W31+'Inc_Stm_New_Stores---&gt;'!Z62</f>
        <v>262500</v>
      </c>
    </row>
    <row r="32" spans="2:23" x14ac:dyDescent="0.35">
      <c r="B32" s="199" t="s">
        <v>204</v>
      </c>
      <c r="C32" s="163"/>
      <c r="D32" s="226">
        <f>SUM(D30:D31)</f>
        <v>195000</v>
      </c>
      <c r="E32" s="226">
        <f t="shared" ref="E32:W32" ca="1" si="5">SUM(E30:E31)</f>
        <v>260000</v>
      </c>
      <c r="F32" s="226">
        <f t="shared" ca="1" si="5"/>
        <v>325000</v>
      </c>
      <c r="G32" s="226">
        <f t="shared" ca="1" si="5"/>
        <v>357500</v>
      </c>
      <c r="H32" s="226">
        <f t="shared" ca="1" si="5"/>
        <v>390000</v>
      </c>
      <c r="I32" s="226">
        <f t="shared" ca="1" si="5"/>
        <v>455000</v>
      </c>
      <c r="J32" s="226">
        <f t="shared" ca="1" si="5"/>
        <v>520000</v>
      </c>
      <c r="K32" s="226">
        <f t="shared" ca="1" si="5"/>
        <v>552500</v>
      </c>
      <c r="L32" s="226">
        <f t="shared" ca="1" si="5"/>
        <v>585000</v>
      </c>
      <c r="M32" s="226">
        <f t="shared" ca="1" si="5"/>
        <v>650000</v>
      </c>
      <c r="N32" s="226">
        <f t="shared" ca="1" si="5"/>
        <v>715000</v>
      </c>
      <c r="O32" s="226">
        <f t="shared" ca="1" si="5"/>
        <v>747500</v>
      </c>
      <c r="P32" s="226">
        <f t="shared" ca="1" si="5"/>
        <v>780000</v>
      </c>
      <c r="Q32" s="226">
        <f t="shared" ca="1" si="5"/>
        <v>845000</v>
      </c>
      <c r="R32" s="226">
        <f t="shared" ca="1" si="5"/>
        <v>910000</v>
      </c>
      <c r="S32" s="226">
        <f t="shared" ca="1" si="5"/>
        <v>942500</v>
      </c>
      <c r="T32" s="226">
        <f t="shared" ca="1" si="5"/>
        <v>975000</v>
      </c>
      <c r="U32" s="226">
        <f t="shared" ca="1" si="5"/>
        <v>1040000</v>
      </c>
      <c r="V32" s="226">
        <f t="shared" ca="1" si="5"/>
        <v>1105000</v>
      </c>
      <c r="W32" s="226">
        <f t="shared" ca="1" si="5"/>
        <v>1137500</v>
      </c>
    </row>
    <row r="33" spans="2:23" x14ac:dyDescent="0.35">
      <c r="B33" s="163"/>
      <c r="C33" s="163"/>
      <c r="D33" s="166"/>
      <c r="E33" s="166"/>
      <c r="F33" s="166"/>
      <c r="G33" s="166"/>
      <c r="H33" s="166"/>
      <c r="I33" s="166"/>
      <c r="J33" s="166"/>
      <c r="K33" s="166"/>
      <c r="L33" s="166"/>
      <c r="M33" s="166"/>
      <c r="N33" s="166"/>
      <c r="O33" s="166"/>
      <c r="P33" s="166"/>
      <c r="Q33" s="166"/>
      <c r="R33" s="166"/>
      <c r="S33" s="166"/>
      <c r="T33" s="166"/>
      <c r="U33" s="166"/>
      <c r="V33" s="166"/>
      <c r="W33" s="166"/>
    </row>
    <row r="34" spans="2:23" ht="15" thickBot="1" x14ac:dyDescent="0.4">
      <c r="B34" s="202" t="s">
        <v>205</v>
      </c>
      <c r="C34" s="163"/>
      <c r="D34" s="229">
        <f ca="1">D4-D17-D21-D28-D32</f>
        <v>903021.02247599978</v>
      </c>
      <c r="E34" s="229">
        <f t="shared" ref="E34:W34" ca="1" si="6">E4-E17-E21-E28-E32</f>
        <v>1083811.3985704225</v>
      </c>
      <c r="F34" s="229">
        <f t="shared" ca="1" si="6"/>
        <v>1266900.9571255306</v>
      </c>
      <c r="G34" s="229">
        <f t="shared" ca="1" si="6"/>
        <v>1365846.3741773809</v>
      </c>
      <c r="H34" s="229">
        <f t="shared" ca="1" si="6"/>
        <v>1466004.705235668</v>
      </c>
      <c r="I34" s="229">
        <f t="shared" ca="1" si="6"/>
        <v>1653845.6842557099</v>
      </c>
      <c r="J34" s="229">
        <f t="shared" ca="1" si="6"/>
        <v>1844038.8648528182</v>
      </c>
      <c r="K34" s="229">
        <f t="shared" ca="1" si="6"/>
        <v>1950141.3228357974</v>
      </c>
      <c r="L34" s="229">
        <f t="shared" ca="1" si="6"/>
        <v>2057510.5165095516</v>
      </c>
      <c r="M34" s="229">
        <f t="shared" ca="1" si="6"/>
        <v>2252616.5856699948</v>
      </c>
      <c r="N34" s="229">
        <f t="shared" ca="1" si="6"/>
        <v>2450129.4928414975</v>
      </c>
      <c r="O34" s="229">
        <f t="shared" ca="1" si="6"/>
        <v>2563606.725833687</v>
      </c>
      <c r="P34" s="229">
        <f t="shared" ca="1" si="6"/>
        <v>2678406.1580674816</v>
      </c>
      <c r="Q34" s="229">
        <f t="shared" ca="1" si="6"/>
        <v>2880998.3475936493</v>
      </c>
      <c r="R34" s="229">
        <f t="shared" ca="1" si="6"/>
        <v>3086053.6783540426</v>
      </c>
      <c r="S34" s="229">
        <f t="shared" ca="1" si="6"/>
        <v>3207130.0627624122</v>
      </c>
      <c r="T34" s="229">
        <f t="shared" ca="1" si="6"/>
        <v>3329585.8020545822</v>
      </c>
      <c r="U34" s="229">
        <f t="shared" ca="1" si="6"/>
        <v>3539891.8853313997</v>
      </c>
      <c r="V34" s="229">
        <f t="shared" ca="1" si="6"/>
        <v>3752719.1308444915</v>
      </c>
      <c r="W34" s="229">
        <f t="shared" ca="1" si="6"/>
        <v>3881625.8886018051</v>
      </c>
    </row>
    <row r="35" spans="2:23" ht="15" thickTop="1" x14ac:dyDescent="0.35"/>
    <row r="36" spans="2:23" x14ac:dyDescent="0.35">
      <c r="U36" s="255"/>
    </row>
    <row r="37" spans="2:23" x14ac:dyDescent="0.35">
      <c r="U37" s="255"/>
    </row>
    <row r="38" spans="2:23" x14ac:dyDescent="0.35">
      <c r="U38" s="2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W35"/>
  <sheetViews>
    <sheetView zoomScale="80" zoomScaleNormal="80" workbookViewId="0">
      <pane xSplit="2" topLeftCell="C1" activePane="topRight" state="frozen"/>
      <selection pane="topRight" activeCell="D39" sqref="D39"/>
    </sheetView>
  </sheetViews>
  <sheetFormatPr defaultRowHeight="14.5" x14ac:dyDescent="0.35"/>
  <cols>
    <col min="2" max="2" width="42.26953125" bestFit="1" customWidth="1"/>
    <col min="3" max="3" width="1.6328125" customWidth="1"/>
    <col min="4" max="23" width="12.6328125" bestFit="1" customWidth="1"/>
  </cols>
  <sheetData>
    <row r="2" spans="2:23" x14ac:dyDescent="0.35">
      <c r="B2" s="188"/>
      <c r="C2" s="163"/>
      <c r="D2" s="208" t="s">
        <v>6</v>
      </c>
      <c r="E2" s="209"/>
      <c r="F2" s="209"/>
      <c r="G2" s="209"/>
      <c r="H2" s="208" t="s">
        <v>7</v>
      </c>
      <c r="I2" s="209"/>
      <c r="J2" s="209"/>
      <c r="K2" s="209"/>
      <c r="L2" s="208" t="s">
        <v>8</v>
      </c>
      <c r="M2" s="209"/>
      <c r="N2" s="209"/>
      <c r="O2" s="209"/>
      <c r="P2" s="208" t="s">
        <v>9</v>
      </c>
      <c r="Q2" s="209"/>
      <c r="R2" s="209"/>
      <c r="S2" s="209"/>
      <c r="T2" s="208" t="s">
        <v>10</v>
      </c>
      <c r="U2" s="209"/>
      <c r="V2" s="209"/>
      <c r="W2" s="209"/>
    </row>
    <row r="3" spans="2:23" x14ac:dyDescent="0.35">
      <c r="B3" s="163"/>
      <c r="C3" s="201"/>
      <c r="D3" s="201" t="s">
        <v>11</v>
      </c>
      <c r="E3" s="201" t="s">
        <v>12</v>
      </c>
      <c r="F3" s="201" t="s">
        <v>13</v>
      </c>
      <c r="G3" s="201" t="s">
        <v>14</v>
      </c>
      <c r="H3" s="201" t="s">
        <v>11</v>
      </c>
      <c r="I3" s="201" t="s">
        <v>12</v>
      </c>
      <c r="J3" s="201" t="s">
        <v>13</v>
      </c>
      <c r="K3" s="201" t="s">
        <v>14</v>
      </c>
      <c r="L3" s="201" t="s">
        <v>11</v>
      </c>
      <c r="M3" s="201" t="s">
        <v>12</v>
      </c>
      <c r="N3" s="201" t="s">
        <v>13</v>
      </c>
      <c r="O3" s="201" t="s">
        <v>14</v>
      </c>
      <c r="P3" s="201" t="s">
        <v>11</v>
      </c>
      <c r="Q3" s="201" t="s">
        <v>12</v>
      </c>
      <c r="R3" s="201" t="s">
        <v>13</v>
      </c>
      <c r="S3" s="201" t="s">
        <v>14</v>
      </c>
      <c r="T3" s="201" t="s">
        <v>11</v>
      </c>
      <c r="U3" s="201" t="s">
        <v>12</v>
      </c>
      <c r="V3" s="201" t="s">
        <v>13</v>
      </c>
      <c r="W3" s="201" t="s">
        <v>14</v>
      </c>
    </row>
    <row r="4" spans="2:23" x14ac:dyDescent="0.35">
      <c r="B4" s="163" t="s">
        <v>15</v>
      </c>
      <c r="C4" s="163"/>
      <c r="D4" s="221">
        <f>SUM(In:Out!G10)</f>
        <v>2800546.0924999998</v>
      </c>
      <c r="E4" s="221">
        <f>SUM(In:Out!H10)</f>
        <v>2817681.1745306244</v>
      </c>
      <c r="F4" s="221">
        <f>SUM(In:Out!I10)</f>
        <v>2834940.2403881424</v>
      </c>
      <c r="G4" s="221">
        <f>SUM(In:Out!J10)</f>
        <v>2852324.2929879557</v>
      </c>
      <c r="H4" s="221">
        <f>SUM(In:Out!K10)</f>
        <v>2869834.3439427111</v>
      </c>
      <c r="I4" s="221">
        <f>SUM(In:Out!L10)</f>
        <v>2887471.4136411306</v>
      </c>
      <c r="J4" s="221">
        <f>SUM(In:Out!M10)</f>
        <v>2905236.5313275885</v>
      </c>
      <c r="K4" s="221">
        <f>SUM(In:Out!N10)</f>
        <v>2923130.7351824204</v>
      </c>
      <c r="L4" s="221">
        <f>SUM(In:Out!O10)</f>
        <v>2941155.0724029923</v>
      </c>
      <c r="M4" s="221">
        <f>SUM(In:Out!P10)</f>
        <v>2959310.5992855188</v>
      </c>
      <c r="N4" s="221">
        <f>SUM(In:Out!Q10)</f>
        <v>2977598.3813076499</v>
      </c>
      <c r="O4" s="221">
        <f>SUM(In:Out!R10)</f>
        <v>2996019.49321183</v>
      </c>
      <c r="P4" s="221">
        <f>SUM(In:Out!S10)</f>
        <v>3014575.0190894324</v>
      </c>
      <c r="Q4" s="221">
        <f>SUM(In:Out!T10)</f>
        <v>3033266.0524656833</v>
      </c>
      <c r="R4" s="221">
        <f>SUM(In:Out!U10)</f>
        <v>3052093.696385378</v>
      </c>
      <c r="S4" s="221">
        <f>SUM(In:Out!V10)</f>
        <v>3071059.0634994004</v>
      </c>
      <c r="T4" s="221">
        <f>SUM(In:Out!W10)</f>
        <v>3090163.2761520473</v>
      </c>
      <c r="U4" s="221">
        <f>SUM(In:Out!X10)</f>
        <v>3109407.466469177</v>
      </c>
      <c r="V4" s="221">
        <f>SUM(In:Out!Y10)</f>
        <v>3128792.7764471751</v>
      </c>
      <c r="W4" s="221">
        <f>SUM(In:Out!Z10)</f>
        <v>3148320.3580427561</v>
      </c>
    </row>
    <row r="5" spans="2:23" x14ac:dyDescent="0.35">
      <c r="B5" s="163"/>
      <c r="C5" s="163"/>
      <c r="D5" s="210"/>
      <c r="E5" s="210"/>
      <c r="F5" s="210"/>
      <c r="G5" s="210"/>
      <c r="H5" s="210"/>
      <c r="I5" s="210"/>
      <c r="J5" s="210"/>
      <c r="K5" s="210"/>
      <c r="L5" s="210"/>
      <c r="M5" s="210"/>
      <c r="N5" s="210"/>
      <c r="O5" s="210"/>
      <c r="P5" s="210"/>
      <c r="Q5" s="210"/>
      <c r="R5" s="210"/>
      <c r="S5" s="210"/>
      <c r="T5" s="210"/>
      <c r="U5" s="210"/>
      <c r="V5" s="210"/>
      <c r="W5" s="210"/>
    </row>
    <row r="6" spans="2:23" x14ac:dyDescent="0.35">
      <c r="B6" s="163" t="s">
        <v>66</v>
      </c>
      <c r="C6" s="163"/>
      <c r="D6" s="221">
        <f>SUM(In:Out!G12)</f>
        <v>110698.5</v>
      </c>
      <c r="E6" s="221">
        <f>SUM(In:Out!H12)</f>
        <v>111402.04487499998</v>
      </c>
      <c r="F6" s="221">
        <f>SUM(In:Out!I12)</f>
        <v>112110.67462134374</v>
      </c>
      <c r="G6" s="221">
        <f>SUM(In:Out!J12)</f>
        <v>112824.42957408572</v>
      </c>
      <c r="H6" s="221">
        <f>SUM(In:Out!K12)</f>
        <v>113543.35040999702</v>
      </c>
      <c r="I6" s="221">
        <f>SUM(In:Out!L12)</f>
        <v>114267.47815059907</v>
      </c>
      <c r="J6" s="221">
        <f>SUM(In:Out!M12)</f>
        <v>114996.85416522494</v>
      </c>
      <c r="K6" s="221">
        <f>SUM(In:Out!N12)</f>
        <v>115731.52017410882</v>
      </c>
      <c r="L6" s="221">
        <f>SUM(In:Out!O12)</f>
        <v>116471.51825150401</v>
      </c>
      <c r="M6" s="221">
        <f>SUM(In:Out!P12)</f>
        <v>117216.8908288293</v>
      </c>
      <c r="N6" s="221">
        <f>SUM(In:Out!Q12)</f>
        <v>117967.68069784463</v>
      </c>
      <c r="O6" s="221">
        <f>SUM(In:Out!R12)</f>
        <v>118723.93101385546</v>
      </c>
      <c r="P6" s="221">
        <f>SUM(In:Out!S12)</f>
        <v>119485.68529894704</v>
      </c>
      <c r="Q6" s="221">
        <f>SUM(In:Out!T12)</f>
        <v>120252.98744524801</v>
      </c>
      <c r="R6" s="221">
        <f>SUM(In:Out!U12)</f>
        <v>121025.88171822444</v>
      </c>
      <c r="S6" s="221">
        <f>SUM(In:Out!V12)</f>
        <v>121804.41276000375</v>
      </c>
      <c r="T6" s="221">
        <f>SUM(In:Out!W12)</f>
        <v>122588.6255927295</v>
      </c>
      <c r="U6" s="221">
        <f>SUM(In:Out!X12)</f>
        <v>123378.56562194689</v>
      </c>
      <c r="V6" s="221">
        <f>SUM(In:Out!Y12)</f>
        <v>124174.27864001955</v>
      </c>
      <c r="W6" s="221">
        <f>SUM(In:Out!Z12)</f>
        <v>124975.81082957759</v>
      </c>
    </row>
    <row r="7" spans="2:23" x14ac:dyDescent="0.35">
      <c r="B7" s="163" t="s">
        <v>69</v>
      </c>
      <c r="C7" s="163"/>
      <c r="D7" s="221">
        <f>SUM(In:Out!G13)</f>
        <v>510742.75199999998</v>
      </c>
      <c r="E7" s="221">
        <f>SUM(In:Out!H13)</f>
        <v>513988.78013599996</v>
      </c>
      <c r="F7" s="221">
        <f>SUM(In:Out!I13)</f>
        <v>517258.26894385798</v>
      </c>
      <c r="G7" s="221">
        <f>SUM(In:Out!J13)</f>
        <v>520551.4045221816</v>
      </c>
      <c r="H7" s="221">
        <f>SUM(In:Out!K13)</f>
        <v>523868.37454619713</v>
      </c>
      <c r="I7" s="221">
        <f>SUM(In:Out!L13)</f>
        <v>527209.36828174593</v>
      </c>
      <c r="J7" s="221">
        <f>SUM(In:Out!M13)</f>
        <v>530574.57659940876</v>
      </c>
      <c r="K7" s="221">
        <f>SUM(In:Out!N13)</f>
        <v>533964.19198876107</v>
      </c>
      <c r="L7" s="221">
        <f>SUM(In:Out!O13)</f>
        <v>537378.40857275738</v>
      </c>
      <c r="M7" s="221">
        <f>SUM(In:Out!P13)</f>
        <v>540817.4221222495</v>
      </c>
      <c r="N7" s="221">
        <f>SUM(In:Out!Q13)</f>
        <v>544281.43007063726</v>
      </c>
      <c r="O7" s="221">
        <f>SUM(In:Out!R13)</f>
        <v>547770.6315286539</v>
      </c>
      <c r="P7" s="221">
        <f>SUM(In:Out!S13)</f>
        <v>551285.22729928733</v>
      </c>
      <c r="Q7" s="221">
        <f>SUM(In:Out!T13)</f>
        <v>554825.41989283892</v>
      </c>
      <c r="R7" s="221">
        <f>SUM(In:Out!U13)</f>
        <v>558391.4135421206</v>
      </c>
      <c r="S7" s="221">
        <f>SUM(In:Out!V13)</f>
        <v>561983.41421779187</v>
      </c>
      <c r="T7" s="221">
        <f>SUM(In:Out!W13)</f>
        <v>565601.62964383711</v>
      </c>
      <c r="U7" s="221">
        <f>SUM(In:Out!X13)</f>
        <v>569246.26931318629</v>
      </c>
      <c r="V7" s="221">
        <f>SUM(In:Out!Y13)</f>
        <v>572917.54450347926</v>
      </c>
      <c r="W7" s="221">
        <f>SUM(In:Out!Z13)</f>
        <v>576615.66829297482</v>
      </c>
    </row>
    <row r="8" spans="2:23" x14ac:dyDescent="0.35">
      <c r="B8" s="199" t="s">
        <v>199</v>
      </c>
      <c r="C8" s="163"/>
      <c r="D8" s="222">
        <f>SUM(D6:D7)</f>
        <v>621441.25199999998</v>
      </c>
      <c r="E8" s="222">
        <f t="shared" ref="E8:W8" si="0">SUM(E6:E7)</f>
        <v>625390.82501099992</v>
      </c>
      <c r="F8" s="222">
        <f t="shared" si="0"/>
        <v>629368.94356520171</v>
      </c>
      <c r="G8" s="222">
        <f t="shared" si="0"/>
        <v>633375.83409626735</v>
      </c>
      <c r="H8" s="222">
        <f t="shared" si="0"/>
        <v>637411.72495619417</v>
      </c>
      <c r="I8" s="222">
        <f t="shared" si="0"/>
        <v>641476.84643234499</v>
      </c>
      <c r="J8" s="222">
        <f t="shared" si="0"/>
        <v>645571.4307646337</v>
      </c>
      <c r="K8" s="222">
        <f t="shared" si="0"/>
        <v>649695.71216286987</v>
      </c>
      <c r="L8" s="222">
        <f t="shared" si="0"/>
        <v>653849.92682426143</v>
      </c>
      <c r="M8" s="222">
        <f t="shared" si="0"/>
        <v>658034.31295107875</v>
      </c>
      <c r="N8" s="222">
        <f t="shared" si="0"/>
        <v>662249.11076848186</v>
      </c>
      <c r="O8" s="222">
        <f t="shared" si="0"/>
        <v>666494.5625425094</v>
      </c>
      <c r="P8" s="222">
        <f t="shared" si="0"/>
        <v>670770.91259823437</v>
      </c>
      <c r="Q8" s="222">
        <f t="shared" si="0"/>
        <v>675078.40733808698</v>
      </c>
      <c r="R8" s="222">
        <f t="shared" si="0"/>
        <v>679417.2952603451</v>
      </c>
      <c r="S8" s="222">
        <f t="shared" si="0"/>
        <v>683787.82697779557</v>
      </c>
      <c r="T8" s="222">
        <f t="shared" si="0"/>
        <v>688190.25523656665</v>
      </c>
      <c r="U8" s="222">
        <f t="shared" si="0"/>
        <v>692624.83493513323</v>
      </c>
      <c r="V8" s="222">
        <f t="shared" si="0"/>
        <v>697091.82314349886</v>
      </c>
      <c r="W8" s="222">
        <f t="shared" si="0"/>
        <v>701591.47912255244</v>
      </c>
    </row>
    <row r="9" spans="2:23" x14ac:dyDescent="0.35">
      <c r="B9" s="163"/>
      <c r="C9" s="163"/>
      <c r="D9" s="221"/>
      <c r="E9" s="221"/>
      <c r="F9" s="221"/>
      <c r="G9" s="221"/>
      <c r="H9" s="221"/>
      <c r="I9" s="221"/>
      <c r="J9" s="221"/>
      <c r="K9" s="221"/>
      <c r="L9" s="221"/>
      <c r="M9" s="221"/>
      <c r="N9" s="221"/>
      <c r="O9" s="221"/>
      <c r="P9" s="221"/>
      <c r="Q9" s="221"/>
      <c r="R9" s="221"/>
      <c r="S9" s="221"/>
      <c r="T9" s="221"/>
      <c r="U9" s="221"/>
      <c r="V9" s="221"/>
      <c r="W9" s="221"/>
    </row>
    <row r="10" spans="2:23" x14ac:dyDescent="0.35">
      <c r="B10" s="163" t="s">
        <v>1</v>
      </c>
      <c r="C10" s="163"/>
      <c r="D10" s="221">
        <f>SUM(In:Out!G16)</f>
        <v>47850.976403999994</v>
      </c>
      <c r="E10" s="221">
        <f>SUM(In:Out!H16)</f>
        <v>48155.093525846991</v>
      </c>
      <c r="F10" s="221">
        <f>SUM(In:Out!I16)</f>
        <v>48461.408654520528</v>
      </c>
      <c r="G10" s="221">
        <f>SUM(In:Out!J16)</f>
        <v>48769.939225412578</v>
      </c>
      <c r="H10" s="221">
        <f>SUM(In:Out!K16)</f>
        <v>49080.702821626939</v>
      </c>
      <c r="I10" s="221">
        <f>SUM(In:Out!L16)</f>
        <v>49393.717175290563</v>
      </c>
      <c r="J10" s="221">
        <f>SUM(In:Out!M16)</f>
        <v>49709.000168876795</v>
      </c>
      <c r="K10" s="221">
        <f>SUM(In:Out!N16)</f>
        <v>50026.569836540984</v>
      </c>
      <c r="L10" s="221">
        <f>SUM(In:Out!O16)</f>
        <v>50346.444365468124</v>
      </c>
      <c r="M10" s="221">
        <f>SUM(In:Out!P16)</f>
        <v>50668.64209723306</v>
      </c>
      <c r="N10" s="221">
        <f>SUM(In:Out!Q16)</f>
        <v>50993.181529173104</v>
      </c>
      <c r="O10" s="221">
        <f>SUM(In:Out!R16)</f>
        <v>51320.081315773219</v>
      </c>
      <c r="P10" s="221">
        <f>SUM(In:Out!S16)</f>
        <v>51649.360270064033</v>
      </c>
      <c r="Q10" s="221">
        <f>SUM(In:Out!T16)</f>
        <v>51981.037365032687</v>
      </c>
      <c r="R10" s="221">
        <f>SUM(In:Out!U16)</f>
        <v>52315.131735046569</v>
      </c>
      <c r="S10" s="221">
        <f>SUM(In:Out!V16)</f>
        <v>52651.66267729026</v>
      </c>
      <c r="T10" s="221">
        <f>SUM(In:Out!W16)</f>
        <v>52990.649653215616</v>
      </c>
      <c r="U10" s="221">
        <f>SUM(In:Out!X16)</f>
        <v>53332.112290005243</v>
      </c>
      <c r="V10" s="221">
        <f>SUM(In:Out!Y16)</f>
        <v>53676.070382049409</v>
      </c>
      <c r="W10" s="221">
        <f>SUM(In:Out!Z16)</f>
        <v>54022.54389243653</v>
      </c>
    </row>
    <row r="11" spans="2:23" x14ac:dyDescent="0.35">
      <c r="B11" s="163" t="s">
        <v>0</v>
      </c>
      <c r="C11" s="163"/>
      <c r="D11" s="221">
        <f>SUM(In:Out!G17)</f>
        <v>28750</v>
      </c>
      <c r="E11" s="221">
        <f>SUM(In:Out!H17)</f>
        <v>28750</v>
      </c>
      <c r="F11" s="221">
        <f>SUM(In:Out!I17)</f>
        <v>28750</v>
      </c>
      <c r="G11" s="221">
        <f>SUM(In:Out!J17)</f>
        <v>28750</v>
      </c>
      <c r="H11" s="221">
        <f>SUM(In:Out!K17)</f>
        <v>28750</v>
      </c>
      <c r="I11" s="221">
        <f>SUM(In:Out!L17)</f>
        <v>28750</v>
      </c>
      <c r="J11" s="221">
        <f>SUM(In:Out!M17)</f>
        <v>28750</v>
      </c>
      <c r="K11" s="221">
        <f>SUM(In:Out!N17)</f>
        <v>28750</v>
      </c>
      <c r="L11" s="221">
        <f>SUM(In:Out!O17)</f>
        <v>28750</v>
      </c>
      <c r="M11" s="221">
        <f>SUM(In:Out!P17)</f>
        <v>28750</v>
      </c>
      <c r="N11" s="221">
        <f>SUM(In:Out!Q17)</f>
        <v>28750</v>
      </c>
      <c r="O11" s="221">
        <f>SUM(In:Out!R17)</f>
        <v>28750</v>
      </c>
      <c r="P11" s="221">
        <f>SUM(In:Out!S17)</f>
        <v>28750</v>
      </c>
      <c r="Q11" s="221">
        <f>SUM(In:Out!T17)</f>
        <v>28750</v>
      </c>
      <c r="R11" s="221">
        <f>SUM(In:Out!U17)</f>
        <v>28750</v>
      </c>
      <c r="S11" s="221">
        <f>SUM(In:Out!V17)</f>
        <v>28750</v>
      </c>
      <c r="T11" s="221">
        <f>SUM(In:Out!W17)</f>
        <v>28750</v>
      </c>
      <c r="U11" s="221">
        <f>SUM(In:Out!X17)</f>
        <v>28750</v>
      </c>
      <c r="V11" s="221">
        <f>SUM(In:Out!Y17)</f>
        <v>28750</v>
      </c>
      <c r="W11" s="221">
        <f>SUM(In:Out!Z17)</f>
        <v>28750</v>
      </c>
    </row>
    <row r="12" spans="2:23" x14ac:dyDescent="0.35">
      <c r="B12" s="163" t="s">
        <v>2</v>
      </c>
      <c r="C12" s="163"/>
      <c r="D12" s="221">
        <f>SUM(In:Out!G18)</f>
        <v>13982.428169999997</v>
      </c>
      <c r="E12" s="221">
        <f>SUM(In:Out!H18)</f>
        <v>14071.293562747498</v>
      </c>
      <c r="F12" s="221">
        <f>SUM(In:Out!I18)</f>
        <v>14160.801230217035</v>
      </c>
      <c r="G12" s="221">
        <f>SUM(In:Out!J18)</f>
        <v>14250.956267166011</v>
      </c>
      <c r="H12" s="221">
        <f>SUM(In:Out!K18)</f>
        <v>14341.763811514365</v>
      </c>
      <c r="I12" s="221">
        <f>SUM(In:Out!L18)</f>
        <v>14433.229044727759</v>
      </c>
      <c r="J12" s="221">
        <f>SUM(In:Out!M18)</f>
        <v>14525.357192204257</v>
      </c>
      <c r="K12" s="221">
        <f>SUM(In:Out!N18)</f>
        <v>14618.153523664569</v>
      </c>
      <c r="L12" s="221">
        <f>SUM(In:Out!O18)</f>
        <v>14711.623353545878</v>
      </c>
      <c r="M12" s="221">
        <f>SUM(In:Out!P18)</f>
        <v>14805.77204139927</v>
      </c>
      <c r="N12" s="221">
        <f>SUM(In:Out!Q18)</f>
        <v>14900.604992290842</v>
      </c>
      <c r="O12" s="221">
        <f>SUM(In:Out!R18)</f>
        <v>14996.12765720646</v>
      </c>
      <c r="P12" s="221">
        <f>SUM(In:Out!S18)</f>
        <v>15092.345533460268</v>
      </c>
      <c r="Q12" s="221">
        <f>SUM(In:Out!T18)</f>
        <v>15189.264165106952</v>
      </c>
      <c r="R12" s="221">
        <f>SUM(In:Out!U18)</f>
        <v>15286.889143357761</v>
      </c>
      <c r="S12" s="221">
        <f>SUM(In:Out!V18)</f>
        <v>15385.226107000399</v>
      </c>
      <c r="T12" s="221">
        <f>SUM(In:Out!W18)</f>
        <v>15484.280742822746</v>
      </c>
      <c r="U12" s="221">
        <f>SUM(In:Out!X18)</f>
        <v>15584.058786040494</v>
      </c>
      <c r="V12" s="221">
        <f>SUM(In:Out!Y18)</f>
        <v>15684.566020728722</v>
      </c>
      <c r="W12" s="221">
        <f>SUM(In:Out!Z18)</f>
        <v>15785.808280257426</v>
      </c>
    </row>
    <row r="13" spans="2:23" x14ac:dyDescent="0.35">
      <c r="B13" s="163" t="s">
        <v>3</v>
      </c>
      <c r="C13" s="163"/>
      <c r="D13" s="221">
        <f>SUM(In:Out!G19)</f>
        <v>13982.428169999997</v>
      </c>
      <c r="E13" s="221">
        <f>SUM(In:Out!H19)</f>
        <v>14071.293562747498</v>
      </c>
      <c r="F13" s="221">
        <f>SUM(In:Out!I19)</f>
        <v>14160.801230217035</v>
      </c>
      <c r="G13" s="221">
        <f>SUM(In:Out!J19)</f>
        <v>14250.956267166011</v>
      </c>
      <c r="H13" s="221">
        <f>SUM(In:Out!K19)</f>
        <v>14341.763811514365</v>
      </c>
      <c r="I13" s="221">
        <f>SUM(In:Out!L19)</f>
        <v>14433.229044727759</v>
      </c>
      <c r="J13" s="221">
        <f>SUM(In:Out!M19)</f>
        <v>14525.357192204257</v>
      </c>
      <c r="K13" s="221">
        <f>SUM(In:Out!N19)</f>
        <v>14618.153523664569</v>
      </c>
      <c r="L13" s="221">
        <f>SUM(In:Out!O19)</f>
        <v>14711.623353545878</v>
      </c>
      <c r="M13" s="221">
        <f>SUM(In:Out!P19)</f>
        <v>14805.77204139927</v>
      </c>
      <c r="N13" s="221">
        <f>SUM(In:Out!Q19)</f>
        <v>14900.604992290842</v>
      </c>
      <c r="O13" s="221">
        <f>SUM(In:Out!R19)</f>
        <v>14996.12765720646</v>
      </c>
      <c r="P13" s="221">
        <f>SUM(In:Out!S19)</f>
        <v>15092.345533460268</v>
      </c>
      <c r="Q13" s="221">
        <f>SUM(In:Out!T19)</f>
        <v>15189.264165106952</v>
      </c>
      <c r="R13" s="221">
        <f>SUM(In:Out!U19)</f>
        <v>15286.889143357761</v>
      </c>
      <c r="S13" s="221">
        <f>SUM(In:Out!V19)</f>
        <v>15385.226107000399</v>
      </c>
      <c r="T13" s="221">
        <f>SUM(In:Out!W19)</f>
        <v>15484.280742822746</v>
      </c>
      <c r="U13" s="221">
        <f>SUM(In:Out!X19)</f>
        <v>15584.058786040494</v>
      </c>
      <c r="V13" s="221">
        <f>SUM(In:Out!Y19)</f>
        <v>15684.566020728722</v>
      </c>
      <c r="W13" s="221">
        <f>SUM(In:Out!Z19)</f>
        <v>15785.808280257426</v>
      </c>
    </row>
    <row r="14" spans="2:23" x14ac:dyDescent="0.35">
      <c r="B14" s="163" t="s">
        <v>16</v>
      </c>
      <c r="C14" s="163"/>
      <c r="D14" s="221">
        <f>SUM(In:Out!G20)</f>
        <v>13982.428169999997</v>
      </c>
      <c r="E14" s="221">
        <f>SUM(In:Out!H20)</f>
        <v>14071.293562747498</v>
      </c>
      <c r="F14" s="221">
        <f>SUM(In:Out!I20)</f>
        <v>14160.801230217035</v>
      </c>
      <c r="G14" s="221">
        <f>SUM(In:Out!J20)</f>
        <v>14250.956267166011</v>
      </c>
      <c r="H14" s="221">
        <f>SUM(In:Out!K20)</f>
        <v>14341.763811514365</v>
      </c>
      <c r="I14" s="221">
        <f>SUM(In:Out!L20)</f>
        <v>14433.229044727759</v>
      </c>
      <c r="J14" s="221">
        <f>SUM(In:Out!M20)</f>
        <v>14525.357192204257</v>
      </c>
      <c r="K14" s="221">
        <f>SUM(In:Out!N20)</f>
        <v>14618.153523664569</v>
      </c>
      <c r="L14" s="221">
        <f>SUM(In:Out!O20)</f>
        <v>14711.623353545878</v>
      </c>
      <c r="M14" s="221">
        <f>SUM(In:Out!P20)</f>
        <v>14805.77204139927</v>
      </c>
      <c r="N14" s="221">
        <f>SUM(In:Out!Q20)</f>
        <v>14900.604992290842</v>
      </c>
      <c r="O14" s="221">
        <f>SUM(In:Out!R20)</f>
        <v>14996.12765720646</v>
      </c>
      <c r="P14" s="221">
        <f>SUM(In:Out!S20)</f>
        <v>15092.345533460268</v>
      </c>
      <c r="Q14" s="221">
        <f>SUM(In:Out!T20)</f>
        <v>15189.264165106952</v>
      </c>
      <c r="R14" s="221">
        <f>SUM(In:Out!U20)</f>
        <v>15286.889143357761</v>
      </c>
      <c r="S14" s="221">
        <f>SUM(In:Out!V20)</f>
        <v>15385.226107000399</v>
      </c>
      <c r="T14" s="221">
        <f>SUM(In:Out!W20)</f>
        <v>15484.280742822746</v>
      </c>
      <c r="U14" s="221">
        <f>SUM(In:Out!X20)</f>
        <v>15584.058786040494</v>
      </c>
      <c r="V14" s="221">
        <f>SUM(In:Out!Y20)</f>
        <v>15684.566020728722</v>
      </c>
      <c r="W14" s="221">
        <f>SUM(In:Out!Z20)</f>
        <v>15785.808280257426</v>
      </c>
    </row>
    <row r="15" spans="2:23" x14ac:dyDescent="0.35">
      <c r="B15" s="163" t="s">
        <v>4</v>
      </c>
      <c r="C15" s="163"/>
      <c r="D15" s="221">
        <f>SUM(In:Out!G21)</f>
        <v>27964.856339999995</v>
      </c>
      <c r="E15" s="221">
        <f>SUM(In:Out!H21)</f>
        <v>28142.587125494996</v>
      </c>
      <c r="F15" s="221">
        <f>SUM(In:Out!I21)</f>
        <v>28321.602460434071</v>
      </c>
      <c r="G15" s="221">
        <f>SUM(In:Out!J21)</f>
        <v>28501.912534332023</v>
      </c>
      <c r="H15" s="221">
        <f>SUM(In:Out!K21)</f>
        <v>28683.527623028731</v>
      </c>
      <c r="I15" s="221">
        <f>SUM(In:Out!L21)</f>
        <v>28866.458089455518</v>
      </c>
      <c r="J15" s="221">
        <f>SUM(In:Out!M21)</f>
        <v>29050.714384408515</v>
      </c>
      <c r="K15" s="221">
        <f>SUM(In:Out!N21)</f>
        <v>29236.307047329137</v>
      </c>
      <c r="L15" s="221">
        <f>SUM(In:Out!O21)</f>
        <v>29423.246707091756</v>
      </c>
      <c r="M15" s="221">
        <f>SUM(In:Out!P21)</f>
        <v>29611.54408279854</v>
      </c>
      <c r="N15" s="221">
        <f>SUM(In:Out!Q21)</f>
        <v>29801.209984581685</v>
      </c>
      <c r="O15" s="221">
        <f>SUM(In:Out!R21)</f>
        <v>29992.25531441292</v>
      </c>
      <c r="P15" s="221">
        <f>SUM(In:Out!S21)</f>
        <v>30184.691066920535</v>
      </c>
      <c r="Q15" s="221">
        <f>SUM(In:Out!T21)</f>
        <v>30378.528330213903</v>
      </c>
      <c r="R15" s="221">
        <f>SUM(In:Out!U21)</f>
        <v>30573.778286715522</v>
      </c>
      <c r="S15" s="221">
        <f>SUM(In:Out!V21)</f>
        <v>30770.452214000798</v>
      </c>
      <c r="T15" s="221">
        <f>SUM(In:Out!W21)</f>
        <v>30968.561485645492</v>
      </c>
      <c r="U15" s="221">
        <f>SUM(In:Out!X21)</f>
        <v>31168.117572080988</v>
      </c>
      <c r="V15" s="221">
        <f>SUM(In:Out!Y21)</f>
        <v>31369.132041457444</v>
      </c>
      <c r="W15" s="221">
        <f>SUM(In:Out!Z21)</f>
        <v>31571.616560514853</v>
      </c>
    </row>
    <row r="16" spans="2:23" x14ac:dyDescent="0.35">
      <c r="B16" s="176" t="s">
        <v>200</v>
      </c>
      <c r="C16" s="163"/>
      <c r="D16" s="223">
        <f>SUM(D10:D15)</f>
        <v>146513.11725399998</v>
      </c>
      <c r="E16" s="223">
        <f t="shared" ref="E16:W16" si="1">SUM(E10:E15)</f>
        <v>147261.56133958447</v>
      </c>
      <c r="F16" s="223">
        <f t="shared" si="1"/>
        <v>148015.41480560572</v>
      </c>
      <c r="G16" s="223">
        <f t="shared" si="1"/>
        <v>148774.72056124263</v>
      </c>
      <c r="H16" s="223">
        <f t="shared" si="1"/>
        <v>149539.52187919876</v>
      </c>
      <c r="I16" s="223">
        <f t="shared" si="1"/>
        <v>150309.86239892937</v>
      </c>
      <c r="J16" s="223">
        <f t="shared" si="1"/>
        <v>151085.7861298981</v>
      </c>
      <c r="K16" s="223">
        <f t="shared" si="1"/>
        <v>151867.33745486385</v>
      </c>
      <c r="L16" s="223">
        <f t="shared" si="1"/>
        <v>152654.56113319751</v>
      </c>
      <c r="M16" s="223">
        <f t="shared" si="1"/>
        <v>153447.50230422939</v>
      </c>
      <c r="N16" s="223">
        <f t="shared" si="1"/>
        <v>154246.20649062732</v>
      </c>
      <c r="O16" s="223">
        <f t="shared" si="1"/>
        <v>155050.71960180555</v>
      </c>
      <c r="P16" s="223">
        <f t="shared" si="1"/>
        <v>155861.08793736534</v>
      </c>
      <c r="Q16" s="223">
        <f t="shared" si="1"/>
        <v>156677.35819056747</v>
      </c>
      <c r="R16" s="223">
        <f t="shared" si="1"/>
        <v>157499.57745183539</v>
      </c>
      <c r="S16" s="223">
        <f t="shared" si="1"/>
        <v>158327.79321229228</v>
      </c>
      <c r="T16" s="223">
        <f t="shared" si="1"/>
        <v>159162.05336732935</v>
      </c>
      <c r="U16" s="223">
        <f t="shared" si="1"/>
        <v>160002.40622020772</v>
      </c>
      <c r="V16" s="223">
        <f t="shared" si="1"/>
        <v>160848.90048569301</v>
      </c>
      <c r="W16" s="223">
        <f t="shared" si="1"/>
        <v>161701.58529372365</v>
      </c>
    </row>
    <row r="17" spans="2:23" x14ac:dyDescent="0.35">
      <c r="B17" s="199" t="s">
        <v>201</v>
      </c>
      <c r="C17" s="163"/>
      <c r="D17" s="222">
        <f>D8+D16</f>
        <v>767954.36925400002</v>
      </c>
      <c r="E17" s="222">
        <f t="shared" ref="E17:W17" si="2">E8+E16</f>
        <v>772652.38635058445</v>
      </c>
      <c r="F17" s="222">
        <f t="shared" si="2"/>
        <v>777384.35837080749</v>
      </c>
      <c r="G17" s="222">
        <f t="shared" si="2"/>
        <v>782150.55465751002</v>
      </c>
      <c r="H17" s="222">
        <f t="shared" si="2"/>
        <v>786951.2468353929</v>
      </c>
      <c r="I17" s="222">
        <f t="shared" si="2"/>
        <v>791786.70883127442</v>
      </c>
      <c r="J17" s="222">
        <f t="shared" si="2"/>
        <v>796657.21689453186</v>
      </c>
      <c r="K17" s="222">
        <f t="shared" si="2"/>
        <v>801563.04961773369</v>
      </c>
      <c r="L17" s="222">
        <f t="shared" si="2"/>
        <v>806504.48795745894</v>
      </c>
      <c r="M17" s="222">
        <f t="shared" si="2"/>
        <v>811481.81525530817</v>
      </c>
      <c r="N17" s="222">
        <f t="shared" si="2"/>
        <v>816495.31725910911</v>
      </c>
      <c r="O17" s="222">
        <f t="shared" si="2"/>
        <v>821545.28214431496</v>
      </c>
      <c r="P17" s="222">
        <f t="shared" si="2"/>
        <v>826632.00053559965</v>
      </c>
      <c r="Q17" s="222">
        <f t="shared" si="2"/>
        <v>831755.76552865445</v>
      </c>
      <c r="R17" s="222">
        <f t="shared" si="2"/>
        <v>836916.87271218048</v>
      </c>
      <c r="S17" s="222">
        <f t="shared" si="2"/>
        <v>842115.62019008782</v>
      </c>
      <c r="T17" s="222">
        <f t="shared" si="2"/>
        <v>847352.30860389606</v>
      </c>
      <c r="U17" s="222">
        <f t="shared" si="2"/>
        <v>852627.24115534092</v>
      </c>
      <c r="V17" s="222">
        <f t="shared" si="2"/>
        <v>857940.72362919187</v>
      </c>
      <c r="W17" s="222">
        <f t="shared" si="2"/>
        <v>863293.06441627606</v>
      </c>
    </row>
    <row r="18" spans="2:23" x14ac:dyDescent="0.35">
      <c r="B18" s="163"/>
      <c r="C18" s="163"/>
      <c r="D18" s="221"/>
      <c r="E18" s="221"/>
      <c r="F18" s="221"/>
      <c r="G18" s="221"/>
      <c r="H18" s="221"/>
      <c r="I18" s="221"/>
      <c r="J18" s="221"/>
      <c r="K18" s="221"/>
      <c r="L18" s="221"/>
      <c r="M18" s="221"/>
      <c r="N18" s="221"/>
      <c r="O18" s="221"/>
      <c r="P18" s="221"/>
      <c r="Q18" s="221"/>
      <c r="R18" s="221"/>
      <c r="S18" s="221"/>
      <c r="T18" s="221"/>
      <c r="U18" s="221"/>
      <c r="V18" s="221"/>
      <c r="W18" s="221"/>
    </row>
    <row r="19" spans="2:23" x14ac:dyDescent="0.35">
      <c r="B19" s="163" t="s">
        <v>71</v>
      </c>
      <c r="C19" s="163"/>
      <c r="D19" s="221">
        <f>SUM(In:Out!G25)</f>
        <v>728141.98405000009</v>
      </c>
      <c r="E19" s="221">
        <f>SUM(In:Out!H25)</f>
        <v>732597.10537796235</v>
      </c>
      <c r="F19" s="221">
        <f>SUM(In:Out!I25)</f>
        <v>737084.46250091703</v>
      </c>
      <c r="G19" s="221">
        <f>SUM(In:Out!J25)</f>
        <v>741604.31617686851</v>
      </c>
      <c r="H19" s="221">
        <f>SUM(In:Out!K25)</f>
        <v>746156.92942510487</v>
      </c>
      <c r="I19" s="221">
        <f>SUM(In:Out!L25)</f>
        <v>750742.56754669396</v>
      </c>
      <c r="J19" s="221">
        <f>SUM(In:Out!M25)</f>
        <v>755361.49814517295</v>
      </c>
      <c r="K19" s="221">
        <f>SUM(In:Out!N25)</f>
        <v>760013.99114742933</v>
      </c>
      <c r="L19" s="221">
        <f>SUM(In:Out!O25)</f>
        <v>764700.31882477796</v>
      </c>
      <c r="M19" s="221">
        <f>SUM(In:Out!P25)</f>
        <v>769420.75581423473</v>
      </c>
      <c r="N19" s="221">
        <f>SUM(In:Out!Q25)</f>
        <v>774175.5791399891</v>
      </c>
      <c r="O19" s="221">
        <f>SUM(In:Out!R25)</f>
        <v>778965.0682350758</v>
      </c>
      <c r="P19" s="221">
        <f>SUM(In:Out!S25)</f>
        <v>783789.50496325246</v>
      </c>
      <c r="Q19" s="221">
        <f>SUM(In:Out!T25)</f>
        <v>788649.17364107771</v>
      </c>
      <c r="R19" s="221">
        <f>SUM(In:Out!U25)</f>
        <v>793544.3610601984</v>
      </c>
      <c r="S19" s="221">
        <f>SUM(In:Out!V25)</f>
        <v>798475.35650984419</v>
      </c>
      <c r="T19" s="221">
        <f>SUM(In:Out!W25)</f>
        <v>803442.4517995324</v>
      </c>
      <c r="U19" s="221">
        <f>SUM(In:Out!X25)</f>
        <v>808445.94128198619</v>
      </c>
      <c r="V19" s="221">
        <f>SUM(In:Out!Y25)</f>
        <v>813486.1218762655</v>
      </c>
      <c r="W19" s="221">
        <f>SUM(In:Out!Z25)</f>
        <v>818563.29309111671</v>
      </c>
    </row>
    <row r="20" spans="2:23" x14ac:dyDescent="0.35">
      <c r="B20" s="163" t="s">
        <v>72</v>
      </c>
      <c r="C20" s="163"/>
      <c r="D20" s="221">
        <f>SUM(In:Out!G26)</f>
        <v>84016.382774999991</v>
      </c>
      <c r="E20" s="221">
        <f>SUM(In:Out!H26)</f>
        <v>84530.435235918732</v>
      </c>
      <c r="F20" s="221">
        <f>SUM(In:Out!I26)</f>
        <v>85048.207211644272</v>
      </c>
      <c r="G20" s="221">
        <f>SUM(In:Out!J26)</f>
        <v>85569.72878963867</v>
      </c>
      <c r="H20" s="221">
        <f>SUM(In:Out!K26)</f>
        <v>86095.030318281308</v>
      </c>
      <c r="I20" s="221">
        <f>SUM(In:Out!L26)</f>
        <v>86624.142409233929</v>
      </c>
      <c r="J20" s="221">
        <f>SUM(In:Out!M26)</f>
        <v>87157.095939827646</v>
      </c>
      <c r="K20" s="221">
        <f>SUM(In:Out!N26)</f>
        <v>87693.922055472591</v>
      </c>
      <c r="L20" s="221">
        <f>SUM(In:Out!O26)</f>
        <v>88234.652172089773</v>
      </c>
      <c r="M20" s="221">
        <f>SUM(In:Out!P26)</f>
        <v>88779.317978565567</v>
      </c>
      <c r="N20" s="221">
        <f>SUM(In:Out!Q26)</f>
        <v>89327.951439229495</v>
      </c>
      <c r="O20" s="221">
        <f>SUM(In:Out!R26)</f>
        <v>89880.584796354888</v>
      </c>
      <c r="P20" s="221">
        <f>SUM(In:Out!S26)</f>
        <v>90437.25057268297</v>
      </c>
      <c r="Q20" s="221">
        <f>SUM(In:Out!T26)</f>
        <v>90997.981573970494</v>
      </c>
      <c r="R20" s="221">
        <f>SUM(In:Out!U26)</f>
        <v>91562.810891561356</v>
      </c>
      <c r="S20" s="221">
        <f>SUM(In:Out!V26)</f>
        <v>92131.771904982015</v>
      </c>
      <c r="T20" s="221">
        <f>SUM(In:Out!W26)</f>
        <v>92704.898284561408</v>
      </c>
      <c r="U20" s="221">
        <f>SUM(In:Out!X26)</f>
        <v>93282.223994075306</v>
      </c>
      <c r="V20" s="221">
        <f>SUM(In:Out!Y26)</f>
        <v>93863.783293415239</v>
      </c>
      <c r="W20" s="221">
        <f>SUM(In:Out!Z26)</f>
        <v>94449.610741282682</v>
      </c>
    </row>
    <row r="21" spans="2:23" x14ac:dyDescent="0.35">
      <c r="B21" s="199" t="s">
        <v>202</v>
      </c>
      <c r="C21" s="163"/>
      <c r="D21" s="222">
        <f>SUM(D19:D20)</f>
        <v>812158.36682500003</v>
      </c>
      <c r="E21" s="222">
        <f t="shared" ref="E21:W21" si="3">SUM(E19:E20)</f>
        <v>817127.54061388108</v>
      </c>
      <c r="F21" s="222">
        <f t="shared" si="3"/>
        <v>822132.6697125613</v>
      </c>
      <c r="G21" s="222">
        <f t="shared" si="3"/>
        <v>827174.04496650724</v>
      </c>
      <c r="H21" s="222">
        <f t="shared" si="3"/>
        <v>832251.95974338613</v>
      </c>
      <c r="I21" s="222">
        <f t="shared" si="3"/>
        <v>837366.70995592792</v>
      </c>
      <c r="J21" s="222">
        <f t="shared" si="3"/>
        <v>842518.59408500057</v>
      </c>
      <c r="K21" s="222">
        <f t="shared" si="3"/>
        <v>847707.91320290195</v>
      </c>
      <c r="L21" s="222">
        <f t="shared" si="3"/>
        <v>852934.97099686775</v>
      </c>
      <c r="M21" s="222">
        <f t="shared" si="3"/>
        <v>858200.07379280031</v>
      </c>
      <c r="N21" s="222">
        <f t="shared" si="3"/>
        <v>863503.53057921864</v>
      </c>
      <c r="O21" s="222">
        <f t="shared" si="3"/>
        <v>868845.65303143067</v>
      </c>
      <c r="P21" s="222">
        <f t="shared" si="3"/>
        <v>874226.7555359354</v>
      </c>
      <c r="Q21" s="222">
        <f t="shared" si="3"/>
        <v>879647.15521504823</v>
      </c>
      <c r="R21" s="222">
        <f t="shared" si="3"/>
        <v>885107.17195175972</v>
      </c>
      <c r="S21" s="222">
        <f t="shared" si="3"/>
        <v>890607.12841482623</v>
      </c>
      <c r="T21" s="222">
        <f t="shared" si="3"/>
        <v>896147.35008409387</v>
      </c>
      <c r="U21" s="222">
        <f t="shared" si="3"/>
        <v>901728.16527606151</v>
      </c>
      <c r="V21" s="222">
        <f t="shared" si="3"/>
        <v>907349.90516968071</v>
      </c>
      <c r="W21" s="222">
        <f t="shared" si="3"/>
        <v>913012.9038323994</v>
      </c>
    </row>
    <row r="22" spans="2:23" x14ac:dyDescent="0.35">
      <c r="B22" s="163"/>
      <c r="C22" s="163"/>
      <c r="D22" s="221"/>
      <c r="E22" s="221"/>
      <c r="F22" s="221"/>
      <c r="G22" s="221"/>
      <c r="H22" s="221"/>
      <c r="I22" s="221"/>
      <c r="J22" s="221"/>
      <c r="K22" s="221"/>
      <c r="L22" s="221"/>
      <c r="M22" s="221"/>
      <c r="N22" s="221"/>
      <c r="O22" s="221"/>
      <c r="P22" s="221"/>
      <c r="Q22" s="221"/>
      <c r="R22" s="221"/>
      <c r="S22" s="221"/>
      <c r="T22" s="221"/>
      <c r="U22" s="221"/>
      <c r="V22" s="221"/>
      <c r="W22" s="221"/>
    </row>
    <row r="23" spans="2:23" x14ac:dyDescent="0.35">
      <c r="B23" s="163" t="s">
        <v>73</v>
      </c>
      <c r="C23" s="163"/>
      <c r="D23" s="221">
        <f>SUM(In:Out!G29)</f>
        <v>42008.191387499995</v>
      </c>
      <c r="E23" s="221">
        <f>SUM(In:Out!H29)</f>
        <v>42265.217617959366</v>
      </c>
      <c r="F23" s="221">
        <f>SUM(In:Out!I29)</f>
        <v>42524.103605822136</v>
      </c>
      <c r="G23" s="221">
        <f>SUM(In:Out!J29)</f>
        <v>42784.864394819335</v>
      </c>
      <c r="H23" s="221">
        <f>SUM(In:Out!K29)</f>
        <v>43047.515159140654</v>
      </c>
      <c r="I23" s="221">
        <f>SUM(In:Out!L29)</f>
        <v>43312.071204616965</v>
      </c>
      <c r="J23" s="221">
        <f>SUM(In:Out!M29)</f>
        <v>43578.547969913823</v>
      </c>
      <c r="K23" s="221">
        <f>SUM(In:Out!N29)</f>
        <v>43846.961027736295</v>
      </c>
      <c r="L23" s="221">
        <f>SUM(In:Out!O29)</f>
        <v>44117.326086044886</v>
      </c>
      <c r="M23" s="221">
        <f>SUM(In:Out!P29)</f>
        <v>44389.658989282783</v>
      </c>
      <c r="N23" s="221">
        <f>SUM(In:Out!Q29)</f>
        <v>44663.975719614748</v>
      </c>
      <c r="O23" s="221">
        <f>SUM(In:Out!R29)</f>
        <v>44940.292398177444</v>
      </c>
      <c r="P23" s="221">
        <f>SUM(In:Out!S29)</f>
        <v>45218.625286341485</v>
      </c>
      <c r="Q23" s="221">
        <f>SUM(In:Out!T29)</f>
        <v>45498.990786985247</v>
      </c>
      <c r="R23" s="221">
        <f>SUM(In:Out!U29)</f>
        <v>45781.405445780678</v>
      </c>
      <c r="S23" s="221">
        <f>SUM(In:Out!V29)</f>
        <v>46065.885952491008</v>
      </c>
      <c r="T23" s="221">
        <f>SUM(In:Out!W29)</f>
        <v>46352.449142280704</v>
      </c>
      <c r="U23" s="221">
        <f>SUM(In:Out!X29)</f>
        <v>46641.111997037653</v>
      </c>
      <c r="V23" s="221">
        <f>SUM(In:Out!Y29)</f>
        <v>46931.89164670762</v>
      </c>
      <c r="W23" s="221">
        <f>SUM(In:Out!Z29)</f>
        <v>47224.805370641341</v>
      </c>
    </row>
    <row r="24" spans="2:23" x14ac:dyDescent="0.35">
      <c r="B24" s="163" t="s">
        <v>74</v>
      </c>
      <c r="C24" s="163"/>
      <c r="D24" s="221">
        <f>SUM(In:Out!G30)</f>
        <v>56010.921849999999</v>
      </c>
      <c r="E24" s="221">
        <f>SUM(In:Out!H30)</f>
        <v>56353.623490612496</v>
      </c>
      <c r="F24" s="221">
        <f>SUM(In:Out!I30)</f>
        <v>56698.804807762848</v>
      </c>
      <c r="G24" s="221">
        <f>SUM(In:Out!J30)</f>
        <v>57046.485859759116</v>
      </c>
      <c r="H24" s="221">
        <f>SUM(In:Out!K30)</f>
        <v>57396.68687885422</v>
      </c>
      <c r="I24" s="221">
        <f>SUM(In:Out!L30)</f>
        <v>57749.428272822617</v>
      </c>
      <c r="J24" s="221">
        <f>SUM(In:Out!M30)</f>
        <v>58104.730626551769</v>
      </c>
      <c r="K24" s="221">
        <f>SUM(In:Out!N30)</f>
        <v>58462.614703648411</v>
      </c>
      <c r="L24" s="221">
        <f>SUM(In:Out!O30)</f>
        <v>58823.101448059846</v>
      </c>
      <c r="M24" s="221">
        <f>SUM(In:Out!P30)</f>
        <v>59186.211985710368</v>
      </c>
      <c r="N24" s="221">
        <f>SUM(In:Out!Q30)</f>
        <v>59551.967626152997</v>
      </c>
      <c r="O24" s="221">
        <f>SUM(In:Out!R30)</f>
        <v>59920.389864236604</v>
      </c>
      <c r="P24" s="221">
        <f>SUM(In:Out!S30)</f>
        <v>60291.500381788654</v>
      </c>
      <c r="Q24" s="221">
        <f>SUM(In:Out!T30)</f>
        <v>60665.321049313672</v>
      </c>
      <c r="R24" s="221">
        <f>SUM(In:Out!U30)</f>
        <v>61041.873927707566</v>
      </c>
      <c r="S24" s="221">
        <f>SUM(In:Out!V30)</f>
        <v>61421.18126998801</v>
      </c>
      <c r="T24" s="221">
        <f>SUM(In:Out!W30)</f>
        <v>61803.265523040951</v>
      </c>
      <c r="U24" s="221">
        <f>SUM(In:Out!X30)</f>
        <v>62188.149329383537</v>
      </c>
      <c r="V24" s="221">
        <f>SUM(In:Out!Y30)</f>
        <v>62575.855528943503</v>
      </c>
      <c r="W24" s="221">
        <f>SUM(In:Out!Z30)</f>
        <v>62966.407160855117</v>
      </c>
    </row>
    <row r="25" spans="2:23" x14ac:dyDescent="0.35">
      <c r="B25" s="163" t="s">
        <v>75</v>
      </c>
      <c r="C25" s="163"/>
      <c r="D25" s="221">
        <f>SUM(In:Out!G31)</f>
        <v>19603.822647500001</v>
      </c>
      <c r="E25" s="221">
        <f>SUM(In:Out!H31)</f>
        <v>19723.768221714374</v>
      </c>
      <c r="F25" s="221">
        <f>SUM(In:Out!I31)</f>
        <v>19844.581682716998</v>
      </c>
      <c r="G25" s="221">
        <f>SUM(In:Out!J31)</f>
        <v>19966.270050915693</v>
      </c>
      <c r="H25" s="221">
        <f>SUM(In:Out!K31)</f>
        <v>20088.840407598975</v>
      </c>
      <c r="I25" s="221">
        <f>SUM(In:Out!L31)</f>
        <v>20212.299895487915</v>
      </c>
      <c r="J25" s="221">
        <f>SUM(In:Out!M31)</f>
        <v>20336.655719293118</v>
      </c>
      <c r="K25" s="221">
        <f>SUM(In:Out!N31)</f>
        <v>20461.915146276944</v>
      </c>
      <c r="L25" s="221">
        <f>SUM(In:Out!O31)</f>
        <v>20588.085506820949</v>
      </c>
      <c r="M25" s="221">
        <f>SUM(In:Out!P31)</f>
        <v>20715.174194998628</v>
      </c>
      <c r="N25" s="221">
        <f>SUM(In:Out!Q31)</f>
        <v>20843.188669153551</v>
      </c>
      <c r="O25" s="221">
        <f>SUM(In:Out!R31)</f>
        <v>20972.136452482813</v>
      </c>
      <c r="P25" s="221">
        <f>SUM(In:Out!S31)</f>
        <v>21102.025133626026</v>
      </c>
      <c r="Q25" s="221">
        <f>SUM(In:Out!T31)</f>
        <v>21232.862367259786</v>
      </c>
      <c r="R25" s="221">
        <f>SUM(In:Out!U31)</f>
        <v>21364.655874697648</v>
      </c>
      <c r="S25" s="221">
        <f>SUM(In:Out!V31)</f>
        <v>21497.413444495804</v>
      </c>
      <c r="T25" s="221">
        <f>SUM(In:Out!W31)</f>
        <v>21631.142933064333</v>
      </c>
      <c r="U25" s="221">
        <f>SUM(In:Out!X31)</f>
        <v>21765.85226528424</v>
      </c>
      <c r="V25" s="221">
        <f>SUM(In:Out!Y31)</f>
        <v>21901.549435130226</v>
      </c>
      <c r="W25" s="221">
        <f>SUM(In:Out!Z31)</f>
        <v>22038.242506299292</v>
      </c>
    </row>
    <row r="26" spans="2:23" x14ac:dyDescent="0.35">
      <c r="B26" s="163" t="s">
        <v>76</v>
      </c>
      <c r="C26" s="163"/>
      <c r="D26" s="221">
        <f>SUM(In:Out!G32)</f>
        <v>20000</v>
      </c>
      <c r="E26" s="221">
        <f>SUM(In:Out!H32)</f>
        <v>20000</v>
      </c>
      <c r="F26" s="221">
        <f>SUM(In:Out!I32)</f>
        <v>20000</v>
      </c>
      <c r="G26" s="221">
        <f>SUM(In:Out!J32)</f>
        <v>20000</v>
      </c>
      <c r="H26" s="221">
        <f>SUM(In:Out!K32)</f>
        <v>20000</v>
      </c>
      <c r="I26" s="221">
        <f>SUM(In:Out!L32)</f>
        <v>20000</v>
      </c>
      <c r="J26" s="221">
        <f>SUM(In:Out!M32)</f>
        <v>20000</v>
      </c>
      <c r="K26" s="221">
        <f>SUM(In:Out!N32)</f>
        <v>20000</v>
      </c>
      <c r="L26" s="221">
        <f>SUM(In:Out!O32)</f>
        <v>20000</v>
      </c>
      <c r="M26" s="221">
        <f>SUM(In:Out!P32)</f>
        <v>20000</v>
      </c>
      <c r="N26" s="221">
        <f>SUM(In:Out!Q32)</f>
        <v>20000</v>
      </c>
      <c r="O26" s="221">
        <f>SUM(In:Out!R32)</f>
        <v>20000</v>
      </c>
      <c r="P26" s="221">
        <f>SUM(In:Out!S32)</f>
        <v>20000</v>
      </c>
      <c r="Q26" s="221">
        <f>SUM(In:Out!T32)</f>
        <v>20000</v>
      </c>
      <c r="R26" s="221">
        <f>SUM(In:Out!U32)</f>
        <v>20000</v>
      </c>
      <c r="S26" s="221">
        <f>SUM(In:Out!V32)</f>
        <v>20000</v>
      </c>
      <c r="T26" s="221">
        <f>SUM(In:Out!W32)</f>
        <v>20000</v>
      </c>
      <c r="U26" s="221">
        <f>SUM(In:Out!X32)</f>
        <v>20000</v>
      </c>
      <c r="V26" s="221">
        <f>SUM(In:Out!Y32)</f>
        <v>20000</v>
      </c>
      <c r="W26" s="221">
        <f>SUM(In:Out!Z32)</f>
        <v>20000</v>
      </c>
    </row>
    <row r="27" spans="2:23" x14ac:dyDescent="0.35">
      <c r="B27" s="163" t="s">
        <v>43</v>
      </c>
      <c r="C27" s="163"/>
      <c r="D27" s="221">
        <f>SUM(In:Out!G33)</f>
        <v>103750</v>
      </c>
      <c r="E27" s="221">
        <f>SUM(In:Out!H33)</f>
        <v>103750</v>
      </c>
      <c r="F27" s="221">
        <f>SUM(In:Out!I33)</f>
        <v>103750</v>
      </c>
      <c r="G27" s="221">
        <f>SUM(In:Out!J33)</f>
        <v>103750</v>
      </c>
      <c r="H27" s="221">
        <f>SUM(In:Out!K33)</f>
        <v>103750</v>
      </c>
      <c r="I27" s="221">
        <f>SUM(In:Out!L33)</f>
        <v>103750</v>
      </c>
      <c r="J27" s="221">
        <f>SUM(In:Out!M33)</f>
        <v>103750</v>
      </c>
      <c r="K27" s="221">
        <f>SUM(In:Out!N33)</f>
        <v>103750</v>
      </c>
      <c r="L27" s="221">
        <f>SUM(In:Out!O33)</f>
        <v>103750</v>
      </c>
      <c r="M27" s="221">
        <f>SUM(In:Out!P33)</f>
        <v>103750</v>
      </c>
      <c r="N27" s="221">
        <f>SUM(In:Out!Q33)</f>
        <v>103750</v>
      </c>
      <c r="O27" s="221">
        <f>SUM(In:Out!R33)</f>
        <v>103750</v>
      </c>
      <c r="P27" s="221">
        <f>SUM(In:Out!S33)</f>
        <v>103750</v>
      </c>
      <c r="Q27" s="221">
        <f>SUM(In:Out!T33)</f>
        <v>103750</v>
      </c>
      <c r="R27" s="221">
        <f>SUM(In:Out!U33)</f>
        <v>103750</v>
      </c>
      <c r="S27" s="221">
        <f>SUM(In:Out!V33)</f>
        <v>103750</v>
      </c>
      <c r="T27" s="221">
        <f>SUM(In:Out!W33)</f>
        <v>103750</v>
      </c>
      <c r="U27" s="221">
        <f>SUM(In:Out!X33)</f>
        <v>103750</v>
      </c>
      <c r="V27" s="221">
        <f>SUM(In:Out!Y33)</f>
        <v>103750</v>
      </c>
      <c r="W27" s="221">
        <f>SUM(In:Out!Z33)</f>
        <v>103750</v>
      </c>
    </row>
    <row r="28" spans="2:23" x14ac:dyDescent="0.35">
      <c r="B28" s="199" t="s">
        <v>203</v>
      </c>
      <c r="C28" s="163"/>
      <c r="D28" s="222">
        <f>SUM(D23:D27)</f>
        <v>241372.93588499998</v>
      </c>
      <c r="E28" s="222">
        <f t="shared" ref="E28:W28" si="4">SUM(E23:E27)</f>
        <v>242092.60933028621</v>
      </c>
      <c r="F28" s="222">
        <f t="shared" si="4"/>
        <v>242817.49009630198</v>
      </c>
      <c r="G28" s="222">
        <f t="shared" si="4"/>
        <v>243547.62030549414</v>
      </c>
      <c r="H28" s="222">
        <f t="shared" si="4"/>
        <v>244283.04244559383</v>
      </c>
      <c r="I28" s="222">
        <f t="shared" si="4"/>
        <v>245023.79937292752</v>
      </c>
      <c r="J28" s="222">
        <f t="shared" si="4"/>
        <v>245769.9343157587</v>
      </c>
      <c r="K28" s="222">
        <f t="shared" si="4"/>
        <v>246521.49087766165</v>
      </c>
      <c r="L28" s="222">
        <f t="shared" si="4"/>
        <v>247278.51304092567</v>
      </c>
      <c r="M28" s="222">
        <f t="shared" si="4"/>
        <v>248041.04516999179</v>
      </c>
      <c r="N28" s="222">
        <f t="shared" si="4"/>
        <v>248809.13201492128</v>
      </c>
      <c r="O28" s="222">
        <f t="shared" si="4"/>
        <v>249582.81871489686</v>
      </c>
      <c r="P28" s="222">
        <f t="shared" si="4"/>
        <v>250362.15080175619</v>
      </c>
      <c r="Q28" s="222">
        <f t="shared" si="4"/>
        <v>251147.17420355871</v>
      </c>
      <c r="R28" s="222">
        <f t="shared" si="4"/>
        <v>251937.93524818588</v>
      </c>
      <c r="S28" s="222">
        <f t="shared" si="4"/>
        <v>252734.48066697482</v>
      </c>
      <c r="T28" s="222">
        <f t="shared" si="4"/>
        <v>253536.85759838601</v>
      </c>
      <c r="U28" s="222">
        <f t="shared" si="4"/>
        <v>254345.11359170545</v>
      </c>
      <c r="V28" s="222">
        <f t="shared" si="4"/>
        <v>255159.29661078134</v>
      </c>
      <c r="W28" s="222">
        <f t="shared" si="4"/>
        <v>255979.45503779573</v>
      </c>
    </row>
    <row r="29" spans="2:23" x14ac:dyDescent="0.35">
      <c r="B29" s="163"/>
      <c r="C29" s="163"/>
      <c r="D29" s="221"/>
      <c r="E29" s="221"/>
      <c r="F29" s="221"/>
      <c r="G29" s="221"/>
      <c r="H29" s="221"/>
      <c r="I29" s="221"/>
      <c r="J29" s="221"/>
      <c r="K29" s="221"/>
      <c r="L29" s="221"/>
      <c r="M29" s="221"/>
      <c r="N29" s="221"/>
      <c r="O29" s="221"/>
      <c r="P29" s="221"/>
      <c r="Q29" s="221"/>
      <c r="R29" s="221"/>
      <c r="S29" s="221"/>
      <c r="T29" s="221"/>
      <c r="U29" s="221"/>
      <c r="V29" s="221"/>
      <c r="W29" s="221"/>
    </row>
    <row r="30" spans="2:23" x14ac:dyDescent="0.35">
      <c r="B30" s="163" t="s">
        <v>42</v>
      </c>
      <c r="C30" s="163"/>
      <c r="D30" s="221">
        <f>SUM(In:Out!G36)</f>
        <v>125000</v>
      </c>
      <c r="E30" s="221">
        <f>SUM(In:Out!H36)</f>
        <v>125000</v>
      </c>
      <c r="F30" s="221">
        <f>SUM(In:Out!I36)</f>
        <v>125000</v>
      </c>
      <c r="G30" s="221">
        <f>SUM(In:Out!J36)</f>
        <v>125000</v>
      </c>
      <c r="H30" s="221">
        <f>SUM(In:Out!K36)</f>
        <v>125000</v>
      </c>
      <c r="I30" s="221">
        <f>SUM(In:Out!L36)</f>
        <v>125000</v>
      </c>
      <c r="J30" s="221">
        <f>SUM(In:Out!M36)</f>
        <v>125000</v>
      </c>
      <c r="K30" s="221">
        <f>SUM(In:Out!N36)</f>
        <v>125000</v>
      </c>
      <c r="L30" s="221">
        <f>SUM(In:Out!O36)</f>
        <v>125000</v>
      </c>
      <c r="M30" s="221">
        <f>SUM(In:Out!P36)</f>
        <v>125000</v>
      </c>
      <c r="N30" s="221">
        <f>SUM(In:Out!Q36)</f>
        <v>125000</v>
      </c>
      <c r="O30" s="221">
        <f>SUM(In:Out!R36)</f>
        <v>125000</v>
      </c>
      <c r="P30" s="221">
        <f>SUM(In:Out!S36)</f>
        <v>125000</v>
      </c>
      <c r="Q30" s="221">
        <f>SUM(In:Out!T36)</f>
        <v>125000</v>
      </c>
      <c r="R30" s="221">
        <f>SUM(In:Out!U36)</f>
        <v>125000</v>
      </c>
      <c r="S30" s="221">
        <f>SUM(In:Out!V36)</f>
        <v>125000</v>
      </c>
      <c r="T30" s="221">
        <f>SUM(In:Out!W36)</f>
        <v>125000</v>
      </c>
      <c r="U30" s="221">
        <f>SUM(In:Out!X36)</f>
        <v>125000</v>
      </c>
      <c r="V30" s="221">
        <f>SUM(In:Out!Y36)</f>
        <v>125000</v>
      </c>
      <c r="W30" s="221">
        <f>SUM(In:Out!Z36)</f>
        <v>125000</v>
      </c>
    </row>
    <row r="31" spans="2:23" x14ac:dyDescent="0.35">
      <c r="B31" s="163" t="s">
        <v>77</v>
      </c>
      <c r="C31" s="163"/>
      <c r="D31" s="221">
        <f>SUM(In:Out!G37)</f>
        <v>37500</v>
      </c>
      <c r="E31" s="221">
        <f>SUM(In:Out!H37)</f>
        <v>37500</v>
      </c>
      <c r="F31" s="221">
        <f>SUM(In:Out!I37)</f>
        <v>37500</v>
      </c>
      <c r="G31" s="221">
        <f>SUM(In:Out!J37)</f>
        <v>37500</v>
      </c>
      <c r="H31" s="221">
        <f>SUM(In:Out!K37)</f>
        <v>37500</v>
      </c>
      <c r="I31" s="221">
        <f>SUM(In:Out!L37)</f>
        <v>37500</v>
      </c>
      <c r="J31" s="221">
        <f>SUM(In:Out!M37)</f>
        <v>37500</v>
      </c>
      <c r="K31" s="221">
        <f>SUM(In:Out!N37)</f>
        <v>37500</v>
      </c>
      <c r="L31" s="221">
        <f>SUM(In:Out!O37)</f>
        <v>37500</v>
      </c>
      <c r="M31" s="221">
        <f>SUM(In:Out!P37)</f>
        <v>37500</v>
      </c>
      <c r="N31" s="221">
        <f>SUM(In:Out!Q37)</f>
        <v>37500</v>
      </c>
      <c r="O31" s="221">
        <f>SUM(In:Out!R37)</f>
        <v>37500</v>
      </c>
      <c r="P31" s="221">
        <f>SUM(In:Out!S37)</f>
        <v>37500</v>
      </c>
      <c r="Q31" s="221">
        <f>SUM(In:Out!T37)</f>
        <v>37500</v>
      </c>
      <c r="R31" s="221">
        <f>SUM(In:Out!U37)</f>
        <v>37500</v>
      </c>
      <c r="S31" s="221">
        <f>SUM(In:Out!V37)</f>
        <v>37500</v>
      </c>
      <c r="T31" s="221">
        <f>SUM(In:Out!W37)</f>
        <v>37500</v>
      </c>
      <c r="U31" s="221">
        <f>SUM(In:Out!X37)</f>
        <v>37500</v>
      </c>
      <c r="V31" s="221">
        <f>SUM(In:Out!Y37)</f>
        <v>37500</v>
      </c>
      <c r="W31" s="221">
        <f>SUM(In:Out!Z37)</f>
        <v>37500</v>
      </c>
    </row>
    <row r="32" spans="2:23" x14ac:dyDescent="0.35">
      <c r="B32" s="199" t="s">
        <v>204</v>
      </c>
      <c r="C32" s="163"/>
      <c r="D32" s="222">
        <f>SUM(D30:D31)</f>
        <v>162500</v>
      </c>
      <c r="E32" s="222">
        <f t="shared" ref="E32:W32" si="5">SUM(E30:E31)</f>
        <v>162500</v>
      </c>
      <c r="F32" s="222">
        <f t="shared" si="5"/>
        <v>162500</v>
      </c>
      <c r="G32" s="222">
        <f t="shared" si="5"/>
        <v>162500</v>
      </c>
      <c r="H32" s="222">
        <f t="shared" si="5"/>
        <v>162500</v>
      </c>
      <c r="I32" s="222">
        <f t="shared" si="5"/>
        <v>162500</v>
      </c>
      <c r="J32" s="222">
        <f t="shared" si="5"/>
        <v>162500</v>
      </c>
      <c r="K32" s="222">
        <f t="shared" si="5"/>
        <v>162500</v>
      </c>
      <c r="L32" s="222">
        <f t="shared" si="5"/>
        <v>162500</v>
      </c>
      <c r="M32" s="222">
        <f t="shared" si="5"/>
        <v>162500</v>
      </c>
      <c r="N32" s="222">
        <f t="shared" si="5"/>
        <v>162500</v>
      </c>
      <c r="O32" s="222">
        <f t="shared" si="5"/>
        <v>162500</v>
      </c>
      <c r="P32" s="222">
        <f t="shared" si="5"/>
        <v>162500</v>
      </c>
      <c r="Q32" s="222">
        <f t="shared" si="5"/>
        <v>162500</v>
      </c>
      <c r="R32" s="222">
        <f t="shared" si="5"/>
        <v>162500</v>
      </c>
      <c r="S32" s="222">
        <f t="shared" si="5"/>
        <v>162500</v>
      </c>
      <c r="T32" s="222">
        <f t="shared" si="5"/>
        <v>162500</v>
      </c>
      <c r="U32" s="222">
        <f t="shared" si="5"/>
        <v>162500</v>
      </c>
      <c r="V32" s="222">
        <f t="shared" si="5"/>
        <v>162500</v>
      </c>
      <c r="W32" s="222">
        <f t="shared" si="5"/>
        <v>162500</v>
      </c>
    </row>
    <row r="33" spans="2:23" x14ac:dyDescent="0.35">
      <c r="B33" s="163"/>
      <c r="C33" s="163"/>
      <c r="D33" s="221"/>
      <c r="E33" s="221"/>
      <c r="F33" s="221"/>
      <c r="G33" s="221"/>
      <c r="H33" s="221"/>
      <c r="I33" s="221"/>
      <c r="J33" s="221"/>
      <c r="K33" s="221"/>
      <c r="L33" s="221"/>
      <c r="M33" s="221"/>
      <c r="N33" s="221"/>
      <c r="O33" s="221"/>
      <c r="P33" s="221"/>
      <c r="Q33" s="221"/>
      <c r="R33" s="221"/>
      <c r="S33" s="221"/>
      <c r="T33" s="221"/>
      <c r="U33" s="221"/>
      <c r="V33" s="221"/>
      <c r="W33" s="221"/>
    </row>
    <row r="34" spans="2:23" ht="15" thickBot="1" x14ac:dyDescent="0.4">
      <c r="B34" s="202" t="s">
        <v>205</v>
      </c>
      <c r="C34" s="163"/>
      <c r="D34" s="224">
        <f>D4-D17-D21-D28-D32</f>
        <v>816560.42053599982</v>
      </c>
      <c r="E34" s="224">
        <f t="shared" ref="E34:W34" si="6">E4-E17-E21-E28-E32</f>
        <v>823308.63823587261</v>
      </c>
      <c r="F34" s="224">
        <f t="shared" si="6"/>
        <v>830105.72220847174</v>
      </c>
      <c r="G34" s="224">
        <f t="shared" si="6"/>
        <v>836952.07305844431</v>
      </c>
      <c r="H34" s="224">
        <f t="shared" si="6"/>
        <v>843848.09491833823</v>
      </c>
      <c r="I34" s="224">
        <f t="shared" si="6"/>
        <v>850794.1954810007</v>
      </c>
      <c r="J34" s="224">
        <f t="shared" si="6"/>
        <v>857790.78603229765</v>
      </c>
      <c r="K34" s="224">
        <f t="shared" si="6"/>
        <v>864838.28148412309</v>
      </c>
      <c r="L34" s="224">
        <f t="shared" si="6"/>
        <v>871937.10040773987</v>
      </c>
      <c r="M34" s="224">
        <f t="shared" si="6"/>
        <v>879087.66506741859</v>
      </c>
      <c r="N34" s="224">
        <f t="shared" si="6"/>
        <v>886290.40145440074</v>
      </c>
      <c r="O34" s="224">
        <f t="shared" si="6"/>
        <v>893545.73932118737</v>
      </c>
      <c r="P34" s="224">
        <f t="shared" si="6"/>
        <v>900854.11221614084</v>
      </c>
      <c r="Q34" s="224">
        <f t="shared" si="6"/>
        <v>908215.95751842204</v>
      </c>
      <c r="R34" s="224">
        <f t="shared" si="6"/>
        <v>915631.71647325205</v>
      </c>
      <c r="S34" s="224">
        <f t="shared" si="6"/>
        <v>923101.83422751166</v>
      </c>
      <c r="T34" s="224">
        <f t="shared" si="6"/>
        <v>930626.75986567163</v>
      </c>
      <c r="U34" s="224">
        <f t="shared" si="6"/>
        <v>938206.94644606928</v>
      </c>
      <c r="V34" s="224">
        <f t="shared" si="6"/>
        <v>945842.85103752092</v>
      </c>
      <c r="W34" s="224">
        <f t="shared" si="6"/>
        <v>953534.93475628481</v>
      </c>
    </row>
    <row r="35" spans="2:23" ht="15" thickTop="1" x14ac:dyDescent="0.3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workbookViewId="0">
      <selection activeCell="E30" sqref="E30"/>
    </sheetView>
  </sheetViews>
  <sheetFormatPr defaultRowHeight="14.5"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Z41"/>
  <sheetViews>
    <sheetView zoomScale="83" zoomScaleNormal="83" workbookViewId="0">
      <pane xSplit="5" topLeftCell="F1" activePane="topRight" state="frozen"/>
      <selection pane="topRight" activeCell="L34" sqref="L34"/>
    </sheetView>
  </sheetViews>
  <sheetFormatPr defaultRowHeight="14" x14ac:dyDescent="0.3"/>
  <cols>
    <col min="1" max="1" width="3.7265625" style="163" customWidth="1"/>
    <col min="2" max="2" width="40.90625" style="163" bestFit="1" customWidth="1"/>
    <col min="3" max="3" width="10.453125" style="163" bestFit="1" customWidth="1"/>
    <col min="4" max="4" width="14.54296875" style="163" bestFit="1" customWidth="1"/>
    <col min="5" max="5" width="14.90625" style="163" bestFit="1" customWidth="1"/>
    <col min="6" max="6" width="2.7265625" style="163" customWidth="1"/>
    <col min="7" max="26" width="10.453125" style="163" bestFit="1" customWidth="1"/>
    <col min="27" max="16384" width="8.7265625" style="163"/>
  </cols>
  <sheetData>
    <row r="2" spans="2:26" x14ac:dyDescent="0.3">
      <c r="B2" s="165" t="s">
        <v>207</v>
      </c>
    </row>
    <row r="3" spans="2:26" x14ac:dyDescent="0.3">
      <c r="B3" s="165" t="s">
        <v>208</v>
      </c>
    </row>
    <row r="4" spans="2:26" x14ac:dyDescent="0.3">
      <c r="B4" s="165"/>
    </row>
    <row r="5" spans="2:26" x14ac:dyDescent="0.3">
      <c r="B5" s="250" t="s">
        <v>221</v>
      </c>
      <c r="C5" s="251" t="s">
        <v>82</v>
      </c>
    </row>
    <row r="6" spans="2:26" x14ac:dyDescent="0.3">
      <c r="B6" s="250" t="s">
        <v>222</v>
      </c>
      <c r="C6" s="192">
        <f>VLOOKUP($C$5,Inputs!$B$10:$C$15,2,FALSE)</f>
        <v>22100</v>
      </c>
    </row>
    <row r="7" spans="2:26" x14ac:dyDescent="0.3">
      <c r="B7" s="188" t="s">
        <v>209</v>
      </c>
      <c r="C7" s="193">
        <f>VLOOKUP($C$5,Inputs!$B$10:$D$14,3,FALSE)</f>
        <v>0.02</v>
      </c>
      <c r="E7" s="193"/>
    </row>
    <row r="8" spans="2:26" x14ac:dyDescent="0.3">
      <c r="B8" s="188"/>
      <c r="C8" s="200"/>
      <c r="G8" s="208" t="s">
        <v>6</v>
      </c>
      <c r="H8" s="209"/>
      <c r="I8" s="209"/>
      <c r="J8" s="209"/>
      <c r="K8" s="208" t="s">
        <v>7</v>
      </c>
      <c r="L8" s="209"/>
      <c r="M8" s="209"/>
      <c r="N8" s="209"/>
      <c r="O8" s="208" t="s">
        <v>8</v>
      </c>
      <c r="P8" s="209"/>
      <c r="Q8" s="209"/>
      <c r="R8" s="209"/>
      <c r="S8" s="208" t="s">
        <v>9</v>
      </c>
      <c r="T8" s="209"/>
      <c r="U8" s="209"/>
      <c r="V8" s="209"/>
      <c r="W8" s="208" t="s">
        <v>10</v>
      </c>
      <c r="X8" s="209"/>
      <c r="Y8" s="209"/>
      <c r="Z8" s="209"/>
    </row>
    <row r="9" spans="2:26" x14ac:dyDescent="0.3">
      <c r="C9" s="201" t="s">
        <v>210</v>
      </c>
      <c r="D9" s="201" t="s">
        <v>211</v>
      </c>
      <c r="E9" s="201" t="s">
        <v>212</v>
      </c>
      <c r="F9" s="201"/>
      <c r="G9" s="201" t="s">
        <v>11</v>
      </c>
      <c r="H9" s="201" t="s">
        <v>12</v>
      </c>
      <c r="I9" s="201" t="s">
        <v>13</v>
      </c>
      <c r="J9" s="201" t="s">
        <v>14</v>
      </c>
      <c r="K9" s="201" t="s">
        <v>11</v>
      </c>
      <c r="L9" s="201" t="s">
        <v>12</v>
      </c>
      <c r="M9" s="201" t="s">
        <v>13</v>
      </c>
      <c r="N9" s="201" t="s">
        <v>14</v>
      </c>
      <c r="O9" s="201" t="s">
        <v>11</v>
      </c>
      <c r="P9" s="201" t="s">
        <v>12</v>
      </c>
      <c r="Q9" s="201" t="s">
        <v>13</v>
      </c>
      <c r="R9" s="201" t="s">
        <v>14</v>
      </c>
      <c r="S9" s="201" t="s">
        <v>11</v>
      </c>
      <c r="T9" s="201" t="s">
        <v>12</v>
      </c>
      <c r="U9" s="201" t="s">
        <v>13</v>
      </c>
      <c r="V9" s="201" t="s">
        <v>14</v>
      </c>
      <c r="W9" s="201" t="s">
        <v>11</v>
      </c>
      <c r="X9" s="201" t="s">
        <v>12</v>
      </c>
      <c r="Y9" s="201" t="s">
        <v>13</v>
      </c>
      <c r="Z9" s="201" t="s">
        <v>14</v>
      </c>
    </row>
    <row r="10" spans="2:26" x14ac:dyDescent="0.3">
      <c r="B10" s="163" t="s">
        <v>15</v>
      </c>
      <c r="C10" s="192">
        <f>INDEX(ExistingStoreTable,MATCH($B10,ExistingStoreRow,0),MATCH($C$5,ExistingStoreColumn,0))/4</f>
        <v>287300</v>
      </c>
      <c r="D10" s="203"/>
      <c r="G10" s="221">
        <f>C10*((1+$C$7/4))</f>
        <v>288736.49999999994</v>
      </c>
      <c r="H10" s="221">
        <f>G10*(1+$C$7/4)</f>
        <v>290180.18249999994</v>
      </c>
      <c r="I10" s="221">
        <f t="shared" ref="I10:Z10" si="0">H10*(1+$C$7/4)</f>
        <v>291631.08341249992</v>
      </c>
      <c r="J10" s="221">
        <f t="shared" si="0"/>
        <v>293089.23882956238</v>
      </c>
      <c r="K10" s="221">
        <f t="shared" si="0"/>
        <v>294554.68502371019</v>
      </c>
      <c r="L10" s="221">
        <f t="shared" si="0"/>
        <v>296027.45844882872</v>
      </c>
      <c r="M10" s="221">
        <f t="shared" si="0"/>
        <v>297507.59574107284</v>
      </c>
      <c r="N10" s="221">
        <f t="shared" si="0"/>
        <v>298995.13371977815</v>
      </c>
      <c r="O10" s="221">
        <f t="shared" si="0"/>
        <v>300490.10938837699</v>
      </c>
      <c r="P10" s="221">
        <f t="shared" si="0"/>
        <v>301992.55993531883</v>
      </c>
      <c r="Q10" s="221">
        <f t="shared" si="0"/>
        <v>303502.52273499541</v>
      </c>
      <c r="R10" s="221">
        <f t="shared" si="0"/>
        <v>305020.03534867032</v>
      </c>
      <c r="S10" s="221">
        <f t="shared" si="0"/>
        <v>306545.13552541367</v>
      </c>
      <c r="T10" s="221">
        <f t="shared" si="0"/>
        <v>308077.86120304069</v>
      </c>
      <c r="U10" s="221">
        <f t="shared" si="0"/>
        <v>309618.25050905586</v>
      </c>
      <c r="V10" s="221">
        <f t="shared" si="0"/>
        <v>311166.3417616011</v>
      </c>
      <c r="W10" s="221">
        <f t="shared" si="0"/>
        <v>312722.17347040906</v>
      </c>
      <c r="X10" s="221">
        <f t="shared" si="0"/>
        <v>314285.78433776106</v>
      </c>
      <c r="Y10" s="221">
        <f t="shared" si="0"/>
        <v>315857.21325944981</v>
      </c>
      <c r="Z10" s="221">
        <f t="shared" si="0"/>
        <v>317436.49932574702</v>
      </c>
    </row>
    <row r="11" spans="2:26" x14ac:dyDescent="0.3">
      <c r="C11" s="192"/>
      <c r="D11" s="203"/>
      <c r="G11" s="210"/>
      <c r="H11" s="210"/>
      <c r="I11" s="210"/>
      <c r="J11" s="210"/>
      <c r="K11" s="210"/>
      <c r="L11" s="210"/>
      <c r="M11" s="210"/>
      <c r="N11" s="210"/>
      <c r="O11" s="210"/>
      <c r="P11" s="210"/>
      <c r="Q11" s="210"/>
      <c r="R11" s="210"/>
      <c r="S11" s="210"/>
      <c r="T11" s="210"/>
      <c r="U11" s="210"/>
      <c r="V11" s="210"/>
      <c r="W11" s="210"/>
      <c r="X11" s="210"/>
      <c r="Y11" s="210"/>
      <c r="Z11" s="210"/>
    </row>
    <row r="12" spans="2:26" x14ac:dyDescent="0.3">
      <c r="B12" s="163" t="s">
        <v>66</v>
      </c>
      <c r="C12" s="192">
        <f>INDEX(ExistingStoreTable,MATCH($B12,ExistingStoreRow,0),MATCH($C$5,ExistingStoreColumn,0))/4</f>
        <v>22000</v>
      </c>
      <c r="D12" s="203">
        <f>C12/$C$10</f>
        <v>7.6575008701705541E-2</v>
      </c>
      <c r="E12" s="225" t="str">
        <f>VLOOKUP($B12,Inputs!$B$60:$C$76,2,FALSE)</f>
        <v>Variable</v>
      </c>
      <c r="G12" s="221">
        <f>IF($E12="Variable",G$10*$D12,$C12)</f>
        <v>22109.999999999996</v>
      </c>
      <c r="H12" s="221">
        <f t="shared" ref="H12:Z26" si="1">IF($E12="Variable",H$10*$D12,$C12)</f>
        <v>22220.549999999996</v>
      </c>
      <c r="I12" s="221">
        <f t="shared" si="1"/>
        <v>22331.652749999997</v>
      </c>
      <c r="J12" s="221">
        <f t="shared" si="1"/>
        <v>22443.311013749993</v>
      </c>
      <c r="K12" s="221">
        <f t="shared" si="1"/>
        <v>22555.527568818743</v>
      </c>
      <c r="L12" s="221">
        <f t="shared" si="1"/>
        <v>22668.305206662833</v>
      </c>
      <c r="M12" s="221">
        <f t="shared" si="1"/>
        <v>22781.646732696147</v>
      </c>
      <c r="N12" s="221">
        <f t="shared" si="1"/>
        <v>22895.554966359625</v>
      </c>
      <c r="O12" s="221">
        <f t="shared" si="1"/>
        <v>23010.032741191419</v>
      </c>
      <c r="P12" s="221">
        <f t="shared" si="1"/>
        <v>23125.082904897372</v>
      </c>
      <c r="Q12" s="221">
        <f t="shared" si="1"/>
        <v>23240.708319421858</v>
      </c>
      <c r="R12" s="221">
        <f t="shared" si="1"/>
        <v>23356.911861018962</v>
      </c>
      <c r="S12" s="221">
        <f t="shared" si="1"/>
        <v>23473.696420324057</v>
      </c>
      <c r="T12" s="221">
        <f t="shared" si="1"/>
        <v>23591.064902425675</v>
      </c>
      <c r="U12" s="221">
        <f t="shared" si="1"/>
        <v>23709.020226937799</v>
      </c>
      <c r="V12" s="221">
        <f t="shared" si="1"/>
        <v>23827.565328072484</v>
      </c>
      <c r="W12" s="221">
        <f t="shared" si="1"/>
        <v>23946.703154712843</v>
      </c>
      <c r="X12" s="221">
        <f t="shared" si="1"/>
        <v>24066.436670486404</v>
      </c>
      <c r="Y12" s="221">
        <f t="shared" si="1"/>
        <v>24186.768853838832</v>
      </c>
      <c r="Z12" s="221">
        <f t="shared" si="1"/>
        <v>24307.702698108023</v>
      </c>
    </row>
    <row r="13" spans="2:26" x14ac:dyDescent="0.3">
      <c r="B13" s="163" t="s">
        <v>69</v>
      </c>
      <c r="C13" s="192">
        <f>INDEX(ExistingStoreTable,MATCH($B13,ExistingStoreRow,0),MATCH($C$5,ExistingStoreColumn,0))/4</f>
        <v>101504</v>
      </c>
      <c r="D13" s="203">
        <f t="shared" ref="D13:D40" si="2">C13/$C$10</f>
        <v>0.35330316742081447</v>
      </c>
      <c r="E13" s="225" t="str">
        <f>VLOOKUP($B13,Inputs!$B$60:$C$76,2,FALSE)</f>
        <v>Variable</v>
      </c>
      <c r="G13" s="221">
        <f>IF($E13="Variable",G$10*$D13,$C13)</f>
        <v>102011.51999999997</v>
      </c>
      <c r="H13" s="221">
        <f t="shared" si="1"/>
        <v>102521.57759999998</v>
      </c>
      <c r="I13" s="221">
        <f t="shared" si="1"/>
        <v>103034.18548799997</v>
      </c>
      <c r="J13" s="221">
        <f t="shared" si="1"/>
        <v>103549.35641543995</v>
      </c>
      <c r="K13" s="221">
        <f t="shared" si="1"/>
        <v>104067.10319751715</v>
      </c>
      <c r="L13" s="221">
        <f t="shared" si="1"/>
        <v>104587.43871350473</v>
      </c>
      <c r="M13" s="221">
        <f t="shared" si="1"/>
        <v>105110.37590707224</v>
      </c>
      <c r="N13" s="221">
        <f t="shared" si="1"/>
        <v>105635.92778660759</v>
      </c>
      <c r="O13" s="221">
        <f>IF($E13="Variable",O$10*$D13,$C13)</f>
        <v>106164.10742554061</v>
      </c>
      <c r="P13" s="221">
        <f t="shared" si="1"/>
        <v>106694.9279626683</v>
      </c>
      <c r="Q13" s="221">
        <f t="shared" si="1"/>
        <v>107228.40260248163</v>
      </c>
      <c r="R13" s="221">
        <f t="shared" si="1"/>
        <v>107764.54461549401</v>
      </c>
      <c r="S13" s="221">
        <f t="shared" si="1"/>
        <v>108303.36733857149</v>
      </c>
      <c r="T13" s="221">
        <f t="shared" si="1"/>
        <v>108844.88417526433</v>
      </c>
      <c r="U13" s="221">
        <f t="shared" si="1"/>
        <v>109389.10859614064</v>
      </c>
      <c r="V13" s="221">
        <f t="shared" si="1"/>
        <v>109936.05413912132</v>
      </c>
      <c r="W13" s="221">
        <f t="shared" si="1"/>
        <v>110485.73440981691</v>
      </c>
      <c r="X13" s="221">
        <f t="shared" si="1"/>
        <v>111038.16308186599</v>
      </c>
      <c r="Y13" s="221">
        <f t="shared" si="1"/>
        <v>111593.3538972753</v>
      </c>
      <c r="Z13" s="221">
        <f t="shared" si="1"/>
        <v>112151.32066676166</v>
      </c>
    </row>
    <row r="14" spans="2:26" x14ac:dyDescent="0.3">
      <c r="B14" s="199" t="s">
        <v>199</v>
      </c>
      <c r="C14" s="194">
        <f>INDEX(ExistingStoreTable,MATCH($B14,ExistingStoreRow,0),MATCH($C$5,ExistingStoreColumn,0))/4</f>
        <v>123504</v>
      </c>
      <c r="D14" s="204">
        <f t="shared" si="2"/>
        <v>0.42987817612251999</v>
      </c>
      <c r="E14" s="227"/>
      <c r="G14" s="222">
        <f>SUM(G12:G13)</f>
        <v>124121.51999999997</v>
      </c>
      <c r="H14" s="222">
        <f t="shared" ref="H14:Z14" si="3">SUM(H12:H13)</f>
        <v>124742.12759999998</v>
      </c>
      <c r="I14" s="222">
        <f t="shared" si="3"/>
        <v>125365.83823799997</v>
      </c>
      <c r="J14" s="222">
        <f t="shared" si="3"/>
        <v>125992.66742918994</v>
      </c>
      <c r="K14" s="222">
        <f t="shared" si="3"/>
        <v>126622.63076633589</v>
      </c>
      <c r="L14" s="222">
        <f t="shared" si="3"/>
        <v>127255.74392016756</v>
      </c>
      <c r="M14" s="222">
        <f t="shared" si="3"/>
        <v>127892.02263976839</v>
      </c>
      <c r="N14" s="222">
        <f t="shared" si="3"/>
        <v>128531.48275296722</v>
      </c>
      <c r="O14" s="222">
        <f t="shared" si="3"/>
        <v>129174.14016673203</v>
      </c>
      <c r="P14" s="222">
        <f t="shared" si="3"/>
        <v>129820.01086756567</v>
      </c>
      <c r="Q14" s="222">
        <f t="shared" si="3"/>
        <v>130469.11092190348</v>
      </c>
      <c r="R14" s="222">
        <f t="shared" si="3"/>
        <v>131121.45647651298</v>
      </c>
      <c r="S14" s="222">
        <f t="shared" si="3"/>
        <v>131777.06375889556</v>
      </c>
      <c r="T14" s="222">
        <f t="shared" si="3"/>
        <v>132435.94907769002</v>
      </c>
      <c r="U14" s="222">
        <f t="shared" si="3"/>
        <v>133098.12882307844</v>
      </c>
      <c r="V14" s="222">
        <f t="shared" si="3"/>
        <v>133763.61946719381</v>
      </c>
      <c r="W14" s="222">
        <f t="shared" si="3"/>
        <v>134432.43756452977</v>
      </c>
      <c r="X14" s="222">
        <f t="shared" si="3"/>
        <v>135104.5997523524</v>
      </c>
      <c r="Y14" s="222">
        <f t="shared" si="3"/>
        <v>135780.12275111413</v>
      </c>
      <c r="Z14" s="222">
        <f t="shared" si="3"/>
        <v>136459.02336486967</v>
      </c>
    </row>
    <row r="15" spans="2:26" x14ac:dyDescent="0.3">
      <c r="C15" s="192"/>
      <c r="D15" s="203"/>
      <c r="E15" s="227"/>
      <c r="G15" s="221"/>
      <c r="H15" s="221"/>
      <c r="I15" s="221"/>
      <c r="J15" s="221"/>
      <c r="K15" s="221"/>
      <c r="L15" s="221"/>
      <c r="M15" s="221"/>
      <c r="N15" s="221"/>
      <c r="O15" s="221"/>
      <c r="P15" s="221"/>
      <c r="Q15" s="221"/>
      <c r="R15" s="221"/>
      <c r="S15" s="221"/>
      <c r="T15" s="221"/>
      <c r="U15" s="221"/>
      <c r="V15" s="221"/>
      <c r="W15" s="221"/>
      <c r="X15" s="221"/>
      <c r="Y15" s="221"/>
      <c r="Z15" s="221"/>
    </row>
    <row r="16" spans="2:26" x14ac:dyDescent="0.3">
      <c r="B16" s="163" t="s">
        <v>1</v>
      </c>
      <c r="C16" s="192">
        <f t="shared" ref="C16:C23" si="4">INDEX(ExistingStoreTable,MATCH($B16,ExistingStoreRow,0),MATCH($C$5,ExistingStoreColumn,0))/4</f>
        <v>9509.8079999999991</v>
      </c>
      <c r="D16" s="203">
        <f t="shared" si="2"/>
        <v>3.3100619561434036E-2</v>
      </c>
      <c r="E16" s="225" t="str">
        <f>VLOOKUP($B16,Inputs!$B$60:$C$76,2,FALSE)</f>
        <v>Variable</v>
      </c>
      <c r="G16" s="221">
        <f t="shared" ref="G16:V37" si="5">IF($E16="Variable",G$10*$D16,$C16)</f>
        <v>9557.3570399999971</v>
      </c>
      <c r="H16" s="221">
        <f t="shared" si="1"/>
        <v>9605.1438251999971</v>
      </c>
      <c r="I16" s="221">
        <f t="shared" si="1"/>
        <v>9653.169544325996</v>
      </c>
      <c r="J16" s="221">
        <f t="shared" si="1"/>
        <v>9701.4353920476242</v>
      </c>
      <c r="K16" s="221">
        <f t="shared" si="1"/>
        <v>9749.9425690078624</v>
      </c>
      <c r="L16" s="221">
        <f t="shared" si="1"/>
        <v>9798.6922818529019</v>
      </c>
      <c r="M16" s="221">
        <f t="shared" si="1"/>
        <v>9847.6857432621655</v>
      </c>
      <c r="N16" s="221">
        <f t="shared" si="1"/>
        <v>9896.924171978475</v>
      </c>
      <c r="O16" s="221">
        <f t="shared" si="1"/>
        <v>9946.4087928383651</v>
      </c>
      <c r="P16" s="221">
        <f t="shared" si="1"/>
        <v>9996.140836802555</v>
      </c>
      <c r="Q16" s="221">
        <f t="shared" si="1"/>
        <v>10046.121540986567</v>
      </c>
      <c r="R16" s="221">
        <f t="shared" si="1"/>
        <v>10096.352148691498</v>
      </c>
      <c r="S16" s="221">
        <f t="shared" si="1"/>
        <v>10146.833909434956</v>
      </c>
      <c r="T16" s="221">
        <f t="shared" si="1"/>
        <v>10197.568078982129</v>
      </c>
      <c r="U16" s="221">
        <f t="shared" si="1"/>
        <v>10248.555919377039</v>
      </c>
      <c r="V16" s="221">
        <f t="shared" si="1"/>
        <v>10299.798698973922</v>
      </c>
      <c r="W16" s="221">
        <f t="shared" si="1"/>
        <v>10351.29769246879</v>
      </c>
      <c r="X16" s="221">
        <f t="shared" si="1"/>
        <v>10403.054180931133</v>
      </c>
      <c r="Y16" s="221">
        <f t="shared" si="1"/>
        <v>10455.069451835787</v>
      </c>
      <c r="Z16" s="221">
        <f t="shared" si="1"/>
        <v>10507.344799094964</v>
      </c>
    </row>
    <row r="17" spans="2:26" x14ac:dyDescent="0.3">
      <c r="B17" s="163" t="s">
        <v>0</v>
      </c>
      <c r="C17" s="192">
        <f t="shared" si="4"/>
        <v>5750</v>
      </c>
      <c r="D17" s="203">
        <f t="shared" si="2"/>
        <v>2.0013922728854855E-2</v>
      </c>
      <c r="E17" s="225" t="str">
        <f>VLOOKUP($B17,Inputs!$B$60:$C$76,2,FALSE)</f>
        <v>Fixed</v>
      </c>
      <c r="G17" s="221">
        <f t="shared" si="5"/>
        <v>5750</v>
      </c>
      <c r="H17" s="221">
        <f t="shared" si="1"/>
        <v>5750</v>
      </c>
      <c r="I17" s="221">
        <f t="shared" si="1"/>
        <v>5750</v>
      </c>
      <c r="J17" s="221">
        <f t="shared" si="1"/>
        <v>5750</v>
      </c>
      <c r="K17" s="221">
        <f t="shared" si="1"/>
        <v>5750</v>
      </c>
      <c r="L17" s="221">
        <f t="shared" si="1"/>
        <v>5750</v>
      </c>
      <c r="M17" s="221">
        <f t="shared" si="1"/>
        <v>5750</v>
      </c>
      <c r="N17" s="221">
        <f t="shared" si="1"/>
        <v>5750</v>
      </c>
      <c r="O17" s="221">
        <f t="shared" si="1"/>
        <v>5750</v>
      </c>
      <c r="P17" s="221">
        <f t="shared" si="1"/>
        <v>5750</v>
      </c>
      <c r="Q17" s="221">
        <f t="shared" si="1"/>
        <v>5750</v>
      </c>
      <c r="R17" s="221">
        <f t="shared" si="1"/>
        <v>5750</v>
      </c>
      <c r="S17" s="221">
        <f t="shared" si="1"/>
        <v>5750</v>
      </c>
      <c r="T17" s="221">
        <f t="shared" si="1"/>
        <v>5750</v>
      </c>
      <c r="U17" s="221">
        <f t="shared" si="1"/>
        <v>5750</v>
      </c>
      <c r="V17" s="221">
        <f t="shared" si="1"/>
        <v>5750</v>
      </c>
      <c r="W17" s="221">
        <f t="shared" si="1"/>
        <v>5750</v>
      </c>
      <c r="X17" s="221">
        <f t="shared" si="1"/>
        <v>5750</v>
      </c>
      <c r="Y17" s="221">
        <f t="shared" si="1"/>
        <v>5750</v>
      </c>
      <c r="Z17" s="221">
        <f t="shared" si="1"/>
        <v>5750</v>
      </c>
    </row>
    <row r="18" spans="2:26" x14ac:dyDescent="0.3">
      <c r="B18" s="163" t="s">
        <v>2</v>
      </c>
      <c r="C18" s="192">
        <f t="shared" si="4"/>
        <v>2778.8399999999997</v>
      </c>
      <c r="D18" s="203">
        <f t="shared" si="2"/>
        <v>9.6722589627566986E-3</v>
      </c>
      <c r="E18" s="225" t="str">
        <f>VLOOKUP($B18,Inputs!$B$60:$C$76,2,FALSE)</f>
        <v>Variable</v>
      </c>
      <c r="G18" s="221">
        <f t="shared" si="5"/>
        <v>2792.734199999999</v>
      </c>
      <c r="H18" s="221">
        <f t="shared" si="1"/>
        <v>2806.6978709999989</v>
      </c>
      <c r="I18" s="221">
        <f t="shared" si="1"/>
        <v>2820.7313603549987</v>
      </c>
      <c r="J18" s="221">
        <f t="shared" si="1"/>
        <v>2834.8350171567736</v>
      </c>
      <c r="K18" s="221">
        <f t="shared" si="1"/>
        <v>2849.0091922425572</v>
      </c>
      <c r="L18" s="221">
        <f t="shared" si="1"/>
        <v>2863.25423820377</v>
      </c>
      <c r="M18" s="221">
        <f t="shared" si="1"/>
        <v>2877.5705093947886</v>
      </c>
      <c r="N18" s="221">
        <f t="shared" si="1"/>
        <v>2891.9583619417617</v>
      </c>
      <c r="O18" s="221">
        <f t="shared" si="1"/>
        <v>2906.4181537514701</v>
      </c>
      <c r="P18" s="221">
        <f t="shared" si="1"/>
        <v>2920.950244520227</v>
      </c>
      <c r="Q18" s="221">
        <f t="shared" si="1"/>
        <v>2935.5549957428279</v>
      </c>
      <c r="R18" s="221">
        <f t="shared" si="1"/>
        <v>2950.2327707215418</v>
      </c>
      <c r="S18" s="221">
        <f t="shared" si="1"/>
        <v>2964.9839345751493</v>
      </c>
      <c r="T18" s="221">
        <f t="shared" si="1"/>
        <v>2979.8088542480245</v>
      </c>
      <c r="U18" s="221">
        <f t="shared" si="1"/>
        <v>2994.7078985192643</v>
      </c>
      <c r="V18" s="221">
        <f t="shared" si="1"/>
        <v>3009.6814380118603</v>
      </c>
      <c r="W18" s="221">
        <f t="shared" si="1"/>
        <v>3024.729845201919</v>
      </c>
      <c r="X18" s="221">
        <f t="shared" si="1"/>
        <v>3039.8534944279281</v>
      </c>
      <c r="Y18" s="221">
        <f t="shared" si="1"/>
        <v>3055.0527619000673</v>
      </c>
      <c r="Z18" s="221">
        <f t="shared" si="1"/>
        <v>3070.3280257095671</v>
      </c>
    </row>
    <row r="19" spans="2:26" x14ac:dyDescent="0.3">
      <c r="B19" s="163" t="s">
        <v>3</v>
      </c>
      <c r="C19" s="192">
        <f t="shared" si="4"/>
        <v>2778.8399999999997</v>
      </c>
      <c r="D19" s="203">
        <f t="shared" si="2"/>
        <v>9.6722589627566986E-3</v>
      </c>
      <c r="E19" s="225" t="str">
        <f>VLOOKUP($B19,Inputs!$B$60:$C$76,2,FALSE)</f>
        <v>Variable</v>
      </c>
      <c r="G19" s="221">
        <f t="shared" si="5"/>
        <v>2792.734199999999</v>
      </c>
      <c r="H19" s="221">
        <f t="shared" si="1"/>
        <v>2806.6978709999989</v>
      </c>
      <c r="I19" s="221">
        <f t="shared" si="1"/>
        <v>2820.7313603549987</v>
      </c>
      <c r="J19" s="221">
        <f t="shared" si="1"/>
        <v>2834.8350171567736</v>
      </c>
      <c r="K19" s="221">
        <f t="shared" si="1"/>
        <v>2849.0091922425572</v>
      </c>
      <c r="L19" s="221">
        <f t="shared" si="1"/>
        <v>2863.25423820377</v>
      </c>
      <c r="M19" s="221">
        <f t="shared" si="1"/>
        <v>2877.5705093947886</v>
      </c>
      <c r="N19" s="221">
        <f t="shared" si="1"/>
        <v>2891.9583619417617</v>
      </c>
      <c r="O19" s="221">
        <f t="shared" si="1"/>
        <v>2906.4181537514701</v>
      </c>
      <c r="P19" s="221">
        <f t="shared" si="1"/>
        <v>2920.950244520227</v>
      </c>
      <c r="Q19" s="221">
        <f t="shared" si="1"/>
        <v>2935.5549957428279</v>
      </c>
      <c r="R19" s="221">
        <f t="shared" si="1"/>
        <v>2950.2327707215418</v>
      </c>
      <c r="S19" s="221">
        <f t="shared" si="1"/>
        <v>2964.9839345751493</v>
      </c>
      <c r="T19" s="221">
        <f t="shared" si="1"/>
        <v>2979.8088542480245</v>
      </c>
      <c r="U19" s="221">
        <f t="shared" si="1"/>
        <v>2994.7078985192643</v>
      </c>
      <c r="V19" s="221">
        <f t="shared" si="1"/>
        <v>3009.6814380118603</v>
      </c>
      <c r="W19" s="221">
        <f t="shared" si="1"/>
        <v>3024.729845201919</v>
      </c>
      <c r="X19" s="221">
        <f t="shared" si="1"/>
        <v>3039.8534944279281</v>
      </c>
      <c r="Y19" s="221">
        <f t="shared" si="1"/>
        <v>3055.0527619000673</v>
      </c>
      <c r="Z19" s="221">
        <f t="shared" si="1"/>
        <v>3070.3280257095671</v>
      </c>
    </row>
    <row r="20" spans="2:26" x14ac:dyDescent="0.3">
      <c r="B20" s="163" t="s">
        <v>16</v>
      </c>
      <c r="C20" s="192">
        <f t="shared" si="4"/>
        <v>2778.8399999999997</v>
      </c>
      <c r="D20" s="203">
        <f t="shared" si="2"/>
        <v>9.6722589627566986E-3</v>
      </c>
      <c r="E20" s="225" t="str">
        <f>VLOOKUP($B20,Inputs!$B$60:$C$76,2,FALSE)</f>
        <v>Variable</v>
      </c>
      <c r="G20" s="221">
        <f t="shared" si="5"/>
        <v>2792.734199999999</v>
      </c>
      <c r="H20" s="221">
        <f t="shared" si="1"/>
        <v>2806.6978709999989</v>
      </c>
      <c r="I20" s="221">
        <f t="shared" si="1"/>
        <v>2820.7313603549987</v>
      </c>
      <c r="J20" s="221">
        <f t="shared" si="1"/>
        <v>2834.8350171567736</v>
      </c>
      <c r="K20" s="221">
        <f t="shared" si="1"/>
        <v>2849.0091922425572</v>
      </c>
      <c r="L20" s="221">
        <f t="shared" si="1"/>
        <v>2863.25423820377</v>
      </c>
      <c r="M20" s="221">
        <f t="shared" si="1"/>
        <v>2877.5705093947886</v>
      </c>
      <c r="N20" s="221">
        <f t="shared" si="1"/>
        <v>2891.9583619417617</v>
      </c>
      <c r="O20" s="221">
        <f t="shared" si="1"/>
        <v>2906.4181537514701</v>
      </c>
      <c r="P20" s="221">
        <f t="shared" si="1"/>
        <v>2920.950244520227</v>
      </c>
      <c r="Q20" s="221">
        <f t="shared" si="1"/>
        <v>2935.5549957428279</v>
      </c>
      <c r="R20" s="221">
        <f t="shared" si="1"/>
        <v>2950.2327707215418</v>
      </c>
      <c r="S20" s="221">
        <f t="shared" si="1"/>
        <v>2964.9839345751493</v>
      </c>
      <c r="T20" s="221">
        <f t="shared" si="1"/>
        <v>2979.8088542480245</v>
      </c>
      <c r="U20" s="221">
        <f t="shared" si="1"/>
        <v>2994.7078985192643</v>
      </c>
      <c r="V20" s="221">
        <f t="shared" si="1"/>
        <v>3009.6814380118603</v>
      </c>
      <c r="W20" s="221">
        <f t="shared" si="1"/>
        <v>3024.729845201919</v>
      </c>
      <c r="X20" s="221">
        <f t="shared" si="1"/>
        <v>3039.8534944279281</v>
      </c>
      <c r="Y20" s="221">
        <f t="shared" si="1"/>
        <v>3055.0527619000673</v>
      </c>
      <c r="Z20" s="221">
        <f t="shared" si="1"/>
        <v>3070.3280257095671</v>
      </c>
    </row>
    <row r="21" spans="2:26" x14ac:dyDescent="0.3">
      <c r="B21" s="163" t="s">
        <v>4</v>
      </c>
      <c r="C21" s="192">
        <f t="shared" si="4"/>
        <v>5557.6799999999994</v>
      </c>
      <c r="D21" s="203">
        <f t="shared" si="2"/>
        <v>1.9344517925513397E-2</v>
      </c>
      <c r="E21" s="225" t="str">
        <f>VLOOKUP($B21,Inputs!$B$60:$C$76,2,FALSE)</f>
        <v>Variable</v>
      </c>
      <c r="G21" s="221">
        <f t="shared" si="5"/>
        <v>5585.4683999999979</v>
      </c>
      <c r="H21" s="221">
        <f t="shared" si="1"/>
        <v>5613.3957419999979</v>
      </c>
      <c r="I21" s="221">
        <f t="shared" si="1"/>
        <v>5641.4627207099975</v>
      </c>
      <c r="J21" s="221">
        <f t="shared" si="1"/>
        <v>5669.6700343135471</v>
      </c>
      <c r="K21" s="221">
        <f t="shared" si="1"/>
        <v>5698.0183844851144</v>
      </c>
      <c r="L21" s="221">
        <f t="shared" si="1"/>
        <v>5726.50847640754</v>
      </c>
      <c r="M21" s="221">
        <f t="shared" si="1"/>
        <v>5755.1410187895772</v>
      </c>
      <c r="N21" s="221">
        <f t="shared" si="1"/>
        <v>5783.9167238835234</v>
      </c>
      <c r="O21" s="221">
        <f t="shared" si="1"/>
        <v>5812.8363075029401</v>
      </c>
      <c r="P21" s="221">
        <f t="shared" si="1"/>
        <v>5841.900489040454</v>
      </c>
      <c r="Q21" s="221">
        <f t="shared" si="1"/>
        <v>5871.1099914856559</v>
      </c>
      <c r="R21" s="221">
        <f t="shared" si="1"/>
        <v>5900.4655414430836</v>
      </c>
      <c r="S21" s="221">
        <f t="shared" si="1"/>
        <v>5929.9678691502986</v>
      </c>
      <c r="T21" s="221">
        <f t="shared" si="1"/>
        <v>5959.6177084960491</v>
      </c>
      <c r="U21" s="221">
        <f t="shared" si="1"/>
        <v>5989.4157970385286</v>
      </c>
      <c r="V21" s="221">
        <f t="shared" si="1"/>
        <v>6019.3628760237207</v>
      </c>
      <c r="W21" s="221">
        <f t="shared" si="1"/>
        <v>6049.4596904038381</v>
      </c>
      <c r="X21" s="221">
        <f t="shared" si="1"/>
        <v>6079.7069888558563</v>
      </c>
      <c r="Y21" s="221">
        <f t="shared" si="1"/>
        <v>6110.1055238001345</v>
      </c>
      <c r="Z21" s="221">
        <f t="shared" si="1"/>
        <v>6140.6560514191342</v>
      </c>
    </row>
    <row r="22" spans="2:26" x14ac:dyDescent="0.3">
      <c r="B22" s="176" t="s">
        <v>200</v>
      </c>
      <c r="C22" s="194">
        <f t="shared" si="4"/>
        <v>29154.007999999998</v>
      </c>
      <c r="D22" s="205">
        <f t="shared" si="2"/>
        <v>0.10147583710407239</v>
      </c>
      <c r="E22" s="227"/>
      <c r="G22" s="223">
        <f>SUM(G16:G21)</f>
        <v>29271.02803999999</v>
      </c>
      <c r="H22" s="223">
        <f t="shared" ref="H22:Z22" si="6">SUM(H16:H21)</f>
        <v>29388.633180199995</v>
      </c>
      <c r="I22" s="223">
        <f t="shared" si="6"/>
        <v>29506.826346100992</v>
      </c>
      <c r="J22" s="223">
        <f t="shared" si="6"/>
        <v>29625.610477831491</v>
      </c>
      <c r="K22" s="223">
        <f t="shared" si="6"/>
        <v>29744.988530220646</v>
      </c>
      <c r="L22" s="223">
        <f t="shared" si="6"/>
        <v>29864.963472871754</v>
      </c>
      <c r="M22" s="223">
        <f t="shared" si="6"/>
        <v>29985.538290236105</v>
      </c>
      <c r="N22" s="223">
        <f t="shared" si="6"/>
        <v>30106.715981687281</v>
      </c>
      <c r="O22" s="223">
        <f t="shared" si="6"/>
        <v>30228.499561595716</v>
      </c>
      <c r="P22" s="223">
        <f t="shared" si="6"/>
        <v>30350.89205940369</v>
      </c>
      <c r="Q22" s="223">
        <f t="shared" si="6"/>
        <v>30473.896519700706</v>
      </c>
      <c r="R22" s="223">
        <f t="shared" si="6"/>
        <v>30597.516002299206</v>
      </c>
      <c r="S22" s="223">
        <f t="shared" si="6"/>
        <v>30721.753582310703</v>
      </c>
      <c r="T22" s="223">
        <f t="shared" si="6"/>
        <v>30846.612350222254</v>
      </c>
      <c r="U22" s="223">
        <f t="shared" si="6"/>
        <v>30972.095411973358</v>
      </c>
      <c r="V22" s="223">
        <f t="shared" si="6"/>
        <v>31098.205889033219</v>
      </c>
      <c r="W22" s="223">
        <f t="shared" si="6"/>
        <v>31224.946918478388</v>
      </c>
      <c r="X22" s="223">
        <f t="shared" si="6"/>
        <v>31352.321653070772</v>
      </c>
      <c r="Y22" s="223">
        <f t="shared" si="6"/>
        <v>31480.333261336124</v>
      </c>
      <c r="Z22" s="223">
        <f t="shared" si="6"/>
        <v>31608.984927642803</v>
      </c>
    </row>
    <row r="23" spans="2:26" x14ac:dyDescent="0.3">
      <c r="B23" s="199" t="s">
        <v>201</v>
      </c>
      <c r="C23" s="194">
        <f t="shared" si="4"/>
        <v>152658.008</v>
      </c>
      <c r="D23" s="204">
        <f t="shared" si="2"/>
        <v>0.53135401322659237</v>
      </c>
      <c r="E23" s="227"/>
      <c r="G23" s="222">
        <f>G14+G22</f>
        <v>153392.54803999997</v>
      </c>
      <c r="H23" s="222">
        <f t="shared" ref="H23:Z23" si="7">H14+H22</f>
        <v>154130.76078019998</v>
      </c>
      <c r="I23" s="222">
        <f t="shared" si="7"/>
        <v>154872.66458410094</v>
      </c>
      <c r="J23" s="222">
        <f t="shared" si="7"/>
        <v>155618.27790702143</v>
      </c>
      <c r="K23" s="222">
        <f t="shared" si="7"/>
        <v>156367.61929655654</v>
      </c>
      <c r="L23" s="222">
        <f t="shared" si="7"/>
        <v>157120.70739303931</v>
      </c>
      <c r="M23" s="222">
        <f t="shared" si="7"/>
        <v>157877.56093000449</v>
      </c>
      <c r="N23" s="222">
        <f t="shared" si="7"/>
        <v>158638.19873465449</v>
      </c>
      <c r="O23" s="222">
        <f t="shared" si="7"/>
        <v>159402.63972832775</v>
      </c>
      <c r="P23" s="222">
        <f t="shared" si="7"/>
        <v>160170.90292696934</v>
      </c>
      <c r="Q23" s="222">
        <f t="shared" si="7"/>
        <v>160943.00744160419</v>
      </c>
      <c r="R23" s="222">
        <f t="shared" si="7"/>
        <v>161718.97247881218</v>
      </c>
      <c r="S23" s="222">
        <f t="shared" si="7"/>
        <v>162498.81734120625</v>
      </c>
      <c r="T23" s="222">
        <f t="shared" si="7"/>
        <v>163282.56142791227</v>
      </c>
      <c r="U23" s="222">
        <f t="shared" si="7"/>
        <v>164070.22423505181</v>
      </c>
      <c r="V23" s="222">
        <f t="shared" si="7"/>
        <v>164861.82535622703</v>
      </c>
      <c r="W23" s="222">
        <f t="shared" si="7"/>
        <v>165657.38448300815</v>
      </c>
      <c r="X23" s="222">
        <f t="shared" si="7"/>
        <v>166456.92140542317</v>
      </c>
      <c r="Y23" s="222">
        <f t="shared" si="7"/>
        <v>167260.45601245025</v>
      </c>
      <c r="Z23" s="222">
        <f t="shared" si="7"/>
        <v>168068.00829251247</v>
      </c>
    </row>
    <row r="24" spans="2:26" x14ac:dyDescent="0.3">
      <c r="C24" s="192"/>
      <c r="D24" s="203"/>
      <c r="E24" s="227"/>
      <c r="G24" s="221"/>
      <c r="H24" s="221"/>
      <c r="I24" s="221"/>
      <c r="J24" s="221"/>
      <c r="K24" s="221"/>
      <c r="L24" s="221"/>
      <c r="M24" s="221"/>
      <c r="N24" s="221"/>
      <c r="O24" s="221"/>
      <c r="P24" s="221"/>
      <c r="Q24" s="221"/>
      <c r="R24" s="221"/>
      <c r="S24" s="221"/>
      <c r="T24" s="221"/>
      <c r="U24" s="221"/>
      <c r="V24" s="221"/>
      <c r="W24" s="221"/>
      <c r="X24" s="221"/>
      <c r="Y24" s="221"/>
      <c r="Z24" s="221"/>
    </row>
    <row r="25" spans="2:26" x14ac:dyDescent="0.3">
      <c r="B25" s="163" t="s">
        <v>71</v>
      </c>
      <c r="C25" s="192">
        <f>INDEX(ExistingStoreTable,MATCH($B25,ExistingStoreRow,0),MATCH($C$5,ExistingStoreColumn,0))/4</f>
        <v>74698</v>
      </c>
      <c r="D25" s="203">
        <f t="shared" si="2"/>
        <v>0.26</v>
      </c>
      <c r="E25" s="225" t="str">
        <f>VLOOKUP($B25,Inputs!$B$60:$C$76,2,FALSE)</f>
        <v>Variable</v>
      </c>
      <c r="G25" s="221">
        <f t="shared" si="5"/>
        <v>75071.489999999991</v>
      </c>
      <c r="H25" s="221">
        <f t="shared" si="1"/>
        <v>75446.847449999987</v>
      </c>
      <c r="I25" s="221">
        <f t="shared" si="1"/>
        <v>75824.081687249985</v>
      </c>
      <c r="J25" s="221">
        <f t="shared" si="1"/>
        <v>76203.202095686225</v>
      </c>
      <c r="K25" s="221">
        <f t="shared" si="1"/>
        <v>76584.218106164655</v>
      </c>
      <c r="L25" s="221">
        <f t="shared" si="1"/>
        <v>76967.139196695469</v>
      </c>
      <c r="M25" s="221">
        <f t="shared" si="1"/>
        <v>77351.974892678947</v>
      </c>
      <c r="N25" s="221">
        <f t="shared" si="1"/>
        <v>77738.734767142319</v>
      </c>
      <c r="O25" s="221">
        <f t="shared" si="1"/>
        <v>78127.428440978023</v>
      </c>
      <c r="P25" s="221">
        <f t="shared" si="1"/>
        <v>78518.065583182892</v>
      </c>
      <c r="Q25" s="221">
        <f t="shared" si="1"/>
        <v>78910.655911098802</v>
      </c>
      <c r="R25" s="221">
        <f t="shared" si="1"/>
        <v>79305.209190654292</v>
      </c>
      <c r="S25" s="221">
        <f t="shared" si="1"/>
        <v>79701.735236607565</v>
      </c>
      <c r="T25" s="221">
        <f t="shared" si="1"/>
        <v>80100.243912790582</v>
      </c>
      <c r="U25" s="221">
        <f t="shared" si="1"/>
        <v>80500.745132354525</v>
      </c>
      <c r="V25" s="221">
        <f t="shared" si="1"/>
        <v>80903.24885801629</v>
      </c>
      <c r="W25" s="221">
        <f t="shared" si="1"/>
        <v>81307.765102306366</v>
      </c>
      <c r="X25" s="221">
        <f t="shared" si="1"/>
        <v>81714.303927817877</v>
      </c>
      <c r="Y25" s="221">
        <f t="shared" si="1"/>
        <v>82122.875447456958</v>
      </c>
      <c r="Z25" s="221">
        <f t="shared" si="1"/>
        <v>82533.489824694232</v>
      </c>
    </row>
    <row r="26" spans="2:26" x14ac:dyDescent="0.3">
      <c r="B26" s="163" t="s">
        <v>72</v>
      </c>
      <c r="C26" s="192">
        <f>INDEX(ExistingStoreTable,MATCH($B26,ExistingStoreRow,0),MATCH($C$5,ExistingStoreColumn,0))/4</f>
        <v>8619</v>
      </c>
      <c r="D26" s="203">
        <f t="shared" si="2"/>
        <v>0.03</v>
      </c>
      <c r="E26" s="225" t="str">
        <f>VLOOKUP($B26,Inputs!$B$60:$C$76,2,FALSE)</f>
        <v>Variable</v>
      </c>
      <c r="G26" s="221">
        <f t="shared" si="5"/>
        <v>8662.0949999999975</v>
      </c>
      <c r="H26" s="221">
        <f t="shared" si="5"/>
        <v>8705.4054749999978</v>
      </c>
      <c r="I26" s="221">
        <f t="shared" si="5"/>
        <v>8748.9325023749971</v>
      </c>
      <c r="J26" s="221">
        <f t="shared" si="5"/>
        <v>8792.6771648868707</v>
      </c>
      <c r="K26" s="221">
        <f t="shared" si="5"/>
        <v>8836.640550711305</v>
      </c>
      <c r="L26" s="221">
        <f t="shared" si="5"/>
        <v>8880.8237534648615</v>
      </c>
      <c r="M26" s="221">
        <f t="shared" si="5"/>
        <v>8925.2278722321844</v>
      </c>
      <c r="N26" s="221">
        <f t="shared" si="5"/>
        <v>8969.8540115933447</v>
      </c>
      <c r="O26" s="221">
        <f>IF($E26="Variable",O$10*$D26,$C26)</f>
        <v>9014.7032816513092</v>
      </c>
      <c r="P26" s="221">
        <f t="shared" si="5"/>
        <v>9059.7767980595654</v>
      </c>
      <c r="Q26" s="221">
        <f t="shared" si="5"/>
        <v>9105.0756820498627</v>
      </c>
      <c r="R26" s="221">
        <f t="shared" si="5"/>
        <v>9150.6010604601088</v>
      </c>
      <c r="S26" s="221">
        <f t="shared" si="5"/>
        <v>9196.3540657624089</v>
      </c>
      <c r="T26" s="221">
        <f t="shared" si="5"/>
        <v>9242.3358360912207</v>
      </c>
      <c r="U26" s="221">
        <f t="shared" si="5"/>
        <v>9288.5475152716754</v>
      </c>
      <c r="V26" s="221">
        <f t="shared" si="5"/>
        <v>9334.9902528480325</v>
      </c>
      <c r="W26" s="221">
        <f t="shared" si="1"/>
        <v>9381.6652041122707</v>
      </c>
      <c r="X26" s="221">
        <f t="shared" si="1"/>
        <v>9428.5735301328314</v>
      </c>
      <c r="Y26" s="221">
        <f t="shared" si="1"/>
        <v>9475.7163977834934</v>
      </c>
      <c r="Z26" s="221">
        <f t="shared" si="1"/>
        <v>9523.0949797724097</v>
      </c>
    </row>
    <row r="27" spans="2:26" x14ac:dyDescent="0.3">
      <c r="B27" s="199" t="s">
        <v>202</v>
      </c>
      <c r="C27" s="194">
        <f>INDEX(ExistingStoreTable,MATCH($B27,ExistingStoreRow,0),MATCH($C$5,ExistingStoreColumn,0))/4</f>
        <v>83317</v>
      </c>
      <c r="D27" s="204">
        <f t="shared" si="2"/>
        <v>0.28999999999999998</v>
      </c>
      <c r="E27" s="227"/>
      <c r="G27" s="222">
        <f>SUM(G25:G26)</f>
        <v>83733.584999999992</v>
      </c>
      <c r="H27" s="222">
        <f t="shared" ref="H27:Z27" si="8">SUM(H25:H26)</f>
        <v>84152.252924999979</v>
      </c>
      <c r="I27" s="222">
        <f t="shared" si="8"/>
        <v>84573.014189624984</v>
      </c>
      <c r="J27" s="222">
        <f t="shared" si="8"/>
        <v>84995.8792605731</v>
      </c>
      <c r="K27" s="222">
        <f t="shared" si="8"/>
        <v>85420.858656875964</v>
      </c>
      <c r="L27" s="222">
        <f t="shared" si="8"/>
        <v>85847.962950160334</v>
      </c>
      <c r="M27" s="222">
        <f t="shared" si="8"/>
        <v>86277.202764911126</v>
      </c>
      <c r="N27" s="222">
        <f t="shared" si="8"/>
        <v>86708.588778735662</v>
      </c>
      <c r="O27" s="222">
        <f t="shared" si="8"/>
        <v>87142.131722629332</v>
      </c>
      <c r="P27" s="222">
        <f t="shared" si="8"/>
        <v>87577.842381242459</v>
      </c>
      <c r="Q27" s="222">
        <f t="shared" si="8"/>
        <v>88015.731593148666</v>
      </c>
      <c r="R27" s="222">
        <f t="shared" si="8"/>
        <v>88455.810251114395</v>
      </c>
      <c r="S27" s="222">
        <f t="shared" si="8"/>
        <v>88898.089302369975</v>
      </c>
      <c r="T27" s="222">
        <f t="shared" si="8"/>
        <v>89342.579748881806</v>
      </c>
      <c r="U27" s="222">
        <f t="shared" si="8"/>
        <v>89789.292647626193</v>
      </c>
      <c r="V27" s="222">
        <f t="shared" si="8"/>
        <v>90238.239110864321</v>
      </c>
      <c r="W27" s="222">
        <f t="shared" si="8"/>
        <v>90689.430306418639</v>
      </c>
      <c r="X27" s="222">
        <f t="shared" si="8"/>
        <v>91142.877457950701</v>
      </c>
      <c r="Y27" s="222">
        <f t="shared" si="8"/>
        <v>91598.591845240444</v>
      </c>
      <c r="Z27" s="222">
        <f t="shared" si="8"/>
        <v>92056.584804466635</v>
      </c>
    </row>
    <row r="28" spans="2:26" x14ac:dyDescent="0.3">
      <c r="C28" s="192"/>
      <c r="D28" s="203"/>
      <c r="E28" s="227"/>
      <c r="G28" s="221"/>
      <c r="H28" s="221"/>
      <c r="I28" s="221"/>
      <c r="J28" s="221"/>
      <c r="K28" s="221"/>
      <c r="L28" s="221"/>
      <c r="M28" s="221"/>
      <c r="N28" s="221"/>
      <c r="O28" s="221"/>
      <c r="P28" s="221"/>
      <c r="Q28" s="221"/>
      <c r="R28" s="221"/>
      <c r="S28" s="221"/>
      <c r="T28" s="221"/>
      <c r="U28" s="221"/>
      <c r="V28" s="221"/>
      <c r="W28" s="221"/>
      <c r="X28" s="221"/>
      <c r="Y28" s="221"/>
      <c r="Z28" s="221"/>
    </row>
    <row r="29" spans="2:26" x14ac:dyDescent="0.3">
      <c r="B29" s="163" t="s">
        <v>73</v>
      </c>
      <c r="C29" s="192">
        <f t="shared" ref="C29:C34" si="9">INDEX(ExistingStoreTable,MATCH($B29,ExistingStoreRow,0),MATCH($C$5,ExistingStoreColumn,0))/4</f>
        <v>4309.5</v>
      </c>
      <c r="D29" s="203">
        <f t="shared" si="2"/>
        <v>1.4999999999999999E-2</v>
      </c>
      <c r="E29" s="225" t="str">
        <f>VLOOKUP($B29,Inputs!$B$60:$C$76,2,FALSE)</f>
        <v>Variable</v>
      </c>
      <c r="G29" s="221">
        <f t="shared" si="5"/>
        <v>4331.0474999999988</v>
      </c>
      <c r="H29" s="221">
        <f t="shared" si="5"/>
        <v>4352.7027374999989</v>
      </c>
      <c r="I29" s="221">
        <f t="shared" si="5"/>
        <v>4374.4662511874985</v>
      </c>
      <c r="J29" s="221">
        <f t="shared" si="5"/>
        <v>4396.3385824434354</v>
      </c>
      <c r="K29" s="221">
        <f t="shared" si="5"/>
        <v>4418.3202753556525</v>
      </c>
      <c r="L29" s="221">
        <f t="shared" si="5"/>
        <v>4440.4118767324308</v>
      </c>
      <c r="M29" s="221">
        <f t="shared" si="5"/>
        <v>4462.6139361160922</v>
      </c>
      <c r="N29" s="221">
        <f t="shared" si="5"/>
        <v>4484.9270057966723</v>
      </c>
      <c r="O29" s="221">
        <f t="shared" si="5"/>
        <v>4507.3516408256546</v>
      </c>
      <c r="P29" s="221">
        <f t="shared" si="5"/>
        <v>4529.8883990297827</v>
      </c>
      <c r="Q29" s="221">
        <f t="shared" si="5"/>
        <v>4552.5378410249314</v>
      </c>
      <c r="R29" s="221">
        <f t="shared" si="5"/>
        <v>4575.3005302300544</v>
      </c>
      <c r="S29" s="221">
        <f t="shared" si="5"/>
        <v>4598.1770328812045</v>
      </c>
      <c r="T29" s="221">
        <f t="shared" si="5"/>
        <v>4621.1679180456103</v>
      </c>
      <c r="U29" s="221">
        <f t="shared" si="5"/>
        <v>4644.2737576358377</v>
      </c>
      <c r="V29" s="221">
        <f t="shared" si="5"/>
        <v>4667.4951264240162</v>
      </c>
      <c r="W29" s="221">
        <f t="shared" ref="W29:Z37" si="10">IF($E29="Variable",W$10*$D29,$C29)</f>
        <v>4690.8326020561353</v>
      </c>
      <c r="X29" s="221">
        <f t="shared" si="10"/>
        <v>4714.2867650664157</v>
      </c>
      <c r="Y29" s="221">
        <f t="shared" si="10"/>
        <v>4737.8581988917467</v>
      </c>
      <c r="Z29" s="221">
        <f t="shared" si="10"/>
        <v>4761.5474898862049</v>
      </c>
    </row>
    <row r="30" spans="2:26" x14ac:dyDescent="0.3">
      <c r="B30" s="163" t="s">
        <v>74</v>
      </c>
      <c r="C30" s="192">
        <f t="shared" si="9"/>
        <v>5746</v>
      </c>
      <c r="D30" s="203">
        <f t="shared" si="2"/>
        <v>0.02</v>
      </c>
      <c r="E30" s="225" t="str">
        <f>VLOOKUP($B30,Inputs!$B$60:$C$76,2,FALSE)</f>
        <v>Variable</v>
      </c>
      <c r="G30" s="221">
        <f t="shared" si="5"/>
        <v>5774.7299999999987</v>
      </c>
      <c r="H30" s="221">
        <f t="shared" si="5"/>
        <v>5803.6036499999991</v>
      </c>
      <c r="I30" s="221">
        <f t="shared" si="5"/>
        <v>5832.6216682499989</v>
      </c>
      <c r="J30" s="221">
        <f t="shared" si="5"/>
        <v>5861.7847765912475</v>
      </c>
      <c r="K30" s="221">
        <f t="shared" si="5"/>
        <v>5891.0937004742036</v>
      </c>
      <c r="L30" s="221">
        <f t="shared" si="5"/>
        <v>5920.5491689765749</v>
      </c>
      <c r="M30" s="221">
        <f t="shared" si="5"/>
        <v>5950.1519148214566</v>
      </c>
      <c r="N30" s="221">
        <f t="shared" si="5"/>
        <v>5979.9026743955628</v>
      </c>
      <c r="O30" s="221">
        <f t="shared" si="5"/>
        <v>6009.8021877675401</v>
      </c>
      <c r="P30" s="221">
        <f t="shared" si="5"/>
        <v>6039.8511987063766</v>
      </c>
      <c r="Q30" s="221">
        <f t="shared" si="5"/>
        <v>6070.0504546999082</v>
      </c>
      <c r="R30" s="221">
        <f t="shared" si="5"/>
        <v>6100.4007069734062</v>
      </c>
      <c r="S30" s="221">
        <f t="shared" si="5"/>
        <v>6130.9027105082732</v>
      </c>
      <c r="T30" s="221">
        <f t="shared" si="5"/>
        <v>6161.5572240608144</v>
      </c>
      <c r="U30" s="221">
        <f t="shared" si="5"/>
        <v>6192.3650101811172</v>
      </c>
      <c r="V30" s="221">
        <f t="shared" si="5"/>
        <v>6223.3268352320219</v>
      </c>
      <c r="W30" s="221">
        <f t="shared" si="10"/>
        <v>6254.443469408181</v>
      </c>
      <c r="X30" s="221">
        <f t="shared" si="10"/>
        <v>6285.7156867552212</v>
      </c>
      <c r="Y30" s="221">
        <f t="shared" si="10"/>
        <v>6317.1442651889965</v>
      </c>
      <c r="Z30" s="221">
        <f t="shared" si="10"/>
        <v>6348.7299865149407</v>
      </c>
    </row>
    <row r="31" spans="2:26" x14ac:dyDescent="0.3">
      <c r="B31" s="163" t="s">
        <v>75</v>
      </c>
      <c r="C31" s="192">
        <f t="shared" si="9"/>
        <v>2011.1000000000001</v>
      </c>
      <c r="D31" s="203">
        <f t="shared" si="2"/>
        <v>7.0000000000000001E-3</v>
      </c>
      <c r="E31" s="225" t="str">
        <f>VLOOKUP($B31,Inputs!$B$60:$C$76,2,FALSE)</f>
        <v>Variable</v>
      </c>
      <c r="G31" s="221">
        <f t="shared" si="5"/>
        <v>2021.1554999999996</v>
      </c>
      <c r="H31" s="221">
        <f t="shared" si="5"/>
        <v>2031.2612774999996</v>
      </c>
      <c r="I31" s="221">
        <f t="shared" si="5"/>
        <v>2041.4175838874994</v>
      </c>
      <c r="J31" s="221">
        <f t="shared" si="5"/>
        <v>2051.6246718069369</v>
      </c>
      <c r="K31" s="221">
        <f t="shared" si="5"/>
        <v>2061.8827951659714</v>
      </c>
      <c r="L31" s="221">
        <f t="shared" si="5"/>
        <v>2072.192209141801</v>
      </c>
      <c r="M31" s="221">
        <f t="shared" si="5"/>
        <v>2082.5531701875097</v>
      </c>
      <c r="N31" s="221">
        <f t="shared" si="5"/>
        <v>2092.9659360384471</v>
      </c>
      <c r="O31" s="221">
        <f t="shared" si="5"/>
        <v>2103.4307657186391</v>
      </c>
      <c r="P31" s="221">
        <f t="shared" si="5"/>
        <v>2113.9479195472318</v>
      </c>
      <c r="Q31" s="221">
        <f t="shared" si="5"/>
        <v>2124.5176591449681</v>
      </c>
      <c r="R31" s="221">
        <f t="shared" si="5"/>
        <v>2135.1402474406923</v>
      </c>
      <c r="S31" s="221">
        <f t="shared" si="5"/>
        <v>2145.8159486778959</v>
      </c>
      <c r="T31" s="221">
        <f t="shared" si="5"/>
        <v>2156.5450284212848</v>
      </c>
      <c r="U31" s="221">
        <f t="shared" si="5"/>
        <v>2167.3277535633911</v>
      </c>
      <c r="V31" s="221">
        <f t="shared" si="5"/>
        <v>2178.1643923312076</v>
      </c>
      <c r="W31" s="221">
        <f t="shared" si="10"/>
        <v>2189.0552142928636</v>
      </c>
      <c r="X31" s="221">
        <f t="shared" si="10"/>
        <v>2200.0004903643276</v>
      </c>
      <c r="Y31" s="221">
        <f t="shared" si="10"/>
        <v>2211.0004928161488</v>
      </c>
      <c r="Z31" s="221">
        <f t="shared" si="10"/>
        <v>2222.055495280229</v>
      </c>
    </row>
    <row r="32" spans="2:26" x14ac:dyDescent="0.3">
      <c r="B32" s="163" t="s">
        <v>76</v>
      </c>
      <c r="C32" s="192">
        <f t="shared" si="9"/>
        <v>4000</v>
      </c>
      <c r="D32" s="203">
        <f t="shared" si="2"/>
        <v>1.3922728854855551E-2</v>
      </c>
      <c r="E32" s="225" t="str">
        <f>VLOOKUP($B32,Inputs!$B$60:$C$76,2,FALSE)</f>
        <v>Fixed</v>
      </c>
      <c r="G32" s="221">
        <f t="shared" si="5"/>
        <v>4000</v>
      </c>
      <c r="H32" s="221">
        <f t="shared" si="5"/>
        <v>4000</v>
      </c>
      <c r="I32" s="221">
        <f t="shared" si="5"/>
        <v>4000</v>
      </c>
      <c r="J32" s="221">
        <f t="shared" si="5"/>
        <v>4000</v>
      </c>
      <c r="K32" s="221">
        <f t="shared" si="5"/>
        <v>4000</v>
      </c>
      <c r="L32" s="221">
        <f t="shared" si="5"/>
        <v>4000</v>
      </c>
      <c r="M32" s="221">
        <f t="shared" si="5"/>
        <v>4000</v>
      </c>
      <c r="N32" s="221">
        <f t="shared" si="5"/>
        <v>4000</v>
      </c>
      <c r="O32" s="221">
        <f t="shared" si="5"/>
        <v>4000</v>
      </c>
      <c r="P32" s="221">
        <f t="shared" si="5"/>
        <v>4000</v>
      </c>
      <c r="Q32" s="221">
        <f t="shared" si="5"/>
        <v>4000</v>
      </c>
      <c r="R32" s="221">
        <f t="shared" si="5"/>
        <v>4000</v>
      </c>
      <c r="S32" s="221">
        <f t="shared" si="5"/>
        <v>4000</v>
      </c>
      <c r="T32" s="221">
        <f t="shared" si="5"/>
        <v>4000</v>
      </c>
      <c r="U32" s="221">
        <f t="shared" si="5"/>
        <v>4000</v>
      </c>
      <c r="V32" s="221">
        <f t="shared" si="5"/>
        <v>4000</v>
      </c>
      <c r="W32" s="221">
        <f t="shared" si="10"/>
        <v>4000</v>
      </c>
      <c r="X32" s="221">
        <f t="shared" si="10"/>
        <v>4000</v>
      </c>
      <c r="Y32" s="221">
        <f t="shared" si="10"/>
        <v>4000</v>
      </c>
      <c r="Z32" s="221">
        <f t="shared" si="10"/>
        <v>4000</v>
      </c>
    </row>
    <row r="33" spans="2:26" x14ac:dyDescent="0.3">
      <c r="B33" s="163" t="s">
        <v>43</v>
      </c>
      <c r="C33" s="192">
        <f t="shared" si="9"/>
        <v>20750</v>
      </c>
      <c r="D33" s="203">
        <f t="shared" si="2"/>
        <v>7.2224155934563175E-2</v>
      </c>
      <c r="E33" s="225" t="str">
        <f>VLOOKUP($B33,Inputs!$B$60:$C$76,2,FALSE)</f>
        <v>Fixed</v>
      </c>
      <c r="G33" s="221">
        <f t="shared" si="5"/>
        <v>20750</v>
      </c>
      <c r="H33" s="221">
        <f t="shared" si="5"/>
        <v>20750</v>
      </c>
      <c r="I33" s="221">
        <f t="shared" si="5"/>
        <v>20750</v>
      </c>
      <c r="J33" s="221">
        <f t="shared" si="5"/>
        <v>20750</v>
      </c>
      <c r="K33" s="221">
        <f t="shared" si="5"/>
        <v>20750</v>
      </c>
      <c r="L33" s="221">
        <f t="shared" si="5"/>
        <v>20750</v>
      </c>
      <c r="M33" s="221">
        <f t="shared" si="5"/>
        <v>20750</v>
      </c>
      <c r="N33" s="221">
        <f t="shared" si="5"/>
        <v>20750</v>
      </c>
      <c r="O33" s="221">
        <f t="shared" si="5"/>
        <v>20750</v>
      </c>
      <c r="P33" s="221">
        <f t="shared" si="5"/>
        <v>20750</v>
      </c>
      <c r="Q33" s="221">
        <f t="shared" si="5"/>
        <v>20750</v>
      </c>
      <c r="R33" s="221">
        <f t="shared" si="5"/>
        <v>20750</v>
      </c>
      <c r="S33" s="221">
        <f t="shared" si="5"/>
        <v>20750</v>
      </c>
      <c r="T33" s="221">
        <f t="shared" si="5"/>
        <v>20750</v>
      </c>
      <c r="U33" s="221">
        <f t="shared" si="5"/>
        <v>20750</v>
      </c>
      <c r="V33" s="221">
        <f t="shared" si="5"/>
        <v>20750</v>
      </c>
      <c r="W33" s="221">
        <f t="shared" si="10"/>
        <v>20750</v>
      </c>
      <c r="X33" s="221">
        <f t="shared" si="10"/>
        <v>20750</v>
      </c>
      <c r="Y33" s="221">
        <f t="shared" si="10"/>
        <v>20750</v>
      </c>
      <c r="Z33" s="221">
        <f t="shared" si="10"/>
        <v>20750</v>
      </c>
    </row>
    <row r="34" spans="2:26" x14ac:dyDescent="0.3">
      <c r="B34" s="199" t="s">
        <v>203</v>
      </c>
      <c r="C34" s="194">
        <f t="shared" si="9"/>
        <v>36816.6</v>
      </c>
      <c r="D34" s="204">
        <f t="shared" si="2"/>
        <v>0.12814688478941871</v>
      </c>
      <c r="E34" s="227"/>
      <c r="G34" s="222">
        <f>SUM(G29:G33)</f>
        <v>36876.932999999997</v>
      </c>
      <c r="H34" s="222">
        <f t="shared" ref="H34:Z34" si="11">SUM(H29:H33)</f>
        <v>36937.567664999995</v>
      </c>
      <c r="I34" s="222">
        <f t="shared" si="11"/>
        <v>36998.505503324996</v>
      </c>
      <c r="J34" s="222">
        <f t="shared" si="11"/>
        <v>37059.74803084162</v>
      </c>
      <c r="K34" s="222">
        <f t="shared" si="11"/>
        <v>37121.296770995825</v>
      </c>
      <c r="L34" s="222">
        <f t="shared" si="11"/>
        <v>37183.153254850811</v>
      </c>
      <c r="M34" s="222">
        <f t="shared" si="11"/>
        <v>37245.319021125062</v>
      </c>
      <c r="N34" s="222">
        <f t="shared" si="11"/>
        <v>37307.79561623068</v>
      </c>
      <c r="O34" s="222">
        <f t="shared" si="11"/>
        <v>37370.584594311833</v>
      </c>
      <c r="P34" s="222">
        <f t="shared" si="11"/>
        <v>37433.68751728339</v>
      </c>
      <c r="Q34" s="222">
        <f t="shared" si="11"/>
        <v>37497.10595486981</v>
      </c>
      <c r="R34" s="222">
        <f t="shared" si="11"/>
        <v>37560.841484644152</v>
      </c>
      <c r="S34" s="222">
        <f t="shared" si="11"/>
        <v>37624.895692067374</v>
      </c>
      <c r="T34" s="222">
        <f t="shared" si="11"/>
        <v>37689.270170527714</v>
      </c>
      <c r="U34" s="222">
        <f t="shared" si="11"/>
        <v>37753.966521380346</v>
      </c>
      <c r="V34" s="222">
        <f t="shared" si="11"/>
        <v>37818.986353987246</v>
      </c>
      <c r="W34" s="222">
        <f t="shared" si="11"/>
        <v>37884.33128575718</v>
      </c>
      <c r="X34" s="222">
        <f t="shared" si="11"/>
        <v>37950.002942185965</v>
      </c>
      <c r="Y34" s="222">
        <f t="shared" si="11"/>
        <v>38016.002956896889</v>
      </c>
      <c r="Z34" s="222">
        <f t="shared" si="11"/>
        <v>38082.332971681375</v>
      </c>
    </row>
    <row r="35" spans="2:26" x14ac:dyDescent="0.3">
      <c r="C35" s="192"/>
      <c r="D35" s="203"/>
      <c r="E35" s="227"/>
      <c r="G35" s="221"/>
      <c r="H35" s="221"/>
      <c r="I35" s="221"/>
      <c r="J35" s="221"/>
      <c r="K35" s="221"/>
      <c r="L35" s="221"/>
      <c r="M35" s="221"/>
      <c r="N35" s="221"/>
      <c r="O35" s="221"/>
      <c r="P35" s="221"/>
      <c r="Q35" s="221"/>
      <c r="R35" s="221"/>
      <c r="S35" s="221"/>
      <c r="T35" s="221"/>
      <c r="U35" s="221"/>
      <c r="V35" s="221"/>
      <c r="W35" s="221"/>
      <c r="X35" s="221"/>
      <c r="Y35" s="221"/>
      <c r="Z35" s="221"/>
    </row>
    <row r="36" spans="2:26" x14ac:dyDescent="0.3">
      <c r="B36" s="163" t="s">
        <v>42</v>
      </c>
      <c r="C36" s="192">
        <f>INDEX(ExistingStoreTable,MATCH($B36,ExistingStoreRow,0),MATCH($C$5,ExistingStoreColumn,0))/4</f>
        <v>25000</v>
      </c>
      <c r="D36" s="203">
        <f t="shared" si="2"/>
        <v>8.7017055342847205E-2</v>
      </c>
      <c r="E36" s="225" t="str">
        <f>VLOOKUP($B36,Inputs!$B$60:$C$76,2,FALSE)</f>
        <v>Fixed</v>
      </c>
      <c r="G36" s="221">
        <f t="shared" si="5"/>
        <v>25000</v>
      </c>
      <c r="H36" s="221">
        <f t="shared" si="5"/>
        <v>25000</v>
      </c>
      <c r="I36" s="221">
        <f t="shared" si="5"/>
        <v>25000</v>
      </c>
      <c r="J36" s="221">
        <f t="shared" si="5"/>
        <v>25000</v>
      </c>
      <c r="K36" s="221">
        <f t="shared" si="5"/>
        <v>25000</v>
      </c>
      <c r="L36" s="221">
        <f t="shared" si="5"/>
        <v>25000</v>
      </c>
      <c r="M36" s="221">
        <f t="shared" si="5"/>
        <v>25000</v>
      </c>
      <c r="N36" s="221">
        <f t="shared" si="5"/>
        <v>25000</v>
      </c>
      <c r="O36" s="221">
        <f t="shared" si="5"/>
        <v>25000</v>
      </c>
      <c r="P36" s="221">
        <f t="shared" si="5"/>
        <v>25000</v>
      </c>
      <c r="Q36" s="221">
        <f t="shared" si="5"/>
        <v>25000</v>
      </c>
      <c r="R36" s="221">
        <f t="shared" si="5"/>
        <v>25000</v>
      </c>
      <c r="S36" s="221">
        <f t="shared" si="5"/>
        <v>25000</v>
      </c>
      <c r="T36" s="221">
        <f t="shared" si="5"/>
        <v>25000</v>
      </c>
      <c r="U36" s="221">
        <f t="shared" si="5"/>
        <v>25000</v>
      </c>
      <c r="V36" s="221">
        <f t="shared" si="5"/>
        <v>25000</v>
      </c>
      <c r="W36" s="221">
        <f t="shared" si="10"/>
        <v>25000</v>
      </c>
      <c r="X36" s="221">
        <f t="shared" si="10"/>
        <v>25000</v>
      </c>
      <c r="Y36" s="221">
        <f t="shared" si="10"/>
        <v>25000</v>
      </c>
      <c r="Z36" s="221">
        <f t="shared" si="10"/>
        <v>25000</v>
      </c>
    </row>
    <row r="37" spans="2:26" x14ac:dyDescent="0.3">
      <c r="B37" s="163" t="s">
        <v>77</v>
      </c>
      <c r="C37" s="192">
        <f>INDEX(ExistingStoreTable,MATCH($B37,ExistingStoreRow,0),MATCH($C$5,ExistingStoreColumn,0))/4</f>
        <v>7500</v>
      </c>
      <c r="D37" s="203">
        <f t="shared" si="2"/>
        <v>2.610511660285416E-2</v>
      </c>
      <c r="E37" s="225" t="str">
        <f>VLOOKUP($B37,Inputs!$B$60:$C$76,2,FALSE)</f>
        <v>Fixed</v>
      </c>
      <c r="G37" s="221">
        <f t="shared" si="5"/>
        <v>7500</v>
      </c>
      <c r="H37" s="221">
        <f t="shared" si="5"/>
        <v>7500</v>
      </c>
      <c r="I37" s="221">
        <f t="shared" si="5"/>
        <v>7500</v>
      </c>
      <c r="J37" s="221">
        <f t="shared" si="5"/>
        <v>7500</v>
      </c>
      <c r="K37" s="221">
        <f t="shared" si="5"/>
        <v>7500</v>
      </c>
      <c r="L37" s="221">
        <f t="shared" si="5"/>
        <v>7500</v>
      </c>
      <c r="M37" s="221">
        <f t="shared" si="5"/>
        <v>7500</v>
      </c>
      <c r="N37" s="221">
        <f t="shared" si="5"/>
        <v>7500</v>
      </c>
      <c r="O37" s="221">
        <f t="shared" si="5"/>
        <v>7500</v>
      </c>
      <c r="P37" s="221">
        <f t="shared" si="5"/>
        <v>7500</v>
      </c>
      <c r="Q37" s="221">
        <f t="shared" si="5"/>
        <v>7500</v>
      </c>
      <c r="R37" s="221">
        <f t="shared" si="5"/>
        <v>7500</v>
      </c>
      <c r="S37" s="221">
        <f t="shared" si="5"/>
        <v>7500</v>
      </c>
      <c r="T37" s="221">
        <f t="shared" si="5"/>
        <v>7500</v>
      </c>
      <c r="U37" s="221">
        <f t="shared" si="5"/>
        <v>7500</v>
      </c>
      <c r="V37" s="221">
        <f t="shared" si="5"/>
        <v>7500</v>
      </c>
      <c r="W37" s="221">
        <f t="shared" si="10"/>
        <v>7500</v>
      </c>
      <c r="X37" s="221">
        <f t="shared" si="10"/>
        <v>7500</v>
      </c>
      <c r="Y37" s="221">
        <f t="shared" si="10"/>
        <v>7500</v>
      </c>
      <c r="Z37" s="221">
        <f t="shared" si="10"/>
        <v>7500</v>
      </c>
    </row>
    <row r="38" spans="2:26" x14ac:dyDescent="0.3">
      <c r="B38" s="199" t="s">
        <v>204</v>
      </c>
      <c r="C38" s="194">
        <f>INDEX(ExistingStoreTable,MATCH($B38,ExistingStoreRow,0),MATCH($C$5,ExistingStoreColumn,0))/4</f>
        <v>32500</v>
      </c>
      <c r="D38" s="204">
        <f t="shared" si="2"/>
        <v>0.11312217194570136</v>
      </c>
      <c r="E38" s="227"/>
      <c r="G38" s="222">
        <f>SUM(G36:G37)</f>
        <v>32500</v>
      </c>
      <c r="H38" s="222">
        <f t="shared" ref="H38:Z38" si="12">SUM(H36:H37)</f>
        <v>32500</v>
      </c>
      <c r="I38" s="222">
        <f t="shared" si="12"/>
        <v>32500</v>
      </c>
      <c r="J38" s="222">
        <f t="shared" si="12"/>
        <v>32500</v>
      </c>
      <c r="K38" s="222">
        <f t="shared" si="12"/>
        <v>32500</v>
      </c>
      <c r="L38" s="222">
        <f t="shared" si="12"/>
        <v>32500</v>
      </c>
      <c r="M38" s="222">
        <f t="shared" si="12"/>
        <v>32500</v>
      </c>
      <c r="N38" s="222">
        <f t="shared" si="12"/>
        <v>32500</v>
      </c>
      <c r="O38" s="222">
        <f t="shared" si="12"/>
        <v>32500</v>
      </c>
      <c r="P38" s="222">
        <f t="shared" si="12"/>
        <v>32500</v>
      </c>
      <c r="Q38" s="222">
        <f t="shared" si="12"/>
        <v>32500</v>
      </c>
      <c r="R38" s="222">
        <f t="shared" si="12"/>
        <v>32500</v>
      </c>
      <c r="S38" s="222">
        <f t="shared" si="12"/>
        <v>32500</v>
      </c>
      <c r="T38" s="222">
        <f t="shared" si="12"/>
        <v>32500</v>
      </c>
      <c r="U38" s="222">
        <f t="shared" si="12"/>
        <v>32500</v>
      </c>
      <c r="V38" s="222">
        <f t="shared" si="12"/>
        <v>32500</v>
      </c>
      <c r="W38" s="222">
        <f t="shared" si="12"/>
        <v>32500</v>
      </c>
      <c r="X38" s="222">
        <f t="shared" si="12"/>
        <v>32500</v>
      </c>
      <c r="Y38" s="222">
        <f t="shared" si="12"/>
        <v>32500</v>
      </c>
      <c r="Z38" s="222">
        <f t="shared" si="12"/>
        <v>32500</v>
      </c>
    </row>
    <row r="39" spans="2:26" x14ac:dyDescent="0.3">
      <c r="C39" s="192"/>
      <c r="D39" s="203"/>
      <c r="E39" s="227"/>
      <c r="G39" s="221"/>
      <c r="H39" s="221"/>
      <c r="I39" s="221"/>
      <c r="J39" s="221"/>
      <c r="K39" s="221"/>
      <c r="L39" s="221"/>
      <c r="M39" s="221"/>
      <c r="N39" s="221"/>
      <c r="O39" s="221"/>
      <c r="P39" s="221"/>
      <c r="Q39" s="221"/>
      <c r="R39" s="221"/>
      <c r="S39" s="221"/>
      <c r="T39" s="221"/>
      <c r="U39" s="221"/>
      <c r="V39" s="221"/>
      <c r="W39" s="221"/>
      <c r="X39" s="221"/>
      <c r="Y39" s="221"/>
      <c r="Z39" s="221"/>
    </row>
    <row r="40" spans="2:26" ht="14.5" thickBot="1" x14ac:dyDescent="0.35">
      <c r="B40" s="202" t="s">
        <v>205</v>
      </c>
      <c r="C40" s="254">
        <f>INDEX(ExistingStoreTable,MATCH($B40,ExistingStoreRow,0),MATCH($C$5,ExistingStoreColumn,0))/4</f>
        <v>-17991.608</v>
      </c>
      <c r="D40" s="206">
        <f t="shared" si="2"/>
        <v>-6.2623069961712491E-2</v>
      </c>
      <c r="E40" s="227"/>
      <c r="G40" s="224">
        <f>G10-G23-G27-G34-G38</f>
        <v>-17766.566040000012</v>
      </c>
      <c r="H40" s="224">
        <f t="shared" ref="H40:Z40" si="13">H10-H23-H27-H34-H38</f>
        <v>-17540.398870200021</v>
      </c>
      <c r="I40" s="224">
        <f t="shared" si="13"/>
        <v>-17313.100864551001</v>
      </c>
      <c r="J40" s="224">
        <f t="shared" si="13"/>
        <v>-17084.666368873768</v>
      </c>
      <c r="K40" s="224">
        <f t="shared" si="13"/>
        <v>-16855.089700718141</v>
      </c>
      <c r="L40" s="224">
        <f t="shared" si="13"/>
        <v>-16624.365149221732</v>
      </c>
      <c r="M40" s="224">
        <f t="shared" si="13"/>
        <v>-16392.486974967833</v>
      </c>
      <c r="N40" s="224">
        <f t="shared" si="13"/>
        <v>-16159.44940984268</v>
      </c>
      <c r="O40" s="224">
        <f t="shared" si="13"/>
        <v>-15925.246656891919</v>
      </c>
      <c r="P40" s="224">
        <f t="shared" si="13"/>
        <v>-15689.872890176361</v>
      </c>
      <c r="Q40" s="224">
        <f t="shared" si="13"/>
        <v>-15453.322254627259</v>
      </c>
      <c r="R40" s="224">
        <f t="shared" si="13"/>
        <v>-15215.588865900405</v>
      </c>
      <c r="S40" s="224">
        <f t="shared" si="13"/>
        <v>-14976.666810229923</v>
      </c>
      <c r="T40" s="224">
        <f t="shared" si="13"/>
        <v>-14736.550144281093</v>
      </c>
      <c r="U40" s="224">
        <f t="shared" si="13"/>
        <v>-14495.232895002489</v>
      </c>
      <c r="V40" s="224">
        <f t="shared" si="13"/>
        <v>-14252.709059477493</v>
      </c>
      <c r="W40" s="224">
        <f t="shared" si="13"/>
        <v>-14008.972604774906</v>
      </c>
      <c r="X40" s="224">
        <f t="shared" si="13"/>
        <v>-13764.017467798782</v>
      </c>
      <c r="Y40" s="224">
        <f t="shared" si="13"/>
        <v>-13517.837555137769</v>
      </c>
      <c r="Z40" s="224">
        <f t="shared" si="13"/>
        <v>-13270.426742913463</v>
      </c>
    </row>
    <row r="41" spans="2:26" ht="14.5" thickTop="1" x14ac:dyDescent="0.3"/>
  </sheetData>
  <dataValidations count="1">
    <dataValidation type="list" allowBlank="1" showInputMessage="1" showErrorMessage="1" sqref="C5">
      <formula1>StoreList</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Z41"/>
  <sheetViews>
    <sheetView topLeftCell="A2" zoomScale="83" zoomScaleNormal="83" workbookViewId="0">
      <pane xSplit="5" topLeftCell="F1" activePane="topRight" state="frozen"/>
      <selection pane="topRight" activeCell="A13" sqref="A13"/>
    </sheetView>
  </sheetViews>
  <sheetFormatPr defaultRowHeight="14" x14ac:dyDescent="0.3"/>
  <cols>
    <col min="1" max="1" width="3.7265625" style="163" customWidth="1"/>
    <col min="2" max="2" width="40.90625" style="163" bestFit="1" customWidth="1"/>
    <col min="3" max="3" width="10.453125" style="163" bestFit="1" customWidth="1"/>
    <col min="4" max="4" width="14.54296875" style="163" bestFit="1" customWidth="1"/>
    <col min="5" max="5" width="14.90625" style="163" bestFit="1" customWidth="1"/>
    <col min="6" max="6" width="2.7265625" style="163" customWidth="1"/>
    <col min="7" max="26" width="10.453125" style="163" bestFit="1" customWidth="1"/>
    <col min="27" max="16384" width="8.7265625" style="163"/>
  </cols>
  <sheetData>
    <row r="2" spans="2:26" x14ac:dyDescent="0.3">
      <c r="B2" s="165" t="s">
        <v>207</v>
      </c>
    </row>
    <row r="3" spans="2:26" x14ac:dyDescent="0.3">
      <c r="B3" s="165" t="s">
        <v>208</v>
      </c>
    </row>
    <row r="4" spans="2:26" x14ac:dyDescent="0.3">
      <c r="B4" s="165"/>
    </row>
    <row r="5" spans="2:26" x14ac:dyDescent="0.3">
      <c r="B5" s="250" t="s">
        <v>221</v>
      </c>
      <c r="C5" s="251" t="s">
        <v>83</v>
      </c>
    </row>
    <row r="6" spans="2:26" x14ac:dyDescent="0.3">
      <c r="B6" s="250" t="s">
        <v>222</v>
      </c>
      <c r="C6" s="192">
        <f>VLOOKUP($C$5,Inputs!$B$10:$C$15,2,FALSE)</f>
        <v>33700</v>
      </c>
    </row>
    <row r="7" spans="2:26" x14ac:dyDescent="0.3">
      <c r="B7" s="188" t="s">
        <v>209</v>
      </c>
      <c r="C7" s="193">
        <f>VLOOKUP($C$5,Inputs!$B$10:$D$14,3,FALSE)</f>
        <v>0.03</v>
      </c>
      <c r="E7" s="193"/>
    </row>
    <row r="8" spans="2:26" x14ac:dyDescent="0.3">
      <c r="B8" s="188"/>
      <c r="C8" s="200"/>
      <c r="G8" s="208" t="s">
        <v>6</v>
      </c>
      <c r="H8" s="209"/>
      <c r="I8" s="209"/>
      <c r="J8" s="209"/>
      <c r="K8" s="208" t="s">
        <v>7</v>
      </c>
      <c r="L8" s="209"/>
      <c r="M8" s="209"/>
      <c r="N8" s="209"/>
      <c r="O8" s="208" t="s">
        <v>8</v>
      </c>
      <c r="P8" s="209"/>
      <c r="Q8" s="209"/>
      <c r="R8" s="209"/>
      <c r="S8" s="208" t="s">
        <v>9</v>
      </c>
      <c r="T8" s="209"/>
      <c r="U8" s="209"/>
      <c r="V8" s="209"/>
      <c r="W8" s="208" t="s">
        <v>10</v>
      </c>
      <c r="X8" s="209"/>
      <c r="Y8" s="209"/>
      <c r="Z8" s="209"/>
    </row>
    <row r="9" spans="2:26" x14ac:dyDescent="0.3">
      <c r="C9" s="201" t="s">
        <v>210</v>
      </c>
      <c r="D9" s="201" t="s">
        <v>211</v>
      </c>
      <c r="E9" s="201" t="s">
        <v>212</v>
      </c>
      <c r="F9" s="201"/>
      <c r="G9" s="201" t="s">
        <v>11</v>
      </c>
      <c r="H9" s="201" t="s">
        <v>12</v>
      </c>
      <c r="I9" s="201" t="s">
        <v>13</v>
      </c>
      <c r="J9" s="201" t="s">
        <v>14</v>
      </c>
      <c r="K9" s="201" t="s">
        <v>11</v>
      </c>
      <c r="L9" s="201" t="s">
        <v>12</v>
      </c>
      <c r="M9" s="201" t="s">
        <v>13</v>
      </c>
      <c r="N9" s="201" t="s">
        <v>14</v>
      </c>
      <c r="O9" s="201" t="s">
        <v>11</v>
      </c>
      <c r="P9" s="201" t="s">
        <v>12</v>
      </c>
      <c r="Q9" s="201" t="s">
        <v>13</v>
      </c>
      <c r="R9" s="201" t="s">
        <v>14</v>
      </c>
      <c r="S9" s="201" t="s">
        <v>11</v>
      </c>
      <c r="T9" s="201" t="s">
        <v>12</v>
      </c>
      <c r="U9" s="201" t="s">
        <v>13</v>
      </c>
      <c r="V9" s="201" t="s">
        <v>14</v>
      </c>
      <c r="W9" s="201" t="s">
        <v>11</v>
      </c>
      <c r="X9" s="201" t="s">
        <v>12</v>
      </c>
      <c r="Y9" s="201" t="s">
        <v>13</v>
      </c>
      <c r="Z9" s="201" t="s">
        <v>14</v>
      </c>
    </row>
    <row r="10" spans="2:26" x14ac:dyDescent="0.3">
      <c r="B10" s="163" t="s">
        <v>15</v>
      </c>
      <c r="C10" s="192">
        <f>INDEX(ExistingStoreTable,MATCH($B10,ExistingStoreRow,0),MATCH($C$5,ExistingStoreColumn,0))/4</f>
        <v>438100</v>
      </c>
      <c r="D10" s="203"/>
      <c r="G10" s="221">
        <f>C10*((1+$C$7/4))</f>
        <v>441385.75</v>
      </c>
      <c r="H10" s="221">
        <f>G10*(1+$C$7/4)</f>
        <v>444696.143125</v>
      </c>
      <c r="I10" s="221">
        <f t="shared" ref="I10:Z10" si="0">H10*(1+$C$7/4)</f>
        <v>448031.36419843754</v>
      </c>
      <c r="J10" s="221">
        <f t="shared" si="0"/>
        <v>451391.59942992585</v>
      </c>
      <c r="K10" s="221">
        <f t="shared" si="0"/>
        <v>454777.03642565029</v>
      </c>
      <c r="L10" s="221">
        <f t="shared" si="0"/>
        <v>458187.86419884273</v>
      </c>
      <c r="M10" s="221">
        <f t="shared" si="0"/>
        <v>461624.27318033407</v>
      </c>
      <c r="N10" s="221">
        <f t="shared" si="0"/>
        <v>465086.45522918663</v>
      </c>
      <c r="O10" s="221">
        <f t="shared" si="0"/>
        <v>468574.60364340554</v>
      </c>
      <c r="P10" s="221">
        <f t="shared" si="0"/>
        <v>472088.9131707311</v>
      </c>
      <c r="Q10" s="221">
        <f t="shared" si="0"/>
        <v>475629.58001951163</v>
      </c>
      <c r="R10" s="221">
        <f t="shared" si="0"/>
        <v>479196.801869658</v>
      </c>
      <c r="S10" s="221">
        <f t="shared" si="0"/>
        <v>482790.77788368048</v>
      </c>
      <c r="T10" s="221">
        <f t="shared" si="0"/>
        <v>486411.70871780813</v>
      </c>
      <c r="U10" s="221">
        <f t="shared" si="0"/>
        <v>490059.79653319169</v>
      </c>
      <c r="V10" s="221">
        <f t="shared" si="0"/>
        <v>493735.24500719068</v>
      </c>
      <c r="W10" s="221">
        <f t="shared" si="0"/>
        <v>497438.25934474461</v>
      </c>
      <c r="X10" s="221">
        <f t="shared" si="0"/>
        <v>501169.04628983024</v>
      </c>
      <c r="Y10" s="221">
        <f t="shared" si="0"/>
        <v>504927.81413700397</v>
      </c>
      <c r="Z10" s="221">
        <f t="shared" si="0"/>
        <v>508714.7727430315</v>
      </c>
    </row>
    <row r="11" spans="2:26" x14ac:dyDescent="0.3">
      <c r="C11" s="192"/>
      <c r="D11" s="203"/>
      <c r="G11" s="210"/>
      <c r="H11" s="210"/>
      <c r="I11" s="210"/>
      <c r="J11" s="210"/>
      <c r="K11" s="210"/>
      <c r="L11" s="210"/>
      <c r="M11" s="210"/>
      <c r="N11" s="210"/>
      <c r="O11" s="210"/>
      <c r="P11" s="210"/>
      <c r="Q11" s="210"/>
      <c r="R11" s="210"/>
      <c r="S11" s="210"/>
      <c r="T11" s="210"/>
      <c r="U11" s="210"/>
      <c r="V11" s="210"/>
      <c r="W11" s="210"/>
      <c r="X11" s="210"/>
      <c r="Y11" s="210"/>
      <c r="Z11" s="210"/>
    </row>
    <row r="12" spans="2:26" x14ac:dyDescent="0.3">
      <c r="B12" s="163" t="s">
        <v>66</v>
      </c>
      <c r="C12" s="192">
        <f>INDEX(ExistingStoreTable,MATCH($B12,ExistingStoreRow,0),MATCH($C$5,ExistingStoreColumn,0))/4</f>
        <v>22000</v>
      </c>
      <c r="D12" s="203">
        <f>C12/$C$10</f>
        <v>5.0216845469070986E-2</v>
      </c>
      <c r="E12" s="225" t="str">
        <f>VLOOKUP($B12,Inputs!$B$60:$C$76,2,FALSE)</f>
        <v>Variable</v>
      </c>
      <c r="G12" s="221">
        <f>IF($E12="Variable",G$10*$D12,$C12)</f>
        <v>22165</v>
      </c>
      <c r="H12" s="221">
        <f t="shared" ref="H12:Z26" si="1">IF($E12="Variable",H$10*$D12,$C12)</f>
        <v>22331.237499999999</v>
      </c>
      <c r="I12" s="221">
        <f t="shared" si="1"/>
        <v>22498.721781250002</v>
      </c>
      <c r="J12" s="221">
        <f t="shared" si="1"/>
        <v>22667.462194609376</v>
      </c>
      <c r="K12" s="221">
        <f t="shared" si="1"/>
        <v>22837.468161068948</v>
      </c>
      <c r="L12" s="221">
        <f t="shared" si="1"/>
        <v>23008.749172276966</v>
      </c>
      <c r="M12" s="221">
        <f t="shared" si="1"/>
        <v>23181.314791069046</v>
      </c>
      <c r="N12" s="221">
        <f t="shared" si="1"/>
        <v>23355.174652002068</v>
      </c>
      <c r="O12" s="221">
        <f t="shared" si="1"/>
        <v>23530.338461892083</v>
      </c>
      <c r="P12" s="221">
        <f t="shared" si="1"/>
        <v>23706.816000356273</v>
      </c>
      <c r="Q12" s="221">
        <f t="shared" si="1"/>
        <v>23884.617120358947</v>
      </c>
      <c r="R12" s="221">
        <f t="shared" si="1"/>
        <v>24063.751748761642</v>
      </c>
      <c r="S12" s="221">
        <f t="shared" si="1"/>
        <v>24244.229886877358</v>
      </c>
      <c r="T12" s="221">
        <f t="shared" si="1"/>
        <v>24426.061611028941</v>
      </c>
      <c r="U12" s="221">
        <f t="shared" si="1"/>
        <v>24609.257073111658</v>
      </c>
      <c r="V12" s="221">
        <f t="shared" si="1"/>
        <v>24793.826501159998</v>
      </c>
      <c r="W12" s="221">
        <f t="shared" si="1"/>
        <v>24979.780199918696</v>
      </c>
      <c r="X12" s="221">
        <f t="shared" si="1"/>
        <v>25167.128551418089</v>
      </c>
      <c r="Y12" s="221">
        <f t="shared" si="1"/>
        <v>25355.882015553725</v>
      </c>
      <c r="Z12" s="221">
        <f t="shared" si="1"/>
        <v>25546.051130670377</v>
      </c>
    </row>
    <row r="13" spans="2:26" x14ac:dyDescent="0.3">
      <c r="B13" s="163" t="s">
        <v>69</v>
      </c>
      <c r="C13" s="192">
        <f>INDEX(ExistingStoreTable,MATCH($B13,ExistingStoreRow,0),MATCH($C$5,ExistingStoreColumn,0))/4</f>
        <v>101504</v>
      </c>
      <c r="D13" s="203">
        <f t="shared" ref="D13:D40" si="2">C13/$C$10</f>
        <v>0.23169139465875371</v>
      </c>
      <c r="E13" s="225" t="str">
        <f>VLOOKUP($B13,Inputs!$B$60:$C$76,2,FALSE)</f>
        <v>Variable</v>
      </c>
      <c r="G13" s="221">
        <f>IF($E13="Variable",G$10*$D13,$C13)</f>
        <v>102265.28</v>
      </c>
      <c r="H13" s="221">
        <f t="shared" si="1"/>
        <v>103032.2696</v>
      </c>
      <c r="I13" s="221">
        <f t="shared" si="1"/>
        <v>103805.01162200001</v>
      </c>
      <c r="J13" s="221">
        <f t="shared" si="1"/>
        <v>104583.54920916502</v>
      </c>
      <c r="K13" s="221">
        <f t="shared" si="1"/>
        <v>105367.92582823375</v>
      </c>
      <c r="L13" s="221">
        <f t="shared" si="1"/>
        <v>106158.18527194552</v>
      </c>
      <c r="M13" s="221">
        <f t="shared" si="1"/>
        <v>106954.37166148511</v>
      </c>
      <c r="N13" s="221">
        <f t="shared" si="1"/>
        <v>107756.52944894627</v>
      </c>
      <c r="O13" s="221">
        <f>IF($E13="Variable",O$10*$D13,$C13)</f>
        <v>108564.70341981336</v>
      </c>
      <c r="P13" s="221">
        <f t="shared" si="1"/>
        <v>109378.93869546197</v>
      </c>
      <c r="Q13" s="221">
        <f t="shared" si="1"/>
        <v>110199.28073567795</v>
      </c>
      <c r="R13" s="221">
        <f t="shared" si="1"/>
        <v>111025.77534119553</v>
      </c>
      <c r="S13" s="221">
        <f t="shared" si="1"/>
        <v>111858.46865625452</v>
      </c>
      <c r="T13" s="221">
        <f t="shared" si="1"/>
        <v>112697.40717117644</v>
      </c>
      <c r="U13" s="221">
        <f t="shared" si="1"/>
        <v>113542.63772496027</v>
      </c>
      <c r="V13" s="221">
        <f t="shared" si="1"/>
        <v>114394.20750789747</v>
      </c>
      <c r="W13" s="221">
        <f t="shared" si="1"/>
        <v>115252.16406420671</v>
      </c>
      <c r="X13" s="221">
        <f t="shared" si="1"/>
        <v>116116.55529468827</v>
      </c>
      <c r="Y13" s="221">
        <f t="shared" si="1"/>
        <v>116987.42945939842</v>
      </c>
      <c r="Z13" s="221">
        <f t="shared" si="1"/>
        <v>117864.83518034391</v>
      </c>
    </row>
    <row r="14" spans="2:26" x14ac:dyDescent="0.3">
      <c r="B14" s="199" t="s">
        <v>199</v>
      </c>
      <c r="C14" s="194">
        <f>INDEX(ExistingStoreTable,MATCH($B14,ExistingStoreRow,0),MATCH($C$5,ExistingStoreColumn,0))/4</f>
        <v>123504</v>
      </c>
      <c r="D14" s="204">
        <f t="shared" si="2"/>
        <v>0.28190824012782467</v>
      </c>
      <c r="E14" s="227"/>
      <c r="G14" s="222">
        <f>SUM(G12:G13)</f>
        <v>124430.28</v>
      </c>
      <c r="H14" s="222">
        <f t="shared" ref="H14:Z14" si="3">SUM(H12:H13)</f>
        <v>125363.5071</v>
      </c>
      <c r="I14" s="222">
        <f t="shared" si="3"/>
        <v>126303.73340325001</v>
      </c>
      <c r="J14" s="222">
        <f t="shared" si="3"/>
        <v>127251.01140377441</v>
      </c>
      <c r="K14" s="222">
        <f t="shared" si="3"/>
        <v>128205.3939893027</v>
      </c>
      <c r="L14" s="222">
        <f t="shared" si="3"/>
        <v>129166.93444422248</v>
      </c>
      <c r="M14" s="222">
        <f t="shared" si="3"/>
        <v>130135.68645255416</v>
      </c>
      <c r="N14" s="222">
        <f t="shared" si="3"/>
        <v>131111.70410094835</v>
      </c>
      <c r="O14" s="222">
        <f t="shared" si="3"/>
        <v>132095.04188170546</v>
      </c>
      <c r="P14" s="222">
        <f t="shared" si="3"/>
        <v>133085.75469581824</v>
      </c>
      <c r="Q14" s="222">
        <f t="shared" si="3"/>
        <v>134083.8978560369</v>
      </c>
      <c r="R14" s="222">
        <f t="shared" si="3"/>
        <v>135089.52708995718</v>
      </c>
      <c r="S14" s="222">
        <f t="shared" si="3"/>
        <v>136102.69854313188</v>
      </c>
      <c r="T14" s="222">
        <f t="shared" si="3"/>
        <v>137123.46878220537</v>
      </c>
      <c r="U14" s="222">
        <f t="shared" si="3"/>
        <v>138151.89479807194</v>
      </c>
      <c r="V14" s="222">
        <f t="shared" si="3"/>
        <v>139188.03400905748</v>
      </c>
      <c r="W14" s="222">
        <f t="shared" si="3"/>
        <v>140231.9442641254</v>
      </c>
      <c r="X14" s="222">
        <f t="shared" si="3"/>
        <v>141283.68384610635</v>
      </c>
      <c r="Y14" s="222">
        <f t="shared" si="3"/>
        <v>142343.31147495215</v>
      </c>
      <c r="Z14" s="222">
        <f t="shared" si="3"/>
        <v>143410.8863110143</v>
      </c>
    </row>
    <row r="15" spans="2:26" x14ac:dyDescent="0.3">
      <c r="C15" s="192"/>
      <c r="D15" s="203"/>
      <c r="E15" s="227"/>
      <c r="G15" s="221"/>
      <c r="H15" s="221"/>
      <c r="I15" s="221"/>
      <c r="J15" s="221"/>
      <c r="K15" s="221"/>
      <c r="L15" s="221"/>
      <c r="M15" s="221"/>
      <c r="N15" s="221"/>
      <c r="O15" s="221"/>
      <c r="P15" s="221"/>
      <c r="Q15" s="221"/>
      <c r="R15" s="221"/>
      <c r="S15" s="221"/>
      <c r="T15" s="221"/>
      <c r="U15" s="221"/>
      <c r="V15" s="221"/>
      <c r="W15" s="221"/>
      <c r="X15" s="221"/>
      <c r="Y15" s="221"/>
      <c r="Z15" s="221"/>
    </row>
    <row r="16" spans="2:26" x14ac:dyDescent="0.3">
      <c r="B16" s="163" t="s">
        <v>1</v>
      </c>
      <c r="C16" s="192">
        <f t="shared" ref="C16:C23" si="4">INDEX(ExistingStoreTable,MATCH($B16,ExistingStoreRow,0),MATCH($C$5,ExistingStoreColumn,0))/4</f>
        <v>9509.8079999999991</v>
      </c>
      <c r="D16" s="203">
        <f t="shared" si="2"/>
        <v>2.1706934489842501E-2</v>
      </c>
      <c r="E16" s="225" t="str">
        <f>VLOOKUP($B16,Inputs!$B$60:$C$76,2,FALSE)</f>
        <v>Variable</v>
      </c>
      <c r="G16" s="221">
        <f t="shared" ref="G16:V37" si="5">IF($E16="Variable",G$10*$D16,$C16)</f>
        <v>9581.1315599999998</v>
      </c>
      <c r="H16" s="221">
        <f t="shared" si="1"/>
        <v>9652.9900466999989</v>
      </c>
      <c r="I16" s="221">
        <f t="shared" si="1"/>
        <v>9725.3874720502499</v>
      </c>
      <c r="J16" s="221">
        <f t="shared" si="1"/>
        <v>9798.3278780906276</v>
      </c>
      <c r="K16" s="221">
        <f t="shared" si="1"/>
        <v>9871.8153371763074</v>
      </c>
      <c r="L16" s="221">
        <f t="shared" si="1"/>
        <v>9945.8539522051306</v>
      </c>
      <c r="M16" s="221">
        <f t="shared" si="1"/>
        <v>10020.447856846669</v>
      </c>
      <c r="N16" s="221">
        <f t="shared" si="1"/>
        <v>10095.601215773022</v>
      </c>
      <c r="O16" s="221">
        <f t="shared" si="1"/>
        <v>10171.31822489132</v>
      </c>
      <c r="P16" s="221">
        <f t="shared" si="1"/>
        <v>10247.603111578004</v>
      </c>
      <c r="Q16" s="221">
        <f t="shared" si="1"/>
        <v>10324.46013491484</v>
      </c>
      <c r="R16" s="221">
        <f t="shared" si="1"/>
        <v>10401.893585926702</v>
      </c>
      <c r="S16" s="221">
        <f t="shared" si="1"/>
        <v>10479.907787821154</v>
      </c>
      <c r="T16" s="221">
        <f t="shared" si="1"/>
        <v>10558.507096229814</v>
      </c>
      <c r="U16" s="221">
        <f t="shared" si="1"/>
        <v>10637.695899451537</v>
      </c>
      <c r="V16" s="221">
        <f t="shared" si="1"/>
        <v>10717.478618697425</v>
      </c>
      <c r="W16" s="221">
        <f t="shared" si="1"/>
        <v>10797.859708337655</v>
      </c>
      <c r="X16" s="221">
        <f t="shared" si="1"/>
        <v>10878.843656150189</v>
      </c>
      <c r="Y16" s="221">
        <f t="shared" si="1"/>
        <v>10960.434983571315</v>
      </c>
      <c r="Z16" s="221">
        <f t="shared" si="1"/>
        <v>11042.638245948099</v>
      </c>
    </row>
    <row r="17" spans="2:26" x14ac:dyDescent="0.3">
      <c r="B17" s="163" t="s">
        <v>0</v>
      </c>
      <c r="C17" s="192">
        <f t="shared" si="4"/>
        <v>5750</v>
      </c>
      <c r="D17" s="203">
        <f t="shared" si="2"/>
        <v>1.3124857338507189E-2</v>
      </c>
      <c r="E17" s="225" t="str">
        <f>VLOOKUP($B17,Inputs!$B$60:$C$76,2,FALSE)</f>
        <v>Fixed</v>
      </c>
      <c r="G17" s="221">
        <f t="shared" si="5"/>
        <v>5750</v>
      </c>
      <c r="H17" s="221">
        <f t="shared" si="1"/>
        <v>5750</v>
      </c>
      <c r="I17" s="221">
        <f t="shared" si="1"/>
        <v>5750</v>
      </c>
      <c r="J17" s="221">
        <f t="shared" si="1"/>
        <v>5750</v>
      </c>
      <c r="K17" s="221">
        <f t="shared" si="1"/>
        <v>5750</v>
      </c>
      <c r="L17" s="221">
        <f t="shared" si="1"/>
        <v>5750</v>
      </c>
      <c r="M17" s="221">
        <f t="shared" si="1"/>
        <v>5750</v>
      </c>
      <c r="N17" s="221">
        <f t="shared" si="1"/>
        <v>5750</v>
      </c>
      <c r="O17" s="221">
        <f t="shared" si="1"/>
        <v>5750</v>
      </c>
      <c r="P17" s="221">
        <f t="shared" si="1"/>
        <v>5750</v>
      </c>
      <c r="Q17" s="221">
        <f t="shared" si="1"/>
        <v>5750</v>
      </c>
      <c r="R17" s="221">
        <f t="shared" si="1"/>
        <v>5750</v>
      </c>
      <c r="S17" s="221">
        <f t="shared" si="1"/>
        <v>5750</v>
      </c>
      <c r="T17" s="221">
        <f t="shared" si="1"/>
        <v>5750</v>
      </c>
      <c r="U17" s="221">
        <f t="shared" si="1"/>
        <v>5750</v>
      </c>
      <c r="V17" s="221">
        <f t="shared" si="1"/>
        <v>5750</v>
      </c>
      <c r="W17" s="221">
        <f t="shared" si="1"/>
        <v>5750</v>
      </c>
      <c r="X17" s="221">
        <f t="shared" si="1"/>
        <v>5750</v>
      </c>
      <c r="Y17" s="221">
        <f t="shared" si="1"/>
        <v>5750</v>
      </c>
      <c r="Z17" s="221">
        <f t="shared" si="1"/>
        <v>5750</v>
      </c>
    </row>
    <row r="18" spans="2:26" x14ac:dyDescent="0.3">
      <c r="B18" s="163" t="s">
        <v>2</v>
      </c>
      <c r="C18" s="192">
        <f t="shared" si="4"/>
        <v>2778.8399999999997</v>
      </c>
      <c r="D18" s="203">
        <f t="shared" si="2"/>
        <v>6.3429354028760546E-3</v>
      </c>
      <c r="E18" s="225" t="str">
        <f>VLOOKUP($B18,Inputs!$B$60:$C$76,2,FALSE)</f>
        <v>Variable</v>
      </c>
      <c r="G18" s="221">
        <f t="shared" si="5"/>
        <v>2799.6812999999997</v>
      </c>
      <c r="H18" s="221">
        <f t="shared" si="1"/>
        <v>2820.6789097499995</v>
      </c>
      <c r="I18" s="221">
        <f t="shared" si="1"/>
        <v>2841.8340015731246</v>
      </c>
      <c r="J18" s="221">
        <f t="shared" si="1"/>
        <v>2863.1477565849232</v>
      </c>
      <c r="K18" s="221">
        <f t="shared" si="1"/>
        <v>2884.6213647593104</v>
      </c>
      <c r="L18" s="221">
        <f t="shared" si="1"/>
        <v>2906.2560249950056</v>
      </c>
      <c r="M18" s="221">
        <f t="shared" si="1"/>
        <v>2928.0529451824682</v>
      </c>
      <c r="N18" s="221">
        <f t="shared" si="1"/>
        <v>2950.013342271337</v>
      </c>
      <c r="O18" s="221">
        <f t="shared" si="1"/>
        <v>2972.138442338372</v>
      </c>
      <c r="P18" s="221">
        <f t="shared" si="1"/>
        <v>2994.4294806559101</v>
      </c>
      <c r="Q18" s="221">
        <f t="shared" si="1"/>
        <v>3016.8877017608297</v>
      </c>
      <c r="R18" s="221">
        <f t="shared" si="1"/>
        <v>3039.5143595240361</v>
      </c>
      <c r="S18" s="221">
        <f t="shared" si="1"/>
        <v>3062.3107172204668</v>
      </c>
      <c r="T18" s="221">
        <f t="shared" si="1"/>
        <v>3085.2780475996205</v>
      </c>
      <c r="U18" s="221">
        <f t="shared" si="1"/>
        <v>3108.4176329566176</v>
      </c>
      <c r="V18" s="221">
        <f t="shared" si="1"/>
        <v>3131.7307652037925</v>
      </c>
      <c r="W18" s="221">
        <f t="shared" si="1"/>
        <v>3155.218745942821</v>
      </c>
      <c r="X18" s="221">
        <f t="shared" si="1"/>
        <v>3178.8828865373926</v>
      </c>
      <c r="Y18" s="221">
        <f t="shared" si="1"/>
        <v>3202.724508186423</v>
      </c>
      <c r="Z18" s="221">
        <f t="shared" si="1"/>
        <v>3226.7449419978211</v>
      </c>
    </row>
    <row r="19" spans="2:26" x14ac:dyDescent="0.3">
      <c r="B19" s="163" t="s">
        <v>3</v>
      </c>
      <c r="C19" s="192">
        <f t="shared" si="4"/>
        <v>2778.8399999999997</v>
      </c>
      <c r="D19" s="203">
        <f t="shared" si="2"/>
        <v>6.3429354028760546E-3</v>
      </c>
      <c r="E19" s="225" t="str">
        <f>VLOOKUP($B19,Inputs!$B$60:$C$76,2,FALSE)</f>
        <v>Variable</v>
      </c>
      <c r="G19" s="221">
        <f t="shared" si="5"/>
        <v>2799.6812999999997</v>
      </c>
      <c r="H19" s="221">
        <f t="shared" si="1"/>
        <v>2820.6789097499995</v>
      </c>
      <c r="I19" s="221">
        <f t="shared" si="1"/>
        <v>2841.8340015731246</v>
      </c>
      <c r="J19" s="221">
        <f t="shared" si="1"/>
        <v>2863.1477565849232</v>
      </c>
      <c r="K19" s="221">
        <f t="shared" si="1"/>
        <v>2884.6213647593104</v>
      </c>
      <c r="L19" s="221">
        <f t="shared" si="1"/>
        <v>2906.2560249950056</v>
      </c>
      <c r="M19" s="221">
        <f t="shared" si="1"/>
        <v>2928.0529451824682</v>
      </c>
      <c r="N19" s="221">
        <f t="shared" si="1"/>
        <v>2950.013342271337</v>
      </c>
      <c r="O19" s="221">
        <f t="shared" si="1"/>
        <v>2972.138442338372</v>
      </c>
      <c r="P19" s="221">
        <f t="shared" si="1"/>
        <v>2994.4294806559101</v>
      </c>
      <c r="Q19" s="221">
        <f t="shared" si="1"/>
        <v>3016.8877017608297</v>
      </c>
      <c r="R19" s="221">
        <f t="shared" si="1"/>
        <v>3039.5143595240361</v>
      </c>
      <c r="S19" s="221">
        <f t="shared" si="1"/>
        <v>3062.3107172204668</v>
      </c>
      <c r="T19" s="221">
        <f t="shared" si="1"/>
        <v>3085.2780475996205</v>
      </c>
      <c r="U19" s="221">
        <f t="shared" si="1"/>
        <v>3108.4176329566176</v>
      </c>
      <c r="V19" s="221">
        <f t="shared" si="1"/>
        <v>3131.7307652037925</v>
      </c>
      <c r="W19" s="221">
        <f t="shared" si="1"/>
        <v>3155.218745942821</v>
      </c>
      <c r="X19" s="221">
        <f t="shared" si="1"/>
        <v>3178.8828865373926</v>
      </c>
      <c r="Y19" s="221">
        <f t="shared" si="1"/>
        <v>3202.724508186423</v>
      </c>
      <c r="Z19" s="221">
        <f t="shared" si="1"/>
        <v>3226.7449419978211</v>
      </c>
    </row>
    <row r="20" spans="2:26" x14ac:dyDescent="0.3">
      <c r="B20" s="163" t="s">
        <v>16</v>
      </c>
      <c r="C20" s="192">
        <f t="shared" si="4"/>
        <v>2778.8399999999997</v>
      </c>
      <c r="D20" s="203">
        <f t="shared" si="2"/>
        <v>6.3429354028760546E-3</v>
      </c>
      <c r="E20" s="225" t="str">
        <f>VLOOKUP($B20,Inputs!$B$60:$C$76,2,FALSE)</f>
        <v>Variable</v>
      </c>
      <c r="G20" s="221">
        <f t="shared" si="5"/>
        <v>2799.6812999999997</v>
      </c>
      <c r="H20" s="221">
        <f t="shared" si="1"/>
        <v>2820.6789097499995</v>
      </c>
      <c r="I20" s="221">
        <f t="shared" si="1"/>
        <v>2841.8340015731246</v>
      </c>
      <c r="J20" s="221">
        <f t="shared" si="1"/>
        <v>2863.1477565849232</v>
      </c>
      <c r="K20" s="221">
        <f t="shared" si="1"/>
        <v>2884.6213647593104</v>
      </c>
      <c r="L20" s="221">
        <f t="shared" si="1"/>
        <v>2906.2560249950056</v>
      </c>
      <c r="M20" s="221">
        <f t="shared" si="1"/>
        <v>2928.0529451824682</v>
      </c>
      <c r="N20" s="221">
        <f t="shared" si="1"/>
        <v>2950.013342271337</v>
      </c>
      <c r="O20" s="221">
        <f t="shared" si="1"/>
        <v>2972.138442338372</v>
      </c>
      <c r="P20" s="221">
        <f t="shared" si="1"/>
        <v>2994.4294806559101</v>
      </c>
      <c r="Q20" s="221">
        <f t="shared" si="1"/>
        <v>3016.8877017608297</v>
      </c>
      <c r="R20" s="221">
        <f t="shared" si="1"/>
        <v>3039.5143595240361</v>
      </c>
      <c r="S20" s="221">
        <f t="shared" si="1"/>
        <v>3062.3107172204668</v>
      </c>
      <c r="T20" s="221">
        <f t="shared" si="1"/>
        <v>3085.2780475996205</v>
      </c>
      <c r="U20" s="221">
        <f t="shared" si="1"/>
        <v>3108.4176329566176</v>
      </c>
      <c r="V20" s="221">
        <f t="shared" si="1"/>
        <v>3131.7307652037925</v>
      </c>
      <c r="W20" s="221">
        <f t="shared" si="1"/>
        <v>3155.218745942821</v>
      </c>
      <c r="X20" s="221">
        <f t="shared" si="1"/>
        <v>3178.8828865373926</v>
      </c>
      <c r="Y20" s="221">
        <f t="shared" si="1"/>
        <v>3202.724508186423</v>
      </c>
      <c r="Z20" s="221">
        <f t="shared" si="1"/>
        <v>3226.7449419978211</v>
      </c>
    </row>
    <row r="21" spans="2:26" x14ac:dyDescent="0.3">
      <c r="B21" s="163" t="s">
        <v>4</v>
      </c>
      <c r="C21" s="192">
        <f t="shared" si="4"/>
        <v>5557.6799999999994</v>
      </c>
      <c r="D21" s="203">
        <f t="shared" si="2"/>
        <v>1.2685870805752109E-2</v>
      </c>
      <c r="E21" s="225" t="str">
        <f>VLOOKUP($B21,Inputs!$B$60:$C$76,2,FALSE)</f>
        <v>Variable</v>
      </c>
      <c r="G21" s="221">
        <f t="shared" si="5"/>
        <v>5599.3625999999995</v>
      </c>
      <c r="H21" s="221">
        <f t="shared" si="1"/>
        <v>5641.3578194999991</v>
      </c>
      <c r="I21" s="221">
        <f t="shared" si="1"/>
        <v>5683.6680031462492</v>
      </c>
      <c r="J21" s="221">
        <f t="shared" si="1"/>
        <v>5726.2955131698463</v>
      </c>
      <c r="K21" s="221">
        <f t="shared" si="1"/>
        <v>5769.2427295186208</v>
      </c>
      <c r="L21" s="221">
        <f t="shared" si="1"/>
        <v>5812.5120499900113</v>
      </c>
      <c r="M21" s="221">
        <f t="shared" si="1"/>
        <v>5856.1058903649364</v>
      </c>
      <c r="N21" s="221">
        <f t="shared" si="1"/>
        <v>5900.026684542674</v>
      </c>
      <c r="O21" s="221">
        <f t="shared" si="1"/>
        <v>5944.276884676744</v>
      </c>
      <c r="P21" s="221">
        <f t="shared" si="1"/>
        <v>5988.8589613118202</v>
      </c>
      <c r="Q21" s="221">
        <f t="shared" si="1"/>
        <v>6033.7754035216594</v>
      </c>
      <c r="R21" s="221">
        <f t="shared" si="1"/>
        <v>6079.0287190480722</v>
      </c>
      <c r="S21" s="221">
        <f t="shared" si="1"/>
        <v>6124.6214344409336</v>
      </c>
      <c r="T21" s="221">
        <f t="shared" si="1"/>
        <v>6170.5560951992411</v>
      </c>
      <c r="U21" s="221">
        <f t="shared" si="1"/>
        <v>6216.8352659132352</v>
      </c>
      <c r="V21" s="221">
        <f t="shared" si="1"/>
        <v>6263.4615304075851</v>
      </c>
      <c r="W21" s="221">
        <f t="shared" si="1"/>
        <v>6310.437491885642</v>
      </c>
      <c r="X21" s="221">
        <f t="shared" si="1"/>
        <v>6357.7657730747851</v>
      </c>
      <c r="Y21" s="221">
        <f t="shared" si="1"/>
        <v>6405.449016372846</v>
      </c>
      <c r="Z21" s="221">
        <f t="shared" si="1"/>
        <v>6453.4898839956422</v>
      </c>
    </row>
    <row r="22" spans="2:26" x14ac:dyDescent="0.3">
      <c r="B22" s="176" t="s">
        <v>200</v>
      </c>
      <c r="C22" s="194">
        <f t="shared" si="4"/>
        <v>29154.007999999998</v>
      </c>
      <c r="D22" s="205">
        <f t="shared" si="2"/>
        <v>6.6546468842729967E-2</v>
      </c>
      <c r="E22" s="227"/>
      <c r="G22" s="223">
        <f>SUM(G16:G21)</f>
        <v>29329.538059999999</v>
      </c>
      <c r="H22" s="223">
        <f t="shared" ref="H22:Z22" si="6">SUM(H16:H21)</f>
        <v>29506.384595449999</v>
      </c>
      <c r="I22" s="223">
        <f t="shared" si="6"/>
        <v>29684.557479915868</v>
      </c>
      <c r="J22" s="223">
        <f t="shared" si="6"/>
        <v>29864.066661015244</v>
      </c>
      <c r="K22" s="223">
        <f t="shared" si="6"/>
        <v>30044.922160972859</v>
      </c>
      <c r="L22" s="223">
        <f t="shared" si="6"/>
        <v>30227.134077180159</v>
      </c>
      <c r="M22" s="223">
        <f t="shared" si="6"/>
        <v>30410.712582759013</v>
      </c>
      <c r="N22" s="223">
        <f t="shared" si="6"/>
        <v>30595.667927129707</v>
      </c>
      <c r="O22" s="223">
        <f t="shared" si="6"/>
        <v>30782.010436583179</v>
      </c>
      <c r="P22" s="223">
        <f t="shared" si="6"/>
        <v>30969.750514857555</v>
      </c>
      <c r="Q22" s="223">
        <f t="shared" si="6"/>
        <v>31158.898643718985</v>
      </c>
      <c r="R22" s="223">
        <f t="shared" si="6"/>
        <v>31349.465383546885</v>
      </c>
      <c r="S22" s="223">
        <f t="shared" si="6"/>
        <v>31541.461373923485</v>
      </c>
      <c r="T22" s="223">
        <f t="shared" si="6"/>
        <v>31734.897334227917</v>
      </c>
      <c r="U22" s="223">
        <f t="shared" si="6"/>
        <v>31929.784064234627</v>
      </c>
      <c r="V22" s="223">
        <f t="shared" si="6"/>
        <v>32126.132444716386</v>
      </c>
      <c r="W22" s="223">
        <f t="shared" si="6"/>
        <v>32323.953438051758</v>
      </c>
      <c r="X22" s="223">
        <f t="shared" si="6"/>
        <v>32523.258088837156</v>
      </c>
      <c r="Y22" s="223">
        <f t="shared" si="6"/>
        <v>32724.057524503434</v>
      </c>
      <c r="Z22" s="223">
        <f t="shared" si="6"/>
        <v>32926.362955937206</v>
      </c>
    </row>
    <row r="23" spans="2:26" x14ac:dyDescent="0.3">
      <c r="B23" s="199" t="s">
        <v>201</v>
      </c>
      <c r="C23" s="194">
        <f t="shared" si="4"/>
        <v>152658.008</v>
      </c>
      <c r="D23" s="204">
        <f t="shared" si="2"/>
        <v>0.34845470897055469</v>
      </c>
      <c r="E23" s="227"/>
      <c r="G23" s="222">
        <f>G14+G22</f>
        <v>153759.81805999999</v>
      </c>
      <c r="H23" s="222">
        <f t="shared" ref="H23:Z23" si="7">H14+H22</f>
        <v>154869.89169545</v>
      </c>
      <c r="I23" s="222">
        <f t="shared" si="7"/>
        <v>155988.29088316587</v>
      </c>
      <c r="J23" s="222">
        <f t="shared" si="7"/>
        <v>157115.07806478965</v>
      </c>
      <c r="K23" s="222">
        <f t="shared" si="7"/>
        <v>158250.31615027555</v>
      </c>
      <c r="L23" s="222">
        <f t="shared" si="7"/>
        <v>159394.06852140263</v>
      </c>
      <c r="M23" s="222">
        <f t="shared" si="7"/>
        <v>160546.39903531317</v>
      </c>
      <c r="N23" s="222">
        <f t="shared" si="7"/>
        <v>161707.37202807807</v>
      </c>
      <c r="O23" s="222">
        <f t="shared" si="7"/>
        <v>162877.05231828865</v>
      </c>
      <c r="P23" s="222">
        <f t="shared" si="7"/>
        <v>164055.50521067579</v>
      </c>
      <c r="Q23" s="222">
        <f t="shared" si="7"/>
        <v>165242.79649975587</v>
      </c>
      <c r="R23" s="222">
        <f t="shared" si="7"/>
        <v>166438.99247350407</v>
      </c>
      <c r="S23" s="222">
        <f t="shared" si="7"/>
        <v>167644.15991705537</v>
      </c>
      <c r="T23" s="222">
        <f t="shared" si="7"/>
        <v>168858.36611643329</v>
      </c>
      <c r="U23" s="222">
        <f t="shared" si="7"/>
        <v>170081.67886230658</v>
      </c>
      <c r="V23" s="222">
        <f t="shared" si="7"/>
        <v>171314.16645377385</v>
      </c>
      <c r="W23" s="222">
        <f t="shared" si="7"/>
        <v>172555.89770217717</v>
      </c>
      <c r="X23" s="222">
        <f t="shared" si="7"/>
        <v>173806.94193494349</v>
      </c>
      <c r="Y23" s="222">
        <f t="shared" si="7"/>
        <v>175067.36899945559</v>
      </c>
      <c r="Z23" s="222">
        <f t="shared" si="7"/>
        <v>176337.24926695152</v>
      </c>
    </row>
    <row r="24" spans="2:26" x14ac:dyDescent="0.3">
      <c r="C24" s="192"/>
      <c r="D24" s="203"/>
      <c r="E24" s="227"/>
      <c r="G24" s="221"/>
      <c r="H24" s="221"/>
      <c r="I24" s="221"/>
      <c r="J24" s="221"/>
      <c r="K24" s="221"/>
      <c r="L24" s="221"/>
      <c r="M24" s="221"/>
      <c r="N24" s="221"/>
      <c r="O24" s="221"/>
      <c r="P24" s="221"/>
      <c r="Q24" s="221"/>
      <c r="R24" s="221"/>
      <c r="S24" s="221"/>
      <c r="T24" s="221"/>
      <c r="U24" s="221"/>
      <c r="V24" s="221"/>
      <c r="W24" s="221"/>
      <c r="X24" s="221"/>
      <c r="Y24" s="221"/>
      <c r="Z24" s="221"/>
    </row>
    <row r="25" spans="2:26" x14ac:dyDescent="0.3">
      <c r="B25" s="163" t="s">
        <v>71</v>
      </c>
      <c r="C25" s="192">
        <f>INDEX(ExistingStoreTable,MATCH($B25,ExistingStoreRow,0),MATCH($C$5,ExistingStoreColumn,0))/4</f>
        <v>113906</v>
      </c>
      <c r="D25" s="203">
        <f t="shared" si="2"/>
        <v>0.26</v>
      </c>
      <c r="E25" s="225" t="str">
        <f>VLOOKUP($B25,Inputs!$B$60:$C$76,2,FALSE)</f>
        <v>Variable</v>
      </c>
      <c r="G25" s="221">
        <f t="shared" si="5"/>
        <v>114760.295</v>
      </c>
      <c r="H25" s="221">
        <f t="shared" si="1"/>
        <v>115620.99721250001</v>
      </c>
      <c r="I25" s="221">
        <f t="shared" si="1"/>
        <v>116488.15469159377</v>
      </c>
      <c r="J25" s="221">
        <f t="shared" si="1"/>
        <v>117361.81585178072</v>
      </c>
      <c r="K25" s="221">
        <f t="shared" si="1"/>
        <v>118242.02947066908</v>
      </c>
      <c r="L25" s="221">
        <f t="shared" si="1"/>
        <v>119128.84469169911</v>
      </c>
      <c r="M25" s="221">
        <f t="shared" si="1"/>
        <v>120022.31102688686</v>
      </c>
      <c r="N25" s="221">
        <f t="shared" si="1"/>
        <v>120922.47835958852</v>
      </c>
      <c r="O25" s="221">
        <f t="shared" si="1"/>
        <v>121829.39694728545</v>
      </c>
      <c r="P25" s="221">
        <f t="shared" si="1"/>
        <v>122743.11742439009</v>
      </c>
      <c r="Q25" s="221">
        <f t="shared" si="1"/>
        <v>123663.69080507303</v>
      </c>
      <c r="R25" s="221">
        <f t="shared" si="1"/>
        <v>124591.16848611108</v>
      </c>
      <c r="S25" s="221">
        <f t="shared" si="1"/>
        <v>125525.60224975694</v>
      </c>
      <c r="T25" s="221">
        <f t="shared" si="1"/>
        <v>126467.04426663012</v>
      </c>
      <c r="U25" s="221">
        <f t="shared" si="1"/>
        <v>127415.54709862985</v>
      </c>
      <c r="V25" s="221">
        <f t="shared" si="1"/>
        <v>128371.16370186958</v>
      </c>
      <c r="W25" s="221">
        <f t="shared" si="1"/>
        <v>129333.9474296336</v>
      </c>
      <c r="X25" s="221">
        <f t="shared" si="1"/>
        <v>130303.95203535586</v>
      </c>
      <c r="Y25" s="221">
        <f t="shared" si="1"/>
        <v>131281.23167562103</v>
      </c>
      <c r="Z25" s="221">
        <f t="shared" si="1"/>
        <v>132265.84091318821</v>
      </c>
    </row>
    <row r="26" spans="2:26" x14ac:dyDescent="0.3">
      <c r="B26" s="163" t="s">
        <v>72</v>
      </c>
      <c r="C26" s="192">
        <f>INDEX(ExistingStoreTable,MATCH($B26,ExistingStoreRow,0),MATCH($C$5,ExistingStoreColumn,0))/4</f>
        <v>13143</v>
      </c>
      <c r="D26" s="203">
        <f t="shared" si="2"/>
        <v>0.03</v>
      </c>
      <c r="E26" s="225" t="str">
        <f>VLOOKUP($B26,Inputs!$B$60:$C$76,2,FALSE)</f>
        <v>Variable</v>
      </c>
      <c r="G26" s="221">
        <f t="shared" si="5"/>
        <v>13241.5725</v>
      </c>
      <c r="H26" s="221">
        <f t="shared" si="5"/>
        <v>13340.884293749999</v>
      </c>
      <c r="I26" s="221">
        <f t="shared" si="5"/>
        <v>13440.940925953126</v>
      </c>
      <c r="J26" s="221">
        <f t="shared" si="5"/>
        <v>13541.747982897776</v>
      </c>
      <c r="K26" s="221">
        <f t="shared" si="5"/>
        <v>13643.311092769509</v>
      </c>
      <c r="L26" s="221">
        <f t="shared" si="5"/>
        <v>13745.635925965282</v>
      </c>
      <c r="M26" s="221">
        <f t="shared" si="5"/>
        <v>13848.728195410022</v>
      </c>
      <c r="N26" s="221">
        <f t="shared" si="5"/>
        <v>13952.593656875599</v>
      </c>
      <c r="O26" s="221">
        <f>IF($E26="Variable",O$10*$D26,$C26)</f>
        <v>14057.238109302165</v>
      </c>
      <c r="P26" s="221">
        <f t="shared" si="5"/>
        <v>14162.667395121933</v>
      </c>
      <c r="Q26" s="221">
        <f t="shared" si="5"/>
        <v>14268.887400585349</v>
      </c>
      <c r="R26" s="221">
        <f t="shared" si="5"/>
        <v>14375.904056089739</v>
      </c>
      <c r="S26" s="221">
        <f t="shared" si="5"/>
        <v>14483.723336510413</v>
      </c>
      <c r="T26" s="221">
        <f t="shared" si="5"/>
        <v>14592.351261534242</v>
      </c>
      <c r="U26" s="221">
        <f t="shared" si="5"/>
        <v>14701.79389599575</v>
      </c>
      <c r="V26" s="221">
        <f t="shared" si="5"/>
        <v>14812.05735021572</v>
      </c>
      <c r="W26" s="221">
        <f t="shared" si="1"/>
        <v>14923.147780342339</v>
      </c>
      <c r="X26" s="221">
        <f t="shared" si="1"/>
        <v>15035.071388694907</v>
      </c>
      <c r="Y26" s="221">
        <f t="shared" si="1"/>
        <v>15147.834424110119</v>
      </c>
      <c r="Z26" s="221">
        <f t="shared" si="1"/>
        <v>15261.443182290945</v>
      </c>
    </row>
    <row r="27" spans="2:26" x14ac:dyDescent="0.3">
      <c r="B27" s="199" t="s">
        <v>202</v>
      </c>
      <c r="C27" s="194">
        <f>INDEX(ExistingStoreTable,MATCH($B27,ExistingStoreRow,0),MATCH($C$5,ExistingStoreColumn,0))/4</f>
        <v>127049</v>
      </c>
      <c r="D27" s="204">
        <f t="shared" si="2"/>
        <v>0.28999999999999998</v>
      </c>
      <c r="E27" s="227"/>
      <c r="G27" s="222">
        <f>SUM(G25:G26)</f>
        <v>128001.86749999999</v>
      </c>
      <c r="H27" s="222">
        <f t="shared" ref="H27:Z27" si="8">SUM(H25:H26)</f>
        <v>128961.88150625001</v>
      </c>
      <c r="I27" s="222">
        <f t="shared" si="8"/>
        <v>129929.09561754689</v>
      </c>
      <c r="J27" s="222">
        <f t="shared" si="8"/>
        <v>130903.5638346785</v>
      </c>
      <c r="K27" s="222">
        <f t="shared" si="8"/>
        <v>131885.3405634386</v>
      </c>
      <c r="L27" s="222">
        <f t="shared" si="8"/>
        <v>132874.48061766441</v>
      </c>
      <c r="M27" s="222">
        <f t="shared" si="8"/>
        <v>133871.03922229688</v>
      </c>
      <c r="N27" s="222">
        <f t="shared" si="8"/>
        <v>134875.07201646411</v>
      </c>
      <c r="O27" s="222">
        <f t="shared" si="8"/>
        <v>135886.63505658761</v>
      </c>
      <c r="P27" s="222">
        <f t="shared" si="8"/>
        <v>136905.78481951202</v>
      </c>
      <c r="Q27" s="222">
        <f t="shared" si="8"/>
        <v>137932.57820565838</v>
      </c>
      <c r="R27" s="222">
        <f t="shared" si="8"/>
        <v>138967.07254220083</v>
      </c>
      <c r="S27" s="222">
        <f t="shared" si="8"/>
        <v>140009.32558626734</v>
      </c>
      <c r="T27" s="222">
        <f t="shared" si="8"/>
        <v>141059.39552816437</v>
      </c>
      <c r="U27" s="222">
        <f t="shared" si="8"/>
        <v>142117.34099462559</v>
      </c>
      <c r="V27" s="222">
        <f t="shared" si="8"/>
        <v>143183.22105208528</v>
      </c>
      <c r="W27" s="222">
        <f t="shared" si="8"/>
        <v>144257.09520997593</v>
      </c>
      <c r="X27" s="222">
        <f t="shared" si="8"/>
        <v>145339.02342405077</v>
      </c>
      <c r="Y27" s="222">
        <f t="shared" si="8"/>
        <v>146429.06609973116</v>
      </c>
      <c r="Z27" s="222">
        <f t="shared" si="8"/>
        <v>147527.28409547915</v>
      </c>
    </row>
    <row r="28" spans="2:26" x14ac:dyDescent="0.3">
      <c r="C28" s="192"/>
      <c r="D28" s="203"/>
      <c r="E28" s="227"/>
      <c r="G28" s="221"/>
      <c r="H28" s="221"/>
      <c r="I28" s="221"/>
      <c r="J28" s="221"/>
      <c r="K28" s="221"/>
      <c r="L28" s="221"/>
      <c r="M28" s="221"/>
      <c r="N28" s="221"/>
      <c r="O28" s="221"/>
      <c r="P28" s="221"/>
      <c r="Q28" s="221"/>
      <c r="R28" s="221"/>
      <c r="S28" s="221"/>
      <c r="T28" s="221"/>
      <c r="U28" s="221"/>
      <c r="V28" s="221"/>
      <c r="W28" s="221"/>
      <c r="X28" s="221"/>
      <c r="Y28" s="221"/>
      <c r="Z28" s="221"/>
    </row>
    <row r="29" spans="2:26" x14ac:dyDescent="0.3">
      <c r="B29" s="163" t="s">
        <v>73</v>
      </c>
      <c r="C29" s="192">
        <f t="shared" ref="C29:C34" si="9">INDEX(ExistingStoreTable,MATCH($B29,ExistingStoreRow,0),MATCH($C$5,ExistingStoreColumn,0))/4</f>
        <v>6571.5</v>
      </c>
      <c r="D29" s="203">
        <f t="shared" si="2"/>
        <v>1.4999999999999999E-2</v>
      </c>
      <c r="E29" s="225" t="str">
        <f>VLOOKUP($B29,Inputs!$B$60:$C$76,2,FALSE)</f>
        <v>Variable</v>
      </c>
      <c r="G29" s="221">
        <f t="shared" si="5"/>
        <v>6620.7862500000001</v>
      </c>
      <c r="H29" s="221">
        <f t="shared" si="5"/>
        <v>6670.4421468749997</v>
      </c>
      <c r="I29" s="221">
        <f t="shared" si="5"/>
        <v>6720.4704629765629</v>
      </c>
      <c r="J29" s="221">
        <f t="shared" si="5"/>
        <v>6770.8739914488879</v>
      </c>
      <c r="K29" s="221">
        <f t="shared" si="5"/>
        <v>6821.6555463847544</v>
      </c>
      <c r="L29" s="221">
        <f t="shared" si="5"/>
        <v>6872.8179629826409</v>
      </c>
      <c r="M29" s="221">
        <f t="shared" si="5"/>
        <v>6924.3640977050109</v>
      </c>
      <c r="N29" s="221">
        <f t="shared" si="5"/>
        <v>6976.2968284377994</v>
      </c>
      <c r="O29" s="221">
        <f t="shared" si="5"/>
        <v>7028.6190546510825</v>
      </c>
      <c r="P29" s="221">
        <f t="shared" si="5"/>
        <v>7081.3336975609664</v>
      </c>
      <c r="Q29" s="221">
        <f t="shared" si="5"/>
        <v>7134.4437002926743</v>
      </c>
      <c r="R29" s="221">
        <f t="shared" si="5"/>
        <v>7187.9520280448696</v>
      </c>
      <c r="S29" s="221">
        <f t="shared" si="5"/>
        <v>7241.8616682552065</v>
      </c>
      <c r="T29" s="221">
        <f t="shared" si="5"/>
        <v>7296.1756307671212</v>
      </c>
      <c r="U29" s="221">
        <f t="shared" si="5"/>
        <v>7350.896947997875</v>
      </c>
      <c r="V29" s="221">
        <f t="shared" si="5"/>
        <v>7406.0286751078602</v>
      </c>
      <c r="W29" s="221">
        <f t="shared" ref="W29:Z37" si="10">IF($E29="Variable",W$10*$D29,$C29)</f>
        <v>7461.5738901711693</v>
      </c>
      <c r="X29" s="221">
        <f t="shared" si="10"/>
        <v>7517.5356943474535</v>
      </c>
      <c r="Y29" s="221">
        <f t="shared" si="10"/>
        <v>7573.9172120550593</v>
      </c>
      <c r="Z29" s="221">
        <f t="shared" si="10"/>
        <v>7630.7215911454723</v>
      </c>
    </row>
    <row r="30" spans="2:26" x14ac:dyDescent="0.3">
      <c r="B30" s="163" t="s">
        <v>74</v>
      </c>
      <c r="C30" s="192">
        <f t="shared" si="9"/>
        <v>8762</v>
      </c>
      <c r="D30" s="203">
        <f t="shared" si="2"/>
        <v>0.02</v>
      </c>
      <c r="E30" s="225" t="str">
        <f>VLOOKUP($B30,Inputs!$B$60:$C$76,2,FALSE)</f>
        <v>Variable</v>
      </c>
      <c r="G30" s="221">
        <f t="shared" si="5"/>
        <v>8827.7150000000001</v>
      </c>
      <c r="H30" s="221">
        <f t="shared" si="5"/>
        <v>8893.9228624999996</v>
      </c>
      <c r="I30" s="221">
        <f t="shared" si="5"/>
        <v>8960.6272839687517</v>
      </c>
      <c r="J30" s="221">
        <f t="shared" si="5"/>
        <v>9027.8319885985165</v>
      </c>
      <c r="K30" s="221">
        <f t="shared" si="5"/>
        <v>9095.5407285130059</v>
      </c>
      <c r="L30" s="221">
        <f t="shared" si="5"/>
        <v>9163.7572839768545</v>
      </c>
      <c r="M30" s="221">
        <f t="shared" si="5"/>
        <v>9232.4854636066812</v>
      </c>
      <c r="N30" s="221">
        <f t="shared" si="5"/>
        <v>9301.7291045837319</v>
      </c>
      <c r="O30" s="221">
        <f t="shared" si="5"/>
        <v>9371.4920728681118</v>
      </c>
      <c r="P30" s="221">
        <f t="shared" si="5"/>
        <v>9441.7782634146224</v>
      </c>
      <c r="Q30" s="221">
        <f t="shared" si="5"/>
        <v>9512.591600390233</v>
      </c>
      <c r="R30" s="221">
        <f t="shared" si="5"/>
        <v>9583.9360373931595</v>
      </c>
      <c r="S30" s="221">
        <f t="shared" si="5"/>
        <v>9655.8155576736099</v>
      </c>
      <c r="T30" s="221">
        <f t="shared" si="5"/>
        <v>9728.2341743561628</v>
      </c>
      <c r="U30" s="221">
        <f t="shared" si="5"/>
        <v>9801.1959306638346</v>
      </c>
      <c r="V30" s="221">
        <f t="shared" si="5"/>
        <v>9874.7049001438136</v>
      </c>
      <c r="W30" s="221">
        <f t="shared" si="10"/>
        <v>9948.7651868948924</v>
      </c>
      <c r="X30" s="221">
        <f t="shared" si="10"/>
        <v>10023.380925796604</v>
      </c>
      <c r="Y30" s="221">
        <f t="shared" si="10"/>
        <v>10098.556282740079</v>
      </c>
      <c r="Z30" s="221">
        <f t="shared" si="10"/>
        <v>10174.29545486063</v>
      </c>
    </row>
    <row r="31" spans="2:26" x14ac:dyDescent="0.3">
      <c r="B31" s="163" t="s">
        <v>75</v>
      </c>
      <c r="C31" s="192">
        <f t="shared" si="9"/>
        <v>3066.7000000000003</v>
      </c>
      <c r="D31" s="203">
        <f t="shared" si="2"/>
        <v>7.000000000000001E-3</v>
      </c>
      <c r="E31" s="225" t="str">
        <f>VLOOKUP($B31,Inputs!$B$60:$C$76,2,FALSE)</f>
        <v>Variable</v>
      </c>
      <c r="G31" s="221">
        <f t="shared" si="5"/>
        <v>3089.7002500000003</v>
      </c>
      <c r="H31" s="221">
        <f t="shared" si="5"/>
        <v>3112.8730018750007</v>
      </c>
      <c r="I31" s="221">
        <f t="shared" si="5"/>
        <v>3136.2195493890631</v>
      </c>
      <c r="J31" s="221">
        <f t="shared" si="5"/>
        <v>3159.7411960094814</v>
      </c>
      <c r="K31" s="221">
        <f t="shared" si="5"/>
        <v>3183.4392549795525</v>
      </c>
      <c r="L31" s="221">
        <f t="shared" si="5"/>
        <v>3207.3150493918997</v>
      </c>
      <c r="M31" s="221">
        <f t="shared" si="5"/>
        <v>3231.3699122623389</v>
      </c>
      <c r="N31" s="221">
        <f t="shared" si="5"/>
        <v>3255.6051866043067</v>
      </c>
      <c r="O31" s="221">
        <f t="shared" si="5"/>
        <v>3280.0222255038393</v>
      </c>
      <c r="P31" s="221">
        <f t="shared" si="5"/>
        <v>3304.6223921951182</v>
      </c>
      <c r="Q31" s="221">
        <f t="shared" si="5"/>
        <v>3329.407060136582</v>
      </c>
      <c r="R31" s="221">
        <f t="shared" si="5"/>
        <v>3354.3776130876063</v>
      </c>
      <c r="S31" s="221">
        <f t="shared" si="5"/>
        <v>3379.5354451857638</v>
      </c>
      <c r="T31" s="221">
        <f t="shared" si="5"/>
        <v>3404.8819610246574</v>
      </c>
      <c r="U31" s="221">
        <f t="shared" si="5"/>
        <v>3430.4185757323426</v>
      </c>
      <c r="V31" s="221">
        <f t="shared" si="5"/>
        <v>3456.1467150503354</v>
      </c>
      <c r="W31" s="221">
        <f t="shared" si="10"/>
        <v>3482.0678154132129</v>
      </c>
      <c r="X31" s="221">
        <f t="shared" si="10"/>
        <v>3508.183324028812</v>
      </c>
      <c r="Y31" s="221">
        <f t="shared" si="10"/>
        <v>3534.4946989590285</v>
      </c>
      <c r="Z31" s="221">
        <f t="shared" si="10"/>
        <v>3561.0034092012211</v>
      </c>
    </row>
    <row r="32" spans="2:26" x14ac:dyDescent="0.3">
      <c r="B32" s="163" t="s">
        <v>76</v>
      </c>
      <c r="C32" s="192">
        <f t="shared" si="9"/>
        <v>4000</v>
      </c>
      <c r="D32" s="203">
        <f t="shared" si="2"/>
        <v>9.1303355398310894E-3</v>
      </c>
      <c r="E32" s="225" t="str">
        <f>VLOOKUP($B32,Inputs!$B$60:$C$76,2,FALSE)</f>
        <v>Fixed</v>
      </c>
      <c r="G32" s="221">
        <f t="shared" si="5"/>
        <v>4000</v>
      </c>
      <c r="H32" s="221">
        <f t="shared" si="5"/>
        <v>4000</v>
      </c>
      <c r="I32" s="221">
        <f t="shared" si="5"/>
        <v>4000</v>
      </c>
      <c r="J32" s="221">
        <f t="shared" si="5"/>
        <v>4000</v>
      </c>
      <c r="K32" s="221">
        <f t="shared" si="5"/>
        <v>4000</v>
      </c>
      <c r="L32" s="221">
        <f t="shared" si="5"/>
        <v>4000</v>
      </c>
      <c r="M32" s="221">
        <f t="shared" si="5"/>
        <v>4000</v>
      </c>
      <c r="N32" s="221">
        <f t="shared" si="5"/>
        <v>4000</v>
      </c>
      <c r="O32" s="221">
        <f t="shared" si="5"/>
        <v>4000</v>
      </c>
      <c r="P32" s="221">
        <f t="shared" si="5"/>
        <v>4000</v>
      </c>
      <c r="Q32" s="221">
        <f t="shared" si="5"/>
        <v>4000</v>
      </c>
      <c r="R32" s="221">
        <f t="shared" si="5"/>
        <v>4000</v>
      </c>
      <c r="S32" s="221">
        <f t="shared" si="5"/>
        <v>4000</v>
      </c>
      <c r="T32" s="221">
        <f t="shared" si="5"/>
        <v>4000</v>
      </c>
      <c r="U32" s="221">
        <f t="shared" si="5"/>
        <v>4000</v>
      </c>
      <c r="V32" s="221">
        <f t="shared" si="5"/>
        <v>4000</v>
      </c>
      <c r="W32" s="221">
        <f t="shared" si="10"/>
        <v>4000</v>
      </c>
      <c r="X32" s="221">
        <f t="shared" si="10"/>
        <v>4000</v>
      </c>
      <c r="Y32" s="221">
        <f t="shared" si="10"/>
        <v>4000</v>
      </c>
      <c r="Z32" s="221">
        <f t="shared" si="10"/>
        <v>4000</v>
      </c>
    </row>
    <row r="33" spans="2:26" x14ac:dyDescent="0.3">
      <c r="B33" s="163" t="s">
        <v>43</v>
      </c>
      <c r="C33" s="192">
        <f t="shared" si="9"/>
        <v>20750</v>
      </c>
      <c r="D33" s="203">
        <f t="shared" si="2"/>
        <v>4.736361561287377E-2</v>
      </c>
      <c r="E33" s="225" t="str">
        <f>VLOOKUP($B33,Inputs!$B$60:$C$76,2,FALSE)</f>
        <v>Fixed</v>
      </c>
      <c r="G33" s="221">
        <f t="shared" si="5"/>
        <v>20750</v>
      </c>
      <c r="H33" s="221">
        <f t="shared" si="5"/>
        <v>20750</v>
      </c>
      <c r="I33" s="221">
        <f t="shared" si="5"/>
        <v>20750</v>
      </c>
      <c r="J33" s="221">
        <f t="shared" si="5"/>
        <v>20750</v>
      </c>
      <c r="K33" s="221">
        <f t="shared" si="5"/>
        <v>20750</v>
      </c>
      <c r="L33" s="221">
        <f t="shared" si="5"/>
        <v>20750</v>
      </c>
      <c r="M33" s="221">
        <f t="shared" si="5"/>
        <v>20750</v>
      </c>
      <c r="N33" s="221">
        <f t="shared" si="5"/>
        <v>20750</v>
      </c>
      <c r="O33" s="221">
        <f t="shared" si="5"/>
        <v>20750</v>
      </c>
      <c r="P33" s="221">
        <f t="shared" si="5"/>
        <v>20750</v>
      </c>
      <c r="Q33" s="221">
        <f t="shared" si="5"/>
        <v>20750</v>
      </c>
      <c r="R33" s="221">
        <f t="shared" si="5"/>
        <v>20750</v>
      </c>
      <c r="S33" s="221">
        <f t="shared" si="5"/>
        <v>20750</v>
      </c>
      <c r="T33" s="221">
        <f t="shared" si="5"/>
        <v>20750</v>
      </c>
      <c r="U33" s="221">
        <f t="shared" si="5"/>
        <v>20750</v>
      </c>
      <c r="V33" s="221">
        <f t="shared" si="5"/>
        <v>20750</v>
      </c>
      <c r="W33" s="221">
        <f t="shared" si="10"/>
        <v>20750</v>
      </c>
      <c r="X33" s="221">
        <f t="shared" si="10"/>
        <v>20750</v>
      </c>
      <c r="Y33" s="221">
        <f t="shared" si="10"/>
        <v>20750</v>
      </c>
      <c r="Z33" s="221">
        <f t="shared" si="10"/>
        <v>20750</v>
      </c>
    </row>
    <row r="34" spans="2:26" x14ac:dyDescent="0.3">
      <c r="B34" s="199" t="s">
        <v>203</v>
      </c>
      <c r="C34" s="194">
        <f t="shared" si="9"/>
        <v>43150.2</v>
      </c>
      <c r="D34" s="204">
        <f t="shared" si="2"/>
        <v>9.8493951152704859E-2</v>
      </c>
      <c r="E34" s="227"/>
      <c r="G34" s="222">
        <f>SUM(G29:G33)</f>
        <v>43288.201500000003</v>
      </c>
      <c r="H34" s="222">
        <f t="shared" ref="H34:Z34" si="11">SUM(H29:H33)</f>
        <v>43427.238011249996</v>
      </c>
      <c r="I34" s="222">
        <f t="shared" si="11"/>
        <v>43567.317296334375</v>
      </c>
      <c r="J34" s="222">
        <f t="shared" si="11"/>
        <v>43708.447176056885</v>
      </c>
      <c r="K34" s="222">
        <f t="shared" si="11"/>
        <v>43850.635529877312</v>
      </c>
      <c r="L34" s="222">
        <f t="shared" si="11"/>
        <v>43993.890296351397</v>
      </c>
      <c r="M34" s="222">
        <f t="shared" si="11"/>
        <v>44138.219473574034</v>
      </c>
      <c r="N34" s="222">
        <f t="shared" si="11"/>
        <v>44283.631119625832</v>
      </c>
      <c r="O34" s="222">
        <f t="shared" si="11"/>
        <v>44430.133353023033</v>
      </c>
      <c r="P34" s="222">
        <f t="shared" si="11"/>
        <v>44577.734353170701</v>
      </c>
      <c r="Q34" s="222">
        <f t="shared" si="11"/>
        <v>44726.442360819492</v>
      </c>
      <c r="R34" s="222">
        <f t="shared" si="11"/>
        <v>44876.26567852564</v>
      </c>
      <c r="S34" s="222">
        <f t="shared" si="11"/>
        <v>45027.212671114583</v>
      </c>
      <c r="T34" s="222">
        <f t="shared" si="11"/>
        <v>45179.291766147944</v>
      </c>
      <c r="U34" s="222">
        <f t="shared" si="11"/>
        <v>45332.511454394051</v>
      </c>
      <c r="V34" s="222">
        <f t="shared" si="11"/>
        <v>45486.880290302011</v>
      </c>
      <c r="W34" s="222">
        <f t="shared" si="11"/>
        <v>45642.406892479274</v>
      </c>
      <c r="X34" s="222">
        <f t="shared" si="11"/>
        <v>45799.099944172864</v>
      </c>
      <c r="Y34" s="222">
        <f t="shared" si="11"/>
        <v>45956.968193754161</v>
      </c>
      <c r="Z34" s="222">
        <f t="shared" si="11"/>
        <v>46116.020455207326</v>
      </c>
    </row>
    <row r="35" spans="2:26" x14ac:dyDescent="0.3">
      <c r="C35" s="192"/>
      <c r="D35" s="203"/>
      <c r="E35" s="227"/>
      <c r="G35" s="221"/>
      <c r="H35" s="221"/>
      <c r="I35" s="221"/>
      <c r="J35" s="221"/>
      <c r="K35" s="221"/>
      <c r="L35" s="221"/>
      <c r="M35" s="221"/>
      <c r="N35" s="221"/>
      <c r="O35" s="221"/>
      <c r="P35" s="221"/>
      <c r="Q35" s="221"/>
      <c r="R35" s="221"/>
      <c r="S35" s="221"/>
      <c r="T35" s="221"/>
      <c r="U35" s="221"/>
      <c r="V35" s="221"/>
      <c r="W35" s="221"/>
      <c r="X35" s="221"/>
      <c r="Y35" s="221"/>
      <c r="Z35" s="221"/>
    </row>
    <row r="36" spans="2:26" x14ac:dyDescent="0.3">
      <c r="B36" s="163" t="s">
        <v>42</v>
      </c>
      <c r="C36" s="192">
        <f>INDEX(ExistingStoreTable,MATCH($B36,ExistingStoreRow,0),MATCH($C$5,ExistingStoreColumn,0))/4</f>
        <v>25000</v>
      </c>
      <c r="D36" s="203">
        <f t="shared" si="2"/>
        <v>5.7064597123944308E-2</v>
      </c>
      <c r="E36" s="225" t="str">
        <f>VLOOKUP($B36,Inputs!$B$60:$C$76,2,FALSE)</f>
        <v>Fixed</v>
      </c>
      <c r="G36" s="221">
        <f t="shared" si="5"/>
        <v>25000</v>
      </c>
      <c r="H36" s="221">
        <f t="shared" si="5"/>
        <v>25000</v>
      </c>
      <c r="I36" s="221">
        <f t="shared" si="5"/>
        <v>25000</v>
      </c>
      <c r="J36" s="221">
        <f t="shared" si="5"/>
        <v>25000</v>
      </c>
      <c r="K36" s="221">
        <f t="shared" si="5"/>
        <v>25000</v>
      </c>
      <c r="L36" s="221">
        <f t="shared" si="5"/>
        <v>25000</v>
      </c>
      <c r="M36" s="221">
        <f t="shared" si="5"/>
        <v>25000</v>
      </c>
      <c r="N36" s="221">
        <f t="shared" si="5"/>
        <v>25000</v>
      </c>
      <c r="O36" s="221">
        <f t="shared" si="5"/>
        <v>25000</v>
      </c>
      <c r="P36" s="221">
        <f t="shared" si="5"/>
        <v>25000</v>
      </c>
      <c r="Q36" s="221">
        <f t="shared" si="5"/>
        <v>25000</v>
      </c>
      <c r="R36" s="221">
        <f t="shared" si="5"/>
        <v>25000</v>
      </c>
      <c r="S36" s="221">
        <f t="shared" si="5"/>
        <v>25000</v>
      </c>
      <c r="T36" s="221">
        <f t="shared" si="5"/>
        <v>25000</v>
      </c>
      <c r="U36" s="221">
        <f t="shared" si="5"/>
        <v>25000</v>
      </c>
      <c r="V36" s="221">
        <f t="shared" si="5"/>
        <v>25000</v>
      </c>
      <c r="W36" s="221">
        <f t="shared" si="10"/>
        <v>25000</v>
      </c>
      <c r="X36" s="221">
        <f t="shared" si="10"/>
        <v>25000</v>
      </c>
      <c r="Y36" s="221">
        <f t="shared" si="10"/>
        <v>25000</v>
      </c>
      <c r="Z36" s="221">
        <f t="shared" si="10"/>
        <v>25000</v>
      </c>
    </row>
    <row r="37" spans="2:26" x14ac:dyDescent="0.3">
      <c r="B37" s="163" t="s">
        <v>77</v>
      </c>
      <c r="C37" s="192">
        <f>INDEX(ExistingStoreTable,MATCH($B37,ExistingStoreRow,0),MATCH($C$5,ExistingStoreColumn,0))/4</f>
        <v>7500</v>
      </c>
      <c r="D37" s="203">
        <f t="shared" si="2"/>
        <v>1.7119379137183293E-2</v>
      </c>
      <c r="E37" s="225" t="str">
        <f>VLOOKUP($B37,Inputs!$B$60:$C$76,2,FALSE)</f>
        <v>Fixed</v>
      </c>
      <c r="G37" s="221">
        <f t="shared" si="5"/>
        <v>7500</v>
      </c>
      <c r="H37" s="221">
        <f t="shared" si="5"/>
        <v>7500</v>
      </c>
      <c r="I37" s="221">
        <f t="shared" si="5"/>
        <v>7500</v>
      </c>
      <c r="J37" s="221">
        <f t="shared" si="5"/>
        <v>7500</v>
      </c>
      <c r="K37" s="221">
        <f t="shared" si="5"/>
        <v>7500</v>
      </c>
      <c r="L37" s="221">
        <f t="shared" si="5"/>
        <v>7500</v>
      </c>
      <c r="M37" s="221">
        <f t="shared" si="5"/>
        <v>7500</v>
      </c>
      <c r="N37" s="221">
        <f t="shared" si="5"/>
        <v>7500</v>
      </c>
      <c r="O37" s="221">
        <f t="shared" si="5"/>
        <v>7500</v>
      </c>
      <c r="P37" s="221">
        <f t="shared" si="5"/>
        <v>7500</v>
      </c>
      <c r="Q37" s="221">
        <f t="shared" si="5"/>
        <v>7500</v>
      </c>
      <c r="R37" s="221">
        <f t="shared" si="5"/>
        <v>7500</v>
      </c>
      <c r="S37" s="221">
        <f t="shared" si="5"/>
        <v>7500</v>
      </c>
      <c r="T37" s="221">
        <f t="shared" si="5"/>
        <v>7500</v>
      </c>
      <c r="U37" s="221">
        <f t="shared" si="5"/>
        <v>7500</v>
      </c>
      <c r="V37" s="221">
        <f t="shared" si="5"/>
        <v>7500</v>
      </c>
      <c r="W37" s="221">
        <f t="shared" si="10"/>
        <v>7500</v>
      </c>
      <c r="X37" s="221">
        <f t="shared" si="10"/>
        <v>7500</v>
      </c>
      <c r="Y37" s="221">
        <f t="shared" si="10"/>
        <v>7500</v>
      </c>
      <c r="Z37" s="221">
        <f t="shared" si="10"/>
        <v>7500</v>
      </c>
    </row>
    <row r="38" spans="2:26" x14ac:dyDescent="0.3">
      <c r="B38" s="199" t="s">
        <v>204</v>
      </c>
      <c r="C38" s="194">
        <f>INDEX(ExistingStoreTable,MATCH($B38,ExistingStoreRow,0),MATCH($C$5,ExistingStoreColumn,0))/4</f>
        <v>32500</v>
      </c>
      <c r="D38" s="204">
        <f t="shared" si="2"/>
        <v>7.418397626112759E-2</v>
      </c>
      <c r="E38" s="227"/>
      <c r="G38" s="222">
        <f>SUM(G36:G37)</f>
        <v>32500</v>
      </c>
      <c r="H38" s="222">
        <f t="shared" ref="H38:Z38" si="12">SUM(H36:H37)</f>
        <v>32500</v>
      </c>
      <c r="I38" s="222">
        <f t="shared" si="12"/>
        <v>32500</v>
      </c>
      <c r="J38" s="222">
        <f t="shared" si="12"/>
        <v>32500</v>
      </c>
      <c r="K38" s="222">
        <f t="shared" si="12"/>
        <v>32500</v>
      </c>
      <c r="L38" s="222">
        <f t="shared" si="12"/>
        <v>32500</v>
      </c>
      <c r="M38" s="222">
        <f t="shared" si="12"/>
        <v>32500</v>
      </c>
      <c r="N38" s="222">
        <f t="shared" si="12"/>
        <v>32500</v>
      </c>
      <c r="O38" s="222">
        <f t="shared" si="12"/>
        <v>32500</v>
      </c>
      <c r="P38" s="222">
        <f t="shared" si="12"/>
        <v>32500</v>
      </c>
      <c r="Q38" s="222">
        <f t="shared" si="12"/>
        <v>32500</v>
      </c>
      <c r="R38" s="222">
        <f t="shared" si="12"/>
        <v>32500</v>
      </c>
      <c r="S38" s="222">
        <f t="shared" si="12"/>
        <v>32500</v>
      </c>
      <c r="T38" s="222">
        <f t="shared" si="12"/>
        <v>32500</v>
      </c>
      <c r="U38" s="222">
        <f t="shared" si="12"/>
        <v>32500</v>
      </c>
      <c r="V38" s="222">
        <f t="shared" si="12"/>
        <v>32500</v>
      </c>
      <c r="W38" s="222">
        <f t="shared" si="12"/>
        <v>32500</v>
      </c>
      <c r="X38" s="222">
        <f t="shared" si="12"/>
        <v>32500</v>
      </c>
      <c r="Y38" s="222">
        <f t="shared" si="12"/>
        <v>32500</v>
      </c>
      <c r="Z38" s="222">
        <f t="shared" si="12"/>
        <v>32500</v>
      </c>
    </row>
    <row r="39" spans="2:26" x14ac:dyDescent="0.3">
      <c r="C39" s="192"/>
      <c r="D39" s="203"/>
      <c r="E39" s="227"/>
      <c r="G39" s="221"/>
      <c r="H39" s="221"/>
      <c r="I39" s="221"/>
      <c r="J39" s="221"/>
      <c r="K39" s="221"/>
      <c r="L39" s="221"/>
      <c r="M39" s="221"/>
      <c r="N39" s="221"/>
      <c r="O39" s="221"/>
      <c r="P39" s="221"/>
      <c r="Q39" s="221"/>
      <c r="R39" s="221"/>
      <c r="S39" s="221"/>
      <c r="T39" s="221"/>
      <c r="U39" s="221"/>
      <c r="V39" s="221"/>
      <c r="W39" s="221"/>
      <c r="X39" s="221"/>
      <c r="Y39" s="221"/>
      <c r="Z39" s="221"/>
    </row>
    <row r="40" spans="2:26" ht="14.5" thickBot="1" x14ac:dyDescent="0.35">
      <c r="B40" s="202" t="s">
        <v>205</v>
      </c>
      <c r="C40" s="254">
        <f>INDEX(ExistingStoreTable,MATCH($B40,ExistingStoreRow,0),MATCH($C$5,ExistingStoreColumn,0))/4</f>
        <v>82742.791999999972</v>
      </c>
      <c r="D40" s="206">
        <f t="shared" si="2"/>
        <v>0.18886736361561282</v>
      </c>
      <c r="E40" s="227"/>
      <c r="G40" s="224">
        <f>G10-G23-G27-G34-G38</f>
        <v>83835.86294000005</v>
      </c>
      <c r="H40" s="224">
        <f t="shared" ref="H40:Z40" si="13">H10-H23-H27-H34-H38</f>
        <v>84937.131912049997</v>
      </c>
      <c r="I40" s="224">
        <f t="shared" si="13"/>
        <v>86046.6604013904</v>
      </c>
      <c r="J40" s="224">
        <f t="shared" si="13"/>
        <v>87164.510354400816</v>
      </c>
      <c r="K40" s="224">
        <f t="shared" si="13"/>
        <v>88290.744182058799</v>
      </c>
      <c r="L40" s="224">
        <f t="shared" si="13"/>
        <v>89425.424763424322</v>
      </c>
      <c r="M40" s="224">
        <f t="shared" si="13"/>
        <v>90568.615449149991</v>
      </c>
      <c r="N40" s="224">
        <f t="shared" si="13"/>
        <v>91720.380065018617</v>
      </c>
      <c r="O40" s="224">
        <f t="shared" si="13"/>
        <v>92880.78291550625</v>
      </c>
      <c r="P40" s="224">
        <f t="shared" si="13"/>
        <v>94049.888787372562</v>
      </c>
      <c r="Q40" s="224">
        <f t="shared" si="13"/>
        <v>95227.762953277881</v>
      </c>
      <c r="R40" s="224">
        <f t="shared" si="13"/>
        <v>96414.471175427432</v>
      </c>
      <c r="S40" s="224">
        <f t="shared" si="13"/>
        <v>97610.079709243219</v>
      </c>
      <c r="T40" s="224">
        <f t="shared" si="13"/>
        <v>98814.655307062523</v>
      </c>
      <c r="U40" s="224">
        <f t="shared" si="13"/>
        <v>100028.26522186547</v>
      </c>
      <c r="V40" s="224">
        <f t="shared" si="13"/>
        <v>101250.97721102953</v>
      </c>
      <c r="W40" s="224">
        <f t="shared" si="13"/>
        <v>102482.85954011223</v>
      </c>
      <c r="X40" s="224">
        <f t="shared" si="13"/>
        <v>103723.98098666311</v>
      </c>
      <c r="Y40" s="224">
        <f t="shared" si="13"/>
        <v>104974.41084406304</v>
      </c>
      <c r="Z40" s="224">
        <f t="shared" si="13"/>
        <v>106234.21892539351</v>
      </c>
    </row>
    <row r="41" spans="2:26" ht="14.5" thickTop="1" x14ac:dyDescent="0.3"/>
  </sheetData>
  <dataValidations count="1">
    <dataValidation type="list" allowBlank="1" showInputMessage="1" showErrorMessage="1" sqref="C5">
      <formula1>StoreList</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Z41"/>
  <sheetViews>
    <sheetView zoomScale="83" zoomScaleNormal="83" workbookViewId="0">
      <pane xSplit="5" topLeftCell="F1" activePane="topRight" state="frozen"/>
      <selection pane="topRight" activeCell="E18" sqref="E18"/>
    </sheetView>
  </sheetViews>
  <sheetFormatPr defaultRowHeight="14" x14ac:dyDescent="0.3"/>
  <cols>
    <col min="1" max="1" width="3.7265625" style="163" customWidth="1"/>
    <col min="2" max="2" width="40.90625" style="163" bestFit="1" customWidth="1"/>
    <col min="3" max="3" width="10.453125" style="163" bestFit="1" customWidth="1"/>
    <col min="4" max="4" width="14.54296875" style="163" bestFit="1" customWidth="1"/>
    <col min="5" max="5" width="14.90625" style="163" bestFit="1" customWidth="1"/>
    <col min="6" max="6" width="2.7265625" style="163" customWidth="1"/>
    <col min="7" max="26" width="10.453125" style="163" bestFit="1" customWidth="1"/>
    <col min="27" max="16384" width="8.7265625" style="163"/>
  </cols>
  <sheetData>
    <row r="2" spans="2:26" x14ac:dyDescent="0.3">
      <c r="B2" s="165" t="s">
        <v>207</v>
      </c>
    </row>
    <row r="3" spans="2:26" x14ac:dyDescent="0.3">
      <c r="B3" s="165" t="s">
        <v>208</v>
      </c>
    </row>
    <row r="4" spans="2:26" x14ac:dyDescent="0.3">
      <c r="B4" s="165"/>
    </row>
    <row r="5" spans="2:26" x14ac:dyDescent="0.3">
      <c r="B5" s="250" t="s">
        <v>221</v>
      </c>
      <c r="C5" s="251" t="s">
        <v>84</v>
      </c>
    </row>
    <row r="6" spans="2:26" x14ac:dyDescent="0.3">
      <c r="B6" s="250" t="s">
        <v>222</v>
      </c>
      <c r="C6" s="192">
        <f>VLOOKUP($C$5,Inputs!$B$10:$C$15,2,FALSE)</f>
        <v>47100</v>
      </c>
    </row>
    <row r="7" spans="2:26" x14ac:dyDescent="0.3">
      <c r="B7" s="188" t="s">
        <v>209</v>
      </c>
      <c r="C7" s="193">
        <f>VLOOKUP($C$5,Inputs!$B$10:$D$14,3,FALSE)</f>
        <v>0.04</v>
      </c>
      <c r="E7" s="193"/>
    </row>
    <row r="8" spans="2:26" x14ac:dyDescent="0.3">
      <c r="B8" s="188"/>
      <c r="C8" s="200"/>
      <c r="G8" s="208" t="s">
        <v>6</v>
      </c>
      <c r="H8" s="209"/>
      <c r="I8" s="209"/>
      <c r="J8" s="209"/>
      <c r="K8" s="208" t="s">
        <v>7</v>
      </c>
      <c r="L8" s="209"/>
      <c r="M8" s="209"/>
      <c r="N8" s="209"/>
      <c r="O8" s="208" t="s">
        <v>8</v>
      </c>
      <c r="P8" s="209"/>
      <c r="Q8" s="209"/>
      <c r="R8" s="209"/>
      <c r="S8" s="208" t="s">
        <v>9</v>
      </c>
      <c r="T8" s="209"/>
      <c r="U8" s="209"/>
      <c r="V8" s="209"/>
      <c r="W8" s="208" t="s">
        <v>10</v>
      </c>
      <c r="X8" s="209"/>
      <c r="Y8" s="209"/>
      <c r="Z8" s="209"/>
    </row>
    <row r="9" spans="2:26" x14ac:dyDescent="0.3">
      <c r="C9" s="201" t="s">
        <v>210</v>
      </c>
      <c r="D9" s="201" t="s">
        <v>211</v>
      </c>
      <c r="E9" s="201" t="s">
        <v>212</v>
      </c>
      <c r="F9" s="201"/>
      <c r="G9" s="201" t="s">
        <v>11</v>
      </c>
      <c r="H9" s="201" t="s">
        <v>12</v>
      </c>
      <c r="I9" s="201" t="s">
        <v>13</v>
      </c>
      <c r="J9" s="201" t="s">
        <v>14</v>
      </c>
      <c r="K9" s="201" t="s">
        <v>11</v>
      </c>
      <c r="L9" s="201" t="s">
        <v>12</v>
      </c>
      <c r="M9" s="201" t="s">
        <v>13</v>
      </c>
      <c r="N9" s="201" t="s">
        <v>14</v>
      </c>
      <c r="O9" s="201" t="s">
        <v>11</v>
      </c>
      <c r="P9" s="201" t="s">
        <v>12</v>
      </c>
      <c r="Q9" s="201" t="s">
        <v>13</v>
      </c>
      <c r="R9" s="201" t="s">
        <v>14</v>
      </c>
      <c r="S9" s="201" t="s">
        <v>11</v>
      </c>
      <c r="T9" s="201" t="s">
        <v>12</v>
      </c>
      <c r="U9" s="201" t="s">
        <v>13</v>
      </c>
      <c r="V9" s="201" t="s">
        <v>14</v>
      </c>
      <c r="W9" s="201" t="s">
        <v>11</v>
      </c>
      <c r="X9" s="201" t="s">
        <v>12</v>
      </c>
      <c r="Y9" s="201" t="s">
        <v>13</v>
      </c>
      <c r="Z9" s="201" t="s">
        <v>14</v>
      </c>
    </row>
    <row r="10" spans="2:26" x14ac:dyDescent="0.3">
      <c r="B10" s="163" t="s">
        <v>15</v>
      </c>
      <c r="C10" s="192">
        <f>INDEX(ExistingStoreTable,MATCH($B10,ExistingStoreRow,0),MATCH($C$5,ExistingStoreColumn,0))/4</f>
        <v>612300</v>
      </c>
      <c r="D10" s="203"/>
      <c r="G10" s="221">
        <f>C10*((1+$C$7/4))</f>
        <v>618423</v>
      </c>
      <c r="H10" s="221">
        <f>G10*(1+$C$7/4)</f>
        <v>624607.23</v>
      </c>
      <c r="I10" s="221">
        <f t="shared" ref="I10:Z10" si="0">H10*(1+$C$7/4)</f>
        <v>630853.30229999998</v>
      </c>
      <c r="J10" s="221">
        <f t="shared" si="0"/>
        <v>637161.83532299998</v>
      </c>
      <c r="K10" s="221">
        <f t="shared" si="0"/>
        <v>643533.45367622992</v>
      </c>
      <c r="L10" s="221">
        <f t="shared" si="0"/>
        <v>649968.78821299225</v>
      </c>
      <c r="M10" s="221">
        <f t="shared" si="0"/>
        <v>656468.47609512217</v>
      </c>
      <c r="N10" s="221">
        <f t="shared" si="0"/>
        <v>663033.16085607337</v>
      </c>
      <c r="O10" s="221">
        <f t="shared" si="0"/>
        <v>669663.49246463412</v>
      </c>
      <c r="P10" s="221">
        <f t="shared" si="0"/>
        <v>676360.12738928047</v>
      </c>
      <c r="Q10" s="221">
        <f t="shared" si="0"/>
        <v>683123.72866317327</v>
      </c>
      <c r="R10" s="221">
        <f t="shared" si="0"/>
        <v>689954.96594980499</v>
      </c>
      <c r="S10" s="221">
        <f t="shared" si="0"/>
        <v>696854.51560930302</v>
      </c>
      <c r="T10" s="221">
        <f t="shared" si="0"/>
        <v>703823.06076539611</v>
      </c>
      <c r="U10" s="221">
        <f t="shared" si="0"/>
        <v>710861.29137305007</v>
      </c>
      <c r="V10" s="221">
        <f t="shared" si="0"/>
        <v>717969.90428678063</v>
      </c>
      <c r="W10" s="221">
        <f t="shared" si="0"/>
        <v>725149.6033296485</v>
      </c>
      <c r="X10" s="221">
        <f t="shared" si="0"/>
        <v>732401.09936294495</v>
      </c>
      <c r="Y10" s="221">
        <f t="shared" si="0"/>
        <v>739725.11035657441</v>
      </c>
      <c r="Z10" s="221">
        <f t="shared" si="0"/>
        <v>747122.36146014021</v>
      </c>
    </row>
    <row r="11" spans="2:26" x14ac:dyDescent="0.3">
      <c r="C11" s="192"/>
      <c r="D11" s="203"/>
      <c r="G11" s="210"/>
      <c r="H11" s="210"/>
      <c r="I11" s="210"/>
      <c r="J11" s="210"/>
      <c r="K11" s="210"/>
      <c r="L11" s="210"/>
      <c r="M11" s="210"/>
      <c r="N11" s="210"/>
      <c r="O11" s="210"/>
      <c r="P11" s="210"/>
      <c r="Q11" s="210"/>
      <c r="R11" s="210"/>
      <c r="S11" s="210"/>
      <c r="T11" s="210"/>
      <c r="U11" s="210"/>
      <c r="V11" s="210"/>
      <c r="W11" s="210"/>
      <c r="X11" s="210"/>
      <c r="Y11" s="210"/>
      <c r="Z11" s="210"/>
    </row>
    <row r="12" spans="2:26" x14ac:dyDescent="0.3">
      <c r="B12" s="163" t="s">
        <v>66</v>
      </c>
      <c r="C12" s="192">
        <f>INDEX(ExistingStoreTable,MATCH($B12,ExistingStoreRow,0),MATCH($C$5,ExistingStoreColumn,0))/4</f>
        <v>22000</v>
      </c>
      <c r="D12" s="203">
        <f>C12/$C$10</f>
        <v>3.5930099624367141E-2</v>
      </c>
      <c r="E12" s="225" t="str">
        <f>VLOOKUP($B12,Inputs!$B$60:$C$76,2,FALSE)</f>
        <v>Variable</v>
      </c>
      <c r="G12" s="221">
        <f>IF($E12="Variable",G$10*$D12,$C12)</f>
        <v>22220</v>
      </c>
      <c r="H12" s="221">
        <f t="shared" ref="H12:Z26" si="1">IF($E12="Variable",H$10*$D12,$C12)</f>
        <v>22442.2</v>
      </c>
      <c r="I12" s="221">
        <f t="shared" si="1"/>
        <v>22666.621999999999</v>
      </c>
      <c r="J12" s="221">
        <f t="shared" si="1"/>
        <v>22893.288219999999</v>
      </c>
      <c r="K12" s="221">
        <f t="shared" si="1"/>
        <v>23122.221102199997</v>
      </c>
      <c r="L12" s="221">
        <f t="shared" si="1"/>
        <v>23353.443313222</v>
      </c>
      <c r="M12" s="221">
        <f t="shared" si="1"/>
        <v>23586.97774635422</v>
      </c>
      <c r="N12" s="221">
        <f t="shared" si="1"/>
        <v>23822.84752381776</v>
      </c>
      <c r="O12" s="221">
        <f t="shared" si="1"/>
        <v>24061.075999055938</v>
      </c>
      <c r="P12" s="221">
        <f t="shared" si="1"/>
        <v>24301.686759046497</v>
      </c>
      <c r="Q12" s="221">
        <f t="shared" si="1"/>
        <v>24544.703626636961</v>
      </c>
      <c r="R12" s="221">
        <f t="shared" si="1"/>
        <v>24790.150662903332</v>
      </c>
      <c r="S12" s="221">
        <f t="shared" si="1"/>
        <v>25038.052169532366</v>
      </c>
      <c r="T12" s="221">
        <f t="shared" si="1"/>
        <v>25288.432691227692</v>
      </c>
      <c r="U12" s="221">
        <f t="shared" si="1"/>
        <v>25541.317018139969</v>
      </c>
      <c r="V12" s="221">
        <f t="shared" si="1"/>
        <v>25796.730188321369</v>
      </c>
      <c r="W12" s="221">
        <f t="shared" si="1"/>
        <v>26054.697490204584</v>
      </c>
      <c r="X12" s="221">
        <f t="shared" si="1"/>
        <v>26315.244465106629</v>
      </c>
      <c r="Y12" s="221">
        <f t="shared" si="1"/>
        <v>26578.396909757696</v>
      </c>
      <c r="Z12" s="221">
        <f t="shared" si="1"/>
        <v>26844.180878855277</v>
      </c>
    </row>
    <row r="13" spans="2:26" x14ac:dyDescent="0.3">
      <c r="B13" s="163" t="s">
        <v>69</v>
      </c>
      <c r="C13" s="192">
        <f>INDEX(ExistingStoreTable,MATCH($B13,ExistingStoreRow,0),MATCH($C$5,ExistingStoreColumn,0))/4</f>
        <v>101504</v>
      </c>
      <c r="D13" s="203">
        <f t="shared" ref="D13:D40" si="2">C13/$C$10</f>
        <v>0.16577494692144373</v>
      </c>
      <c r="E13" s="225" t="str">
        <f>VLOOKUP($B13,Inputs!$B$60:$C$76,2,FALSE)</f>
        <v>Variable</v>
      </c>
      <c r="G13" s="221">
        <f>IF($E13="Variable",G$10*$D13,$C13)</f>
        <v>102519.03999999999</v>
      </c>
      <c r="H13" s="221">
        <f t="shared" si="1"/>
        <v>103544.2304</v>
      </c>
      <c r="I13" s="221">
        <f t="shared" si="1"/>
        <v>104579.672704</v>
      </c>
      <c r="J13" s="221">
        <f t="shared" si="1"/>
        <v>105625.46943103999</v>
      </c>
      <c r="K13" s="221">
        <f t="shared" si="1"/>
        <v>106681.72412535039</v>
      </c>
      <c r="L13" s="221">
        <f t="shared" si="1"/>
        <v>107748.54136660389</v>
      </c>
      <c r="M13" s="221">
        <f t="shared" si="1"/>
        <v>108826.02678026994</v>
      </c>
      <c r="N13" s="221">
        <f t="shared" si="1"/>
        <v>109914.28704807263</v>
      </c>
      <c r="O13" s="221">
        <f>IF($E13="Variable",O$10*$D13,$C13)</f>
        <v>111013.42991855336</v>
      </c>
      <c r="P13" s="221">
        <f t="shared" si="1"/>
        <v>112123.56421773889</v>
      </c>
      <c r="Q13" s="221">
        <f t="shared" si="1"/>
        <v>113244.79985991628</v>
      </c>
      <c r="R13" s="221">
        <f t="shared" si="1"/>
        <v>114377.24785851545</v>
      </c>
      <c r="S13" s="221">
        <f t="shared" si="1"/>
        <v>115521.02033710059</v>
      </c>
      <c r="T13" s="221">
        <f t="shared" si="1"/>
        <v>116676.2305404716</v>
      </c>
      <c r="U13" s="221">
        <f t="shared" si="1"/>
        <v>117842.99284587632</v>
      </c>
      <c r="V13" s="221">
        <f t="shared" si="1"/>
        <v>119021.42277433509</v>
      </c>
      <c r="W13" s="221">
        <f t="shared" si="1"/>
        <v>120211.63700207845</v>
      </c>
      <c r="X13" s="221">
        <f t="shared" si="1"/>
        <v>121413.75337209924</v>
      </c>
      <c r="Y13" s="221">
        <f t="shared" si="1"/>
        <v>122627.89090582023</v>
      </c>
      <c r="Z13" s="221">
        <f t="shared" si="1"/>
        <v>123854.16981487845</v>
      </c>
    </row>
    <row r="14" spans="2:26" x14ac:dyDescent="0.3">
      <c r="B14" s="199" t="s">
        <v>199</v>
      </c>
      <c r="C14" s="194">
        <f>INDEX(ExistingStoreTable,MATCH($B14,ExistingStoreRow,0),MATCH($C$5,ExistingStoreColumn,0))/4</f>
        <v>123504</v>
      </c>
      <c r="D14" s="204">
        <f t="shared" si="2"/>
        <v>0.20170504654581087</v>
      </c>
      <c r="E14" s="227"/>
      <c r="G14" s="222">
        <f>SUM(G12:G13)</f>
        <v>124739.04</v>
      </c>
      <c r="H14" s="222">
        <f t="shared" ref="H14:Z14" si="3">SUM(H12:H13)</f>
        <v>125986.4304</v>
      </c>
      <c r="I14" s="222">
        <f t="shared" si="3"/>
        <v>127246.294704</v>
      </c>
      <c r="J14" s="222">
        <f t="shared" si="3"/>
        <v>128518.75765104</v>
      </c>
      <c r="K14" s="222">
        <f t="shared" si="3"/>
        <v>129803.94522755039</v>
      </c>
      <c r="L14" s="222">
        <f t="shared" si="3"/>
        <v>131101.9846798259</v>
      </c>
      <c r="M14" s="222">
        <f t="shared" si="3"/>
        <v>132413.00452662417</v>
      </c>
      <c r="N14" s="222">
        <f t="shared" si="3"/>
        <v>133737.13457189038</v>
      </c>
      <c r="O14" s="222">
        <f t="shared" si="3"/>
        <v>135074.50591760929</v>
      </c>
      <c r="P14" s="222">
        <f t="shared" si="3"/>
        <v>136425.25097678538</v>
      </c>
      <c r="Q14" s="222">
        <f t="shared" si="3"/>
        <v>137789.50348655324</v>
      </c>
      <c r="R14" s="222">
        <f t="shared" si="3"/>
        <v>139167.39852141877</v>
      </c>
      <c r="S14" s="222">
        <f t="shared" si="3"/>
        <v>140559.07250663295</v>
      </c>
      <c r="T14" s="222">
        <f t="shared" si="3"/>
        <v>141964.66323169929</v>
      </c>
      <c r="U14" s="222">
        <f t="shared" si="3"/>
        <v>143384.30986401628</v>
      </c>
      <c r="V14" s="222">
        <f t="shared" si="3"/>
        <v>144818.15296265646</v>
      </c>
      <c r="W14" s="222">
        <f t="shared" si="3"/>
        <v>146266.33449228303</v>
      </c>
      <c r="X14" s="222">
        <f t="shared" si="3"/>
        <v>147728.99783720585</v>
      </c>
      <c r="Y14" s="222">
        <f t="shared" si="3"/>
        <v>149206.28781557793</v>
      </c>
      <c r="Z14" s="222">
        <f t="shared" si="3"/>
        <v>150698.35069373372</v>
      </c>
    </row>
    <row r="15" spans="2:26" x14ac:dyDescent="0.3">
      <c r="C15" s="192"/>
      <c r="D15" s="203"/>
      <c r="E15" s="227"/>
      <c r="G15" s="221"/>
      <c r="H15" s="221"/>
      <c r="I15" s="221"/>
      <c r="J15" s="221"/>
      <c r="K15" s="221"/>
      <c r="L15" s="221"/>
      <c r="M15" s="221"/>
      <c r="N15" s="221"/>
      <c r="O15" s="221"/>
      <c r="P15" s="221"/>
      <c r="Q15" s="221"/>
      <c r="R15" s="221"/>
      <c r="S15" s="221"/>
      <c r="T15" s="221"/>
      <c r="U15" s="221"/>
      <c r="V15" s="221"/>
      <c r="W15" s="221"/>
      <c r="X15" s="221"/>
      <c r="Y15" s="221"/>
      <c r="Z15" s="221"/>
    </row>
    <row r="16" spans="2:26" x14ac:dyDescent="0.3">
      <c r="B16" s="163" t="s">
        <v>1</v>
      </c>
      <c r="C16" s="192">
        <f t="shared" ref="C16:C23" si="4">INDEX(ExistingStoreTable,MATCH($B16,ExistingStoreRow,0),MATCH($C$5,ExistingStoreColumn,0))/4</f>
        <v>9509.8079999999991</v>
      </c>
      <c r="D16" s="203">
        <f t="shared" si="2"/>
        <v>1.5531288584027437E-2</v>
      </c>
      <c r="E16" s="225" t="str">
        <f>VLOOKUP($B16,Inputs!$B$60:$C$76,2,FALSE)</f>
        <v>Variable</v>
      </c>
      <c r="G16" s="221">
        <f t="shared" ref="G16:V37" si="5">IF($E16="Variable",G$10*$D16,$C16)</f>
        <v>9604.9060799999988</v>
      </c>
      <c r="H16" s="221">
        <f t="shared" si="1"/>
        <v>9700.9551407999988</v>
      </c>
      <c r="I16" s="221">
        <f t="shared" si="1"/>
        <v>9797.9646922079992</v>
      </c>
      <c r="J16" s="221">
        <f t="shared" si="1"/>
        <v>9895.9443391300792</v>
      </c>
      <c r="K16" s="221">
        <f t="shared" si="1"/>
        <v>9994.9037825213782</v>
      </c>
      <c r="L16" s="221">
        <f t="shared" si="1"/>
        <v>10094.852820346594</v>
      </c>
      <c r="M16" s="221">
        <f t="shared" si="1"/>
        <v>10195.80134855006</v>
      </c>
      <c r="N16" s="221">
        <f t="shared" si="1"/>
        <v>10297.75936203556</v>
      </c>
      <c r="O16" s="221">
        <f t="shared" si="1"/>
        <v>10400.736955655915</v>
      </c>
      <c r="P16" s="221">
        <f t="shared" si="1"/>
        <v>10504.744325212474</v>
      </c>
      <c r="Q16" s="221">
        <f t="shared" si="1"/>
        <v>10609.7917684646</v>
      </c>
      <c r="R16" s="221">
        <f t="shared" si="1"/>
        <v>10715.889686149245</v>
      </c>
      <c r="S16" s="221">
        <f t="shared" si="1"/>
        <v>10823.048583010737</v>
      </c>
      <c r="T16" s="221">
        <f t="shared" si="1"/>
        <v>10931.279068840846</v>
      </c>
      <c r="U16" s="221">
        <f t="shared" si="1"/>
        <v>11040.591859529253</v>
      </c>
      <c r="V16" s="221">
        <f t="shared" si="1"/>
        <v>11150.997778124547</v>
      </c>
      <c r="W16" s="221">
        <f t="shared" si="1"/>
        <v>11262.507755905794</v>
      </c>
      <c r="X16" s="221">
        <f t="shared" si="1"/>
        <v>11375.132833464852</v>
      </c>
      <c r="Y16" s="221">
        <f t="shared" si="1"/>
        <v>11488.8841617995</v>
      </c>
      <c r="Z16" s="221">
        <f t="shared" si="1"/>
        <v>11603.773003417497</v>
      </c>
    </row>
    <row r="17" spans="2:26" x14ac:dyDescent="0.3">
      <c r="B17" s="163" t="s">
        <v>0</v>
      </c>
      <c r="C17" s="192">
        <f t="shared" si="4"/>
        <v>5750</v>
      </c>
      <c r="D17" s="203">
        <f t="shared" si="2"/>
        <v>9.3908214927323208E-3</v>
      </c>
      <c r="E17" s="225" t="str">
        <f>VLOOKUP($B17,Inputs!$B$60:$C$76,2,FALSE)</f>
        <v>Fixed</v>
      </c>
      <c r="G17" s="221">
        <f t="shared" si="5"/>
        <v>5750</v>
      </c>
      <c r="H17" s="221">
        <f t="shared" si="1"/>
        <v>5750</v>
      </c>
      <c r="I17" s="221">
        <f t="shared" si="1"/>
        <v>5750</v>
      </c>
      <c r="J17" s="221">
        <f t="shared" si="1"/>
        <v>5750</v>
      </c>
      <c r="K17" s="221">
        <f t="shared" si="1"/>
        <v>5750</v>
      </c>
      <c r="L17" s="221">
        <f t="shared" si="1"/>
        <v>5750</v>
      </c>
      <c r="M17" s="221">
        <f t="shared" si="1"/>
        <v>5750</v>
      </c>
      <c r="N17" s="221">
        <f t="shared" si="1"/>
        <v>5750</v>
      </c>
      <c r="O17" s="221">
        <f t="shared" si="1"/>
        <v>5750</v>
      </c>
      <c r="P17" s="221">
        <f t="shared" si="1"/>
        <v>5750</v>
      </c>
      <c r="Q17" s="221">
        <f t="shared" si="1"/>
        <v>5750</v>
      </c>
      <c r="R17" s="221">
        <f t="shared" si="1"/>
        <v>5750</v>
      </c>
      <c r="S17" s="221">
        <f t="shared" si="1"/>
        <v>5750</v>
      </c>
      <c r="T17" s="221">
        <f t="shared" si="1"/>
        <v>5750</v>
      </c>
      <c r="U17" s="221">
        <f t="shared" si="1"/>
        <v>5750</v>
      </c>
      <c r="V17" s="221">
        <f t="shared" si="1"/>
        <v>5750</v>
      </c>
      <c r="W17" s="221">
        <f t="shared" si="1"/>
        <v>5750</v>
      </c>
      <c r="X17" s="221">
        <f t="shared" si="1"/>
        <v>5750</v>
      </c>
      <c r="Y17" s="221">
        <f t="shared" si="1"/>
        <v>5750</v>
      </c>
      <c r="Z17" s="221">
        <f t="shared" si="1"/>
        <v>5750</v>
      </c>
    </row>
    <row r="18" spans="2:26" x14ac:dyDescent="0.3">
      <c r="B18" s="163" t="s">
        <v>2</v>
      </c>
      <c r="C18" s="192">
        <f t="shared" si="4"/>
        <v>2778.8399999999997</v>
      </c>
      <c r="D18" s="203">
        <f t="shared" si="2"/>
        <v>4.5383635472807443E-3</v>
      </c>
      <c r="E18" s="225" t="str">
        <f>VLOOKUP($B18,Inputs!$B$60:$C$76,2,FALSE)</f>
        <v>Variable</v>
      </c>
      <c r="G18" s="221">
        <f t="shared" si="5"/>
        <v>2806.6283999999996</v>
      </c>
      <c r="H18" s="221">
        <f t="shared" si="1"/>
        <v>2834.6946839999996</v>
      </c>
      <c r="I18" s="221">
        <f t="shared" si="1"/>
        <v>2863.0416308399995</v>
      </c>
      <c r="J18" s="221">
        <f t="shared" si="1"/>
        <v>2891.6720471483995</v>
      </c>
      <c r="K18" s="221">
        <f t="shared" si="1"/>
        <v>2920.5887676198836</v>
      </c>
      <c r="L18" s="221">
        <f t="shared" si="1"/>
        <v>2949.7946552960825</v>
      </c>
      <c r="M18" s="221">
        <f t="shared" si="1"/>
        <v>2979.292601849043</v>
      </c>
      <c r="N18" s="221">
        <f t="shared" si="1"/>
        <v>3009.0855278675335</v>
      </c>
      <c r="O18" s="221">
        <f t="shared" si="1"/>
        <v>3039.176383146209</v>
      </c>
      <c r="P18" s="221">
        <f t="shared" si="1"/>
        <v>3069.5681469776709</v>
      </c>
      <c r="Q18" s="221">
        <f t="shared" si="1"/>
        <v>3100.2638284474478</v>
      </c>
      <c r="R18" s="221">
        <f t="shared" si="1"/>
        <v>3131.2664667319223</v>
      </c>
      <c r="S18" s="221">
        <f t="shared" si="1"/>
        <v>3162.5791313992413</v>
      </c>
      <c r="T18" s="221">
        <f t="shared" si="1"/>
        <v>3194.2049227132338</v>
      </c>
      <c r="U18" s="221">
        <f t="shared" si="1"/>
        <v>3226.1469719403663</v>
      </c>
      <c r="V18" s="221">
        <f t="shared" si="1"/>
        <v>3258.4084416597702</v>
      </c>
      <c r="W18" s="221">
        <f t="shared" si="1"/>
        <v>3290.992526076368</v>
      </c>
      <c r="X18" s="221">
        <f t="shared" si="1"/>
        <v>3323.9024513371319</v>
      </c>
      <c r="Y18" s="221">
        <f t="shared" si="1"/>
        <v>3357.141475850503</v>
      </c>
      <c r="Z18" s="221">
        <f t="shared" si="1"/>
        <v>3390.7128906090084</v>
      </c>
    </row>
    <row r="19" spans="2:26" x14ac:dyDescent="0.3">
      <c r="B19" s="163" t="s">
        <v>3</v>
      </c>
      <c r="C19" s="192">
        <f t="shared" si="4"/>
        <v>2778.8399999999997</v>
      </c>
      <c r="D19" s="203">
        <f t="shared" si="2"/>
        <v>4.5383635472807443E-3</v>
      </c>
      <c r="E19" s="225" t="str">
        <f>VLOOKUP($B19,Inputs!$B$60:$C$76,2,FALSE)</f>
        <v>Variable</v>
      </c>
      <c r="G19" s="221">
        <f t="shared" si="5"/>
        <v>2806.6283999999996</v>
      </c>
      <c r="H19" s="221">
        <f t="shared" si="1"/>
        <v>2834.6946839999996</v>
      </c>
      <c r="I19" s="221">
        <f t="shared" si="1"/>
        <v>2863.0416308399995</v>
      </c>
      <c r="J19" s="221">
        <f t="shared" si="1"/>
        <v>2891.6720471483995</v>
      </c>
      <c r="K19" s="221">
        <f t="shared" si="1"/>
        <v>2920.5887676198836</v>
      </c>
      <c r="L19" s="221">
        <f t="shared" si="1"/>
        <v>2949.7946552960825</v>
      </c>
      <c r="M19" s="221">
        <f t="shared" si="1"/>
        <v>2979.292601849043</v>
      </c>
      <c r="N19" s="221">
        <f t="shared" si="1"/>
        <v>3009.0855278675335</v>
      </c>
      <c r="O19" s="221">
        <f t="shared" si="1"/>
        <v>3039.176383146209</v>
      </c>
      <c r="P19" s="221">
        <f t="shared" si="1"/>
        <v>3069.5681469776709</v>
      </c>
      <c r="Q19" s="221">
        <f t="shared" si="1"/>
        <v>3100.2638284474478</v>
      </c>
      <c r="R19" s="221">
        <f t="shared" si="1"/>
        <v>3131.2664667319223</v>
      </c>
      <c r="S19" s="221">
        <f t="shared" si="1"/>
        <v>3162.5791313992413</v>
      </c>
      <c r="T19" s="221">
        <f t="shared" si="1"/>
        <v>3194.2049227132338</v>
      </c>
      <c r="U19" s="221">
        <f t="shared" si="1"/>
        <v>3226.1469719403663</v>
      </c>
      <c r="V19" s="221">
        <f t="shared" si="1"/>
        <v>3258.4084416597702</v>
      </c>
      <c r="W19" s="221">
        <f t="shared" si="1"/>
        <v>3290.992526076368</v>
      </c>
      <c r="X19" s="221">
        <f t="shared" si="1"/>
        <v>3323.9024513371319</v>
      </c>
      <c r="Y19" s="221">
        <f t="shared" si="1"/>
        <v>3357.141475850503</v>
      </c>
      <c r="Z19" s="221">
        <f t="shared" si="1"/>
        <v>3390.7128906090084</v>
      </c>
    </row>
    <row r="20" spans="2:26" x14ac:dyDescent="0.3">
      <c r="B20" s="163" t="s">
        <v>16</v>
      </c>
      <c r="C20" s="192">
        <f t="shared" si="4"/>
        <v>2778.8399999999997</v>
      </c>
      <c r="D20" s="203">
        <f t="shared" si="2"/>
        <v>4.5383635472807443E-3</v>
      </c>
      <c r="E20" s="225" t="str">
        <f>VLOOKUP($B20,Inputs!$B$60:$C$76,2,FALSE)</f>
        <v>Variable</v>
      </c>
      <c r="G20" s="221">
        <f t="shared" si="5"/>
        <v>2806.6283999999996</v>
      </c>
      <c r="H20" s="221">
        <f t="shared" si="1"/>
        <v>2834.6946839999996</v>
      </c>
      <c r="I20" s="221">
        <f t="shared" si="1"/>
        <v>2863.0416308399995</v>
      </c>
      <c r="J20" s="221">
        <f t="shared" si="1"/>
        <v>2891.6720471483995</v>
      </c>
      <c r="K20" s="221">
        <f t="shared" si="1"/>
        <v>2920.5887676198836</v>
      </c>
      <c r="L20" s="221">
        <f t="shared" si="1"/>
        <v>2949.7946552960825</v>
      </c>
      <c r="M20" s="221">
        <f t="shared" si="1"/>
        <v>2979.292601849043</v>
      </c>
      <c r="N20" s="221">
        <f t="shared" si="1"/>
        <v>3009.0855278675335</v>
      </c>
      <c r="O20" s="221">
        <f t="shared" si="1"/>
        <v>3039.176383146209</v>
      </c>
      <c r="P20" s="221">
        <f t="shared" si="1"/>
        <v>3069.5681469776709</v>
      </c>
      <c r="Q20" s="221">
        <f t="shared" si="1"/>
        <v>3100.2638284474478</v>
      </c>
      <c r="R20" s="221">
        <f t="shared" si="1"/>
        <v>3131.2664667319223</v>
      </c>
      <c r="S20" s="221">
        <f t="shared" si="1"/>
        <v>3162.5791313992413</v>
      </c>
      <c r="T20" s="221">
        <f t="shared" si="1"/>
        <v>3194.2049227132338</v>
      </c>
      <c r="U20" s="221">
        <f t="shared" si="1"/>
        <v>3226.1469719403663</v>
      </c>
      <c r="V20" s="221">
        <f t="shared" si="1"/>
        <v>3258.4084416597702</v>
      </c>
      <c r="W20" s="221">
        <f t="shared" si="1"/>
        <v>3290.992526076368</v>
      </c>
      <c r="X20" s="221">
        <f t="shared" si="1"/>
        <v>3323.9024513371319</v>
      </c>
      <c r="Y20" s="221">
        <f t="shared" si="1"/>
        <v>3357.141475850503</v>
      </c>
      <c r="Z20" s="221">
        <f t="shared" si="1"/>
        <v>3390.7128906090084</v>
      </c>
    </row>
    <row r="21" spans="2:26" x14ac:dyDescent="0.3">
      <c r="B21" s="163" t="s">
        <v>4</v>
      </c>
      <c r="C21" s="192">
        <f t="shared" si="4"/>
        <v>5557.6799999999994</v>
      </c>
      <c r="D21" s="203">
        <f t="shared" si="2"/>
        <v>9.0767270945614886E-3</v>
      </c>
      <c r="E21" s="225" t="str">
        <f>VLOOKUP($B21,Inputs!$B$60:$C$76,2,FALSE)</f>
        <v>Variable</v>
      </c>
      <c r="G21" s="221">
        <f t="shared" si="5"/>
        <v>5613.2567999999992</v>
      </c>
      <c r="H21" s="221">
        <f t="shared" si="1"/>
        <v>5669.3893679999992</v>
      </c>
      <c r="I21" s="221">
        <f t="shared" si="1"/>
        <v>5726.0832616799989</v>
      </c>
      <c r="J21" s="221">
        <f t="shared" si="1"/>
        <v>5783.3440942967991</v>
      </c>
      <c r="K21" s="221">
        <f t="shared" si="1"/>
        <v>5841.1775352397672</v>
      </c>
      <c r="L21" s="221">
        <f t="shared" si="1"/>
        <v>5899.589310592165</v>
      </c>
      <c r="M21" s="221">
        <f t="shared" si="1"/>
        <v>5958.5852036980859</v>
      </c>
      <c r="N21" s="221">
        <f t="shared" si="1"/>
        <v>6018.1710557350671</v>
      </c>
      <c r="O21" s="221">
        <f t="shared" si="1"/>
        <v>6078.352766292418</v>
      </c>
      <c r="P21" s="221">
        <f t="shared" si="1"/>
        <v>6139.1362939553419</v>
      </c>
      <c r="Q21" s="221">
        <f t="shared" si="1"/>
        <v>6200.5276568948957</v>
      </c>
      <c r="R21" s="221">
        <f t="shared" si="1"/>
        <v>6262.5329334638445</v>
      </c>
      <c r="S21" s="221">
        <f t="shared" si="1"/>
        <v>6325.1582627984826</v>
      </c>
      <c r="T21" s="221">
        <f t="shared" si="1"/>
        <v>6388.4098454264677</v>
      </c>
      <c r="U21" s="221">
        <f t="shared" si="1"/>
        <v>6452.2939438807325</v>
      </c>
      <c r="V21" s="221">
        <f t="shared" si="1"/>
        <v>6516.8168833195405</v>
      </c>
      <c r="W21" s="221">
        <f t="shared" si="1"/>
        <v>6581.985052152736</v>
      </c>
      <c r="X21" s="221">
        <f t="shared" si="1"/>
        <v>6647.8049026742638</v>
      </c>
      <c r="Y21" s="221">
        <f t="shared" si="1"/>
        <v>6714.2829517010059</v>
      </c>
      <c r="Z21" s="221">
        <f t="shared" si="1"/>
        <v>6781.4257812180167</v>
      </c>
    </row>
    <row r="22" spans="2:26" x14ac:dyDescent="0.3">
      <c r="B22" s="176" t="s">
        <v>200</v>
      </c>
      <c r="C22" s="194">
        <f t="shared" si="4"/>
        <v>29154.007999999998</v>
      </c>
      <c r="D22" s="205">
        <f t="shared" si="2"/>
        <v>4.7613927813163481E-2</v>
      </c>
      <c r="E22" s="227"/>
      <c r="G22" s="223">
        <f>SUM(G16:G21)</f>
        <v>29388.048079999997</v>
      </c>
      <c r="H22" s="223">
        <f t="shared" ref="H22:Z22" si="6">SUM(H16:H21)</f>
        <v>29624.428560799995</v>
      </c>
      <c r="I22" s="223">
        <f t="shared" si="6"/>
        <v>29863.172846407993</v>
      </c>
      <c r="J22" s="223">
        <f t="shared" si="6"/>
        <v>30104.304574872076</v>
      </c>
      <c r="K22" s="223">
        <f t="shared" si="6"/>
        <v>30347.847620620796</v>
      </c>
      <c r="L22" s="223">
        <f t="shared" si="6"/>
        <v>30593.826096827004</v>
      </c>
      <c r="M22" s="223">
        <f t="shared" si="6"/>
        <v>30842.264357795277</v>
      </c>
      <c r="N22" s="223">
        <f t="shared" si="6"/>
        <v>31093.187001373226</v>
      </c>
      <c r="O22" s="223">
        <f t="shared" si="6"/>
        <v>31346.61887138696</v>
      </c>
      <c r="P22" s="223">
        <f t="shared" si="6"/>
        <v>31602.585060100828</v>
      </c>
      <c r="Q22" s="223">
        <f t="shared" si="6"/>
        <v>31861.110910701842</v>
      </c>
      <c r="R22" s="223">
        <f t="shared" si="6"/>
        <v>32122.222019808858</v>
      </c>
      <c r="S22" s="223">
        <f t="shared" si="6"/>
        <v>32385.944240006942</v>
      </c>
      <c r="T22" s="223">
        <f t="shared" si="6"/>
        <v>32652.303682407015</v>
      </c>
      <c r="U22" s="223">
        <f t="shared" si="6"/>
        <v>32921.326719231081</v>
      </c>
      <c r="V22" s="223">
        <f t="shared" si="6"/>
        <v>33193.039986423391</v>
      </c>
      <c r="W22" s="223">
        <f t="shared" si="6"/>
        <v>33467.470386287627</v>
      </c>
      <c r="X22" s="223">
        <f t="shared" si="6"/>
        <v>33744.645090150516</v>
      </c>
      <c r="Y22" s="223">
        <f t="shared" si="6"/>
        <v>34024.59154105201</v>
      </c>
      <c r="Z22" s="223">
        <f t="shared" si="6"/>
        <v>34307.337456462534</v>
      </c>
    </row>
    <row r="23" spans="2:26" x14ac:dyDescent="0.3">
      <c r="B23" s="199" t="s">
        <v>201</v>
      </c>
      <c r="C23" s="194">
        <f t="shared" si="4"/>
        <v>152658.008</v>
      </c>
      <c r="D23" s="204">
        <f t="shared" si="2"/>
        <v>0.24931897435897435</v>
      </c>
      <c r="E23" s="227"/>
      <c r="G23" s="222">
        <f>G14+G22</f>
        <v>154127.08807999999</v>
      </c>
      <c r="H23" s="222">
        <f t="shared" ref="H23:Z23" si="7">H14+H22</f>
        <v>155610.85896079999</v>
      </c>
      <c r="I23" s="222">
        <f t="shared" si="7"/>
        <v>157109.46755040798</v>
      </c>
      <c r="J23" s="222">
        <f t="shared" si="7"/>
        <v>158623.06222591206</v>
      </c>
      <c r="K23" s="222">
        <f t="shared" si="7"/>
        <v>160151.79284817117</v>
      </c>
      <c r="L23" s="222">
        <f t="shared" si="7"/>
        <v>161695.81077665288</v>
      </c>
      <c r="M23" s="222">
        <f t="shared" si="7"/>
        <v>163255.26888441943</v>
      </c>
      <c r="N23" s="222">
        <f t="shared" si="7"/>
        <v>164830.32157326362</v>
      </c>
      <c r="O23" s="222">
        <f t="shared" si="7"/>
        <v>166421.12478899624</v>
      </c>
      <c r="P23" s="222">
        <f t="shared" si="7"/>
        <v>168027.8360368862</v>
      </c>
      <c r="Q23" s="222">
        <f t="shared" si="7"/>
        <v>169650.61439725506</v>
      </c>
      <c r="R23" s="222">
        <f t="shared" si="7"/>
        <v>171289.62054122763</v>
      </c>
      <c r="S23" s="222">
        <f t="shared" si="7"/>
        <v>172945.01674663989</v>
      </c>
      <c r="T23" s="222">
        <f t="shared" si="7"/>
        <v>174616.96691410631</v>
      </c>
      <c r="U23" s="222">
        <f t="shared" si="7"/>
        <v>176305.63658324737</v>
      </c>
      <c r="V23" s="222">
        <f t="shared" si="7"/>
        <v>178011.19294907985</v>
      </c>
      <c r="W23" s="222">
        <f t="shared" si="7"/>
        <v>179733.80487857066</v>
      </c>
      <c r="X23" s="222">
        <f t="shared" si="7"/>
        <v>181473.64292735636</v>
      </c>
      <c r="Y23" s="222">
        <f t="shared" si="7"/>
        <v>183230.87935662994</v>
      </c>
      <c r="Z23" s="222">
        <f t="shared" si="7"/>
        <v>185005.68815019625</v>
      </c>
    </row>
    <row r="24" spans="2:26" x14ac:dyDescent="0.3">
      <c r="C24" s="192"/>
      <c r="D24" s="203"/>
      <c r="E24" s="227"/>
      <c r="G24" s="221"/>
      <c r="H24" s="221"/>
      <c r="I24" s="221"/>
      <c r="J24" s="221"/>
      <c r="K24" s="221"/>
      <c r="L24" s="221"/>
      <c r="M24" s="221"/>
      <c r="N24" s="221"/>
      <c r="O24" s="221"/>
      <c r="P24" s="221"/>
      <c r="Q24" s="221"/>
      <c r="R24" s="221"/>
      <c r="S24" s="221"/>
      <c r="T24" s="221"/>
      <c r="U24" s="221"/>
      <c r="V24" s="221"/>
      <c r="W24" s="221"/>
      <c r="X24" s="221"/>
      <c r="Y24" s="221"/>
      <c r="Z24" s="221"/>
    </row>
    <row r="25" spans="2:26" x14ac:dyDescent="0.3">
      <c r="B25" s="163" t="s">
        <v>71</v>
      </c>
      <c r="C25" s="192">
        <f>INDEX(ExistingStoreTable,MATCH($B25,ExistingStoreRow,0),MATCH($C$5,ExistingStoreColumn,0))/4</f>
        <v>159198</v>
      </c>
      <c r="D25" s="203">
        <f t="shared" si="2"/>
        <v>0.26</v>
      </c>
      <c r="E25" s="225" t="str">
        <f>VLOOKUP($B25,Inputs!$B$60:$C$76,2,FALSE)</f>
        <v>Variable</v>
      </c>
      <c r="G25" s="221">
        <f t="shared" si="5"/>
        <v>160789.98000000001</v>
      </c>
      <c r="H25" s="221">
        <f t="shared" si="1"/>
        <v>162397.8798</v>
      </c>
      <c r="I25" s="221">
        <f t="shared" si="1"/>
        <v>164021.85859799999</v>
      </c>
      <c r="J25" s="221">
        <f t="shared" si="1"/>
        <v>165662.07718398</v>
      </c>
      <c r="K25" s="221">
        <f t="shared" si="1"/>
        <v>167318.69795581978</v>
      </c>
      <c r="L25" s="221">
        <f t="shared" si="1"/>
        <v>168991.88493537798</v>
      </c>
      <c r="M25" s="221">
        <f t="shared" si="1"/>
        <v>170681.80378473178</v>
      </c>
      <c r="N25" s="221">
        <f t="shared" si="1"/>
        <v>172388.62182257909</v>
      </c>
      <c r="O25" s="221">
        <f t="shared" si="1"/>
        <v>174112.50804080488</v>
      </c>
      <c r="P25" s="221">
        <f t="shared" si="1"/>
        <v>175853.63312121292</v>
      </c>
      <c r="Q25" s="221">
        <f t="shared" si="1"/>
        <v>177612.16945242506</v>
      </c>
      <c r="R25" s="221">
        <f t="shared" si="1"/>
        <v>179388.29114694931</v>
      </c>
      <c r="S25" s="221">
        <f t="shared" si="1"/>
        <v>181182.17405841878</v>
      </c>
      <c r="T25" s="221">
        <f t="shared" si="1"/>
        <v>182993.99579900299</v>
      </c>
      <c r="U25" s="221">
        <f t="shared" si="1"/>
        <v>184823.93575699301</v>
      </c>
      <c r="V25" s="221">
        <f t="shared" si="1"/>
        <v>186672.17511456297</v>
      </c>
      <c r="W25" s="221">
        <f t="shared" si="1"/>
        <v>188538.89686570861</v>
      </c>
      <c r="X25" s="221">
        <f t="shared" si="1"/>
        <v>190424.2858343657</v>
      </c>
      <c r="Y25" s="221">
        <f t="shared" si="1"/>
        <v>192328.52869270934</v>
      </c>
      <c r="Z25" s="221">
        <f t="shared" si="1"/>
        <v>194251.81397963647</v>
      </c>
    </row>
    <row r="26" spans="2:26" x14ac:dyDescent="0.3">
      <c r="B26" s="163" t="s">
        <v>72</v>
      </c>
      <c r="C26" s="192">
        <f>INDEX(ExistingStoreTable,MATCH($B26,ExistingStoreRow,0),MATCH($C$5,ExistingStoreColumn,0))/4</f>
        <v>18369</v>
      </c>
      <c r="D26" s="203">
        <f t="shared" si="2"/>
        <v>0.03</v>
      </c>
      <c r="E26" s="225" t="str">
        <f>VLOOKUP($B26,Inputs!$B$60:$C$76,2,FALSE)</f>
        <v>Variable</v>
      </c>
      <c r="G26" s="221">
        <f t="shared" si="5"/>
        <v>18552.689999999999</v>
      </c>
      <c r="H26" s="221">
        <f t="shared" si="5"/>
        <v>18738.216899999999</v>
      </c>
      <c r="I26" s="221">
        <f t="shared" si="5"/>
        <v>18925.599069</v>
      </c>
      <c r="J26" s="221">
        <f t="shared" si="5"/>
        <v>19114.855059689999</v>
      </c>
      <c r="K26" s="221">
        <f t="shared" si="5"/>
        <v>19306.003610286898</v>
      </c>
      <c r="L26" s="221">
        <f t="shared" si="5"/>
        <v>19499.063646389768</v>
      </c>
      <c r="M26" s="221">
        <f t="shared" si="5"/>
        <v>19694.054282853664</v>
      </c>
      <c r="N26" s="221">
        <f t="shared" si="5"/>
        <v>19890.994825682199</v>
      </c>
      <c r="O26" s="221">
        <f>IF($E26="Variable",O$10*$D26,$C26)</f>
        <v>20089.904773939023</v>
      </c>
      <c r="P26" s="221">
        <f t="shared" si="5"/>
        <v>20290.803821678415</v>
      </c>
      <c r="Q26" s="221">
        <f t="shared" si="5"/>
        <v>20493.711859895197</v>
      </c>
      <c r="R26" s="221">
        <f t="shared" si="5"/>
        <v>20698.648978494148</v>
      </c>
      <c r="S26" s="221">
        <f t="shared" si="5"/>
        <v>20905.635468279092</v>
      </c>
      <c r="T26" s="221">
        <f t="shared" si="5"/>
        <v>21114.691822961882</v>
      </c>
      <c r="U26" s="221">
        <f t="shared" si="5"/>
        <v>21325.838741191503</v>
      </c>
      <c r="V26" s="221">
        <f t="shared" si="5"/>
        <v>21539.097128603418</v>
      </c>
      <c r="W26" s="221">
        <f t="shared" si="1"/>
        <v>21754.488099889455</v>
      </c>
      <c r="X26" s="221">
        <f t="shared" si="1"/>
        <v>21972.032980888347</v>
      </c>
      <c r="Y26" s="221">
        <f t="shared" si="1"/>
        <v>22191.753310697233</v>
      </c>
      <c r="Z26" s="221">
        <f t="shared" si="1"/>
        <v>22413.670843804204</v>
      </c>
    </row>
    <row r="27" spans="2:26" x14ac:dyDescent="0.3">
      <c r="B27" s="199" t="s">
        <v>202</v>
      </c>
      <c r="C27" s="194">
        <f>INDEX(ExistingStoreTable,MATCH($B27,ExistingStoreRow,0),MATCH($C$5,ExistingStoreColumn,0))/4</f>
        <v>177567</v>
      </c>
      <c r="D27" s="204">
        <f t="shared" si="2"/>
        <v>0.28999999999999998</v>
      </c>
      <c r="E27" s="227"/>
      <c r="G27" s="222">
        <f>SUM(G25:G26)</f>
        <v>179342.67</v>
      </c>
      <c r="H27" s="222">
        <f t="shared" ref="H27:Z27" si="8">SUM(H25:H26)</f>
        <v>181136.09669999999</v>
      </c>
      <c r="I27" s="222">
        <f t="shared" si="8"/>
        <v>182947.45766699998</v>
      </c>
      <c r="J27" s="222">
        <f t="shared" si="8"/>
        <v>184776.93224366999</v>
      </c>
      <c r="K27" s="222">
        <f t="shared" si="8"/>
        <v>186624.70156610667</v>
      </c>
      <c r="L27" s="222">
        <f t="shared" si="8"/>
        <v>188490.94858176773</v>
      </c>
      <c r="M27" s="222">
        <f t="shared" si="8"/>
        <v>190375.85806758545</v>
      </c>
      <c r="N27" s="222">
        <f t="shared" si="8"/>
        <v>192279.61664826129</v>
      </c>
      <c r="O27" s="222">
        <f t="shared" si="8"/>
        <v>194202.4128147439</v>
      </c>
      <c r="P27" s="222">
        <f t="shared" si="8"/>
        <v>196144.43694289133</v>
      </c>
      <c r="Q27" s="222">
        <f t="shared" si="8"/>
        <v>198105.88131232027</v>
      </c>
      <c r="R27" s="222">
        <f t="shared" si="8"/>
        <v>200086.94012544345</v>
      </c>
      <c r="S27" s="222">
        <f t="shared" si="8"/>
        <v>202087.80952669788</v>
      </c>
      <c r="T27" s="222">
        <f t="shared" si="8"/>
        <v>204108.68762196487</v>
      </c>
      <c r="U27" s="222">
        <f t="shared" si="8"/>
        <v>206149.7744981845</v>
      </c>
      <c r="V27" s="222">
        <f t="shared" si="8"/>
        <v>208211.2722431664</v>
      </c>
      <c r="W27" s="222">
        <f t="shared" si="8"/>
        <v>210293.38496559806</v>
      </c>
      <c r="X27" s="222">
        <f t="shared" si="8"/>
        <v>212396.31881525405</v>
      </c>
      <c r="Y27" s="222">
        <f t="shared" si="8"/>
        <v>214520.28200340658</v>
      </c>
      <c r="Z27" s="222">
        <f t="shared" si="8"/>
        <v>216665.48482344067</v>
      </c>
    </row>
    <row r="28" spans="2:26" x14ac:dyDescent="0.3">
      <c r="C28" s="192"/>
      <c r="D28" s="203"/>
      <c r="E28" s="227"/>
      <c r="G28" s="221"/>
      <c r="H28" s="221"/>
      <c r="I28" s="221"/>
      <c r="J28" s="221"/>
      <c r="K28" s="221"/>
      <c r="L28" s="221"/>
      <c r="M28" s="221"/>
      <c r="N28" s="221"/>
      <c r="O28" s="221"/>
      <c r="P28" s="221"/>
      <c r="Q28" s="221"/>
      <c r="R28" s="221"/>
      <c r="S28" s="221"/>
      <c r="T28" s="221"/>
      <c r="U28" s="221"/>
      <c r="V28" s="221"/>
      <c r="W28" s="221"/>
      <c r="X28" s="221"/>
      <c r="Y28" s="221"/>
      <c r="Z28" s="221"/>
    </row>
    <row r="29" spans="2:26" x14ac:dyDescent="0.3">
      <c r="B29" s="163" t="s">
        <v>73</v>
      </c>
      <c r="C29" s="192">
        <f t="shared" ref="C29:C34" si="9">INDEX(ExistingStoreTable,MATCH($B29,ExistingStoreRow,0),MATCH($C$5,ExistingStoreColumn,0))/4</f>
        <v>9184.5</v>
      </c>
      <c r="D29" s="203">
        <f t="shared" si="2"/>
        <v>1.4999999999999999E-2</v>
      </c>
      <c r="E29" s="225" t="str">
        <f>VLOOKUP($B29,Inputs!$B$60:$C$76,2,FALSE)</f>
        <v>Variable</v>
      </c>
      <c r="G29" s="221">
        <f t="shared" si="5"/>
        <v>9276.3449999999993</v>
      </c>
      <c r="H29" s="221">
        <f t="shared" si="5"/>
        <v>9369.1084499999997</v>
      </c>
      <c r="I29" s="221">
        <f t="shared" si="5"/>
        <v>9462.7995344999999</v>
      </c>
      <c r="J29" s="221">
        <f t="shared" si="5"/>
        <v>9557.4275298449993</v>
      </c>
      <c r="K29" s="221">
        <f t="shared" si="5"/>
        <v>9653.001805143449</v>
      </c>
      <c r="L29" s="221">
        <f t="shared" si="5"/>
        <v>9749.5318231948841</v>
      </c>
      <c r="M29" s="221">
        <f t="shared" si="5"/>
        <v>9847.0271414268318</v>
      </c>
      <c r="N29" s="221">
        <f t="shared" si="5"/>
        <v>9945.4974128410995</v>
      </c>
      <c r="O29" s="221">
        <f t="shared" si="5"/>
        <v>10044.952386969511</v>
      </c>
      <c r="P29" s="221">
        <f t="shared" si="5"/>
        <v>10145.401910839208</v>
      </c>
      <c r="Q29" s="221">
        <f t="shared" si="5"/>
        <v>10246.855929947598</v>
      </c>
      <c r="R29" s="221">
        <f t="shared" si="5"/>
        <v>10349.324489247074</v>
      </c>
      <c r="S29" s="221">
        <f t="shared" si="5"/>
        <v>10452.817734139546</v>
      </c>
      <c r="T29" s="221">
        <f t="shared" si="5"/>
        <v>10557.345911480941</v>
      </c>
      <c r="U29" s="221">
        <f t="shared" si="5"/>
        <v>10662.919370595751</v>
      </c>
      <c r="V29" s="221">
        <f t="shared" si="5"/>
        <v>10769.548564301709</v>
      </c>
      <c r="W29" s="221">
        <f t="shared" ref="W29:Z37" si="10">IF($E29="Variable",W$10*$D29,$C29)</f>
        <v>10877.244049944728</v>
      </c>
      <c r="X29" s="221">
        <f t="shared" si="10"/>
        <v>10986.016490444174</v>
      </c>
      <c r="Y29" s="221">
        <f t="shared" si="10"/>
        <v>11095.876655348617</v>
      </c>
      <c r="Z29" s="221">
        <f t="shared" si="10"/>
        <v>11206.835421902102</v>
      </c>
    </row>
    <row r="30" spans="2:26" x14ac:dyDescent="0.3">
      <c r="B30" s="163" t="s">
        <v>74</v>
      </c>
      <c r="C30" s="192">
        <f t="shared" si="9"/>
        <v>12246</v>
      </c>
      <c r="D30" s="203">
        <f t="shared" si="2"/>
        <v>0.02</v>
      </c>
      <c r="E30" s="225" t="str">
        <f>VLOOKUP($B30,Inputs!$B$60:$C$76,2,FALSE)</f>
        <v>Variable</v>
      </c>
      <c r="G30" s="221">
        <f t="shared" si="5"/>
        <v>12368.460000000001</v>
      </c>
      <c r="H30" s="221">
        <f t="shared" si="5"/>
        <v>12492.1446</v>
      </c>
      <c r="I30" s="221">
        <f t="shared" si="5"/>
        <v>12617.066046</v>
      </c>
      <c r="J30" s="221">
        <f t="shared" si="5"/>
        <v>12743.23670646</v>
      </c>
      <c r="K30" s="221">
        <f t="shared" si="5"/>
        <v>12870.669073524599</v>
      </c>
      <c r="L30" s="221">
        <f t="shared" si="5"/>
        <v>12999.375764259845</v>
      </c>
      <c r="M30" s="221">
        <f t="shared" si="5"/>
        <v>13129.369521902443</v>
      </c>
      <c r="N30" s="221">
        <f t="shared" si="5"/>
        <v>13260.663217121468</v>
      </c>
      <c r="O30" s="221">
        <f t="shared" si="5"/>
        <v>13393.269849292683</v>
      </c>
      <c r="P30" s="221">
        <f t="shared" si="5"/>
        <v>13527.20254778561</v>
      </c>
      <c r="Q30" s="221">
        <f t="shared" si="5"/>
        <v>13662.474573263466</v>
      </c>
      <c r="R30" s="221">
        <f t="shared" si="5"/>
        <v>13799.099318996101</v>
      </c>
      <c r="S30" s="221">
        <f t="shared" si="5"/>
        <v>13937.090312186061</v>
      </c>
      <c r="T30" s="221">
        <f t="shared" si="5"/>
        <v>14076.461215307922</v>
      </c>
      <c r="U30" s="221">
        <f t="shared" si="5"/>
        <v>14217.225827461001</v>
      </c>
      <c r="V30" s="221">
        <f t="shared" si="5"/>
        <v>14359.398085735613</v>
      </c>
      <c r="W30" s="221">
        <f t="shared" si="10"/>
        <v>14502.992066592969</v>
      </c>
      <c r="X30" s="221">
        <f t="shared" si="10"/>
        <v>14648.021987258899</v>
      </c>
      <c r="Y30" s="221">
        <f t="shared" si="10"/>
        <v>14794.502207131489</v>
      </c>
      <c r="Z30" s="221">
        <f t="shared" si="10"/>
        <v>14942.447229202804</v>
      </c>
    </row>
    <row r="31" spans="2:26" x14ac:dyDescent="0.3">
      <c r="B31" s="163" t="s">
        <v>75</v>
      </c>
      <c r="C31" s="192">
        <f t="shared" si="9"/>
        <v>4286.1000000000004</v>
      </c>
      <c r="D31" s="203">
        <f t="shared" si="2"/>
        <v>7.000000000000001E-3</v>
      </c>
      <c r="E31" s="225" t="str">
        <f>VLOOKUP($B31,Inputs!$B$60:$C$76,2,FALSE)</f>
        <v>Variable</v>
      </c>
      <c r="G31" s="221">
        <f t="shared" si="5"/>
        <v>4328.9610000000002</v>
      </c>
      <c r="H31" s="221">
        <f t="shared" si="5"/>
        <v>4372.2506100000001</v>
      </c>
      <c r="I31" s="221">
        <f t="shared" si="5"/>
        <v>4415.9731161000009</v>
      </c>
      <c r="J31" s="221">
        <f t="shared" si="5"/>
        <v>4460.1328472610003</v>
      </c>
      <c r="K31" s="221">
        <f t="shared" si="5"/>
        <v>4504.7341757336098</v>
      </c>
      <c r="L31" s="221">
        <f t="shared" si="5"/>
        <v>4549.7815174909465</v>
      </c>
      <c r="M31" s="221">
        <f t="shared" si="5"/>
        <v>4595.2793326658557</v>
      </c>
      <c r="N31" s="221">
        <f t="shared" si="5"/>
        <v>4641.2321259925138</v>
      </c>
      <c r="O31" s="221">
        <f t="shared" si="5"/>
        <v>4687.6444472524399</v>
      </c>
      <c r="P31" s="221">
        <f t="shared" si="5"/>
        <v>4734.5208917249638</v>
      </c>
      <c r="Q31" s="221">
        <f t="shared" si="5"/>
        <v>4781.8661006422135</v>
      </c>
      <c r="R31" s="221">
        <f t="shared" si="5"/>
        <v>4829.6847616486357</v>
      </c>
      <c r="S31" s="221">
        <f t="shared" si="5"/>
        <v>4877.9816092651217</v>
      </c>
      <c r="T31" s="221">
        <f t="shared" si="5"/>
        <v>4926.7614253577731</v>
      </c>
      <c r="U31" s="221">
        <f t="shared" si="5"/>
        <v>4976.0290396113514</v>
      </c>
      <c r="V31" s="221">
        <f t="shared" si="5"/>
        <v>5025.7893300074647</v>
      </c>
      <c r="W31" s="221">
        <f t="shared" si="10"/>
        <v>5076.0472233075407</v>
      </c>
      <c r="X31" s="221">
        <f t="shared" si="10"/>
        <v>5126.807695540615</v>
      </c>
      <c r="Y31" s="221">
        <f t="shared" si="10"/>
        <v>5178.0757724960213</v>
      </c>
      <c r="Z31" s="221">
        <f t="shared" si="10"/>
        <v>5229.8565302209818</v>
      </c>
    </row>
    <row r="32" spans="2:26" x14ac:dyDescent="0.3">
      <c r="B32" s="163" t="s">
        <v>76</v>
      </c>
      <c r="C32" s="192">
        <f t="shared" si="9"/>
        <v>4000</v>
      </c>
      <c r="D32" s="203">
        <f t="shared" si="2"/>
        <v>6.5327453862485708E-3</v>
      </c>
      <c r="E32" s="225" t="str">
        <f>VLOOKUP($B32,Inputs!$B$60:$C$76,2,FALSE)</f>
        <v>Fixed</v>
      </c>
      <c r="G32" s="221">
        <f t="shared" si="5"/>
        <v>4000</v>
      </c>
      <c r="H32" s="221">
        <f t="shared" si="5"/>
        <v>4000</v>
      </c>
      <c r="I32" s="221">
        <f t="shared" si="5"/>
        <v>4000</v>
      </c>
      <c r="J32" s="221">
        <f t="shared" si="5"/>
        <v>4000</v>
      </c>
      <c r="K32" s="221">
        <f t="shared" si="5"/>
        <v>4000</v>
      </c>
      <c r="L32" s="221">
        <f t="shared" si="5"/>
        <v>4000</v>
      </c>
      <c r="M32" s="221">
        <f t="shared" si="5"/>
        <v>4000</v>
      </c>
      <c r="N32" s="221">
        <f t="shared" si="5"/>
        <v>4000</v>
      </c>
      <c r="O32" s="221">
        <f t="shared" si="5"/>
        <v>4000</v>
      </c>
      <c r="P32" s="221">
        <f t="shared" si="5"/>
        <v>4000</v>
      </c>
      <c r="Q32" s="221">
        <f t="shared" si="5"/>
        <v>4000</v>
      </c>
      <c r="R32" s="221">
        <f t="shared" si="5"/>
        <v>4000</v>
      </c>
      <c r="S32" s="221">
        <f t="shared" si="5"/>
        <v>4000</v>
      </c>
      <c r="T32" s="221">
        <f t="shared" si="5"/>
        <v>4000</v>
      </c>
      <c r="U32" s="221">
        <f t="shared" si="5"/>
        <v>4000</v>
      </c>
      <c r="V32" s="221">
        <f t="shared" si="5"/>
        <v>4000</v>
      </c>
      <c r="W32" s="221">
        <f t="shared" si="10"/>
        <v>4000</v>
      </c>
      <c r="X32" s="221">
        <f t="shared" si="10"/>
        <v>4000</v>
      </c>
      <c r="Y32" s="221">
        <f t="shared" si="10"/>
        <v>4000</v>
      </c>
      <c r="Z32" s="221">
        <f t="shared" si="10"/>
        <v>4000</v>
      </c>
    </row>
    <row r="33" spans="2:26" x14ac:dyDescent="0.3">
      <c r="B33" s="163" t="s">
        <v>43</v>
      </c>
      <c r="C33" s="192">
        <f t="shared" si="9"/>
        <v>20750</v>
      </c>
      <c r="D33" s="203">
        <f t="shared" si="2"/>
        <v>3.3888616691164462E-2</v>
      </c>
      <c r="E33" s="225" t="str">
        <f>VLOOKUP($B33,Inputs!$B$60:$C$76,2,FALSE)</f>
        <v>Fixed</v>
      </c>
      <c r="G33" s="221">
        <f t="shared" si="5"/>
        <v>20750</v>
      </c>
      <c r="H33" s="221">
        <f t="shared" si="5"/>
        <v>20750</v>
      </c>
      <c r="I33" s="221">
        <f t="shared" si="5"/>
        <v>20750</v>
      </c>
      <c r="J33" s="221">
        <f t="shared" si="5"/>
        <v>20750</v>
      </c>
      <c r="K33" s="221">
        <f t="shared" si="5"/>
        <v>20750</v>
      </c>
      <c r="L33" s="221">
        <f t="shared" si="5"/>
        <v>20750</v>
      </c>
      <c r="M33" s="221">
        <f t="shared" si="5"/>
        <v>20750</v>
      </c>
      <c r="N33" s="221">
        <f t="shared" si="5"/>
        <v>20750</v>
      </c>
      <c r="O33" s="221">
        <f t="shared" si="5"/>
        <v>20750</v>
      </c>
      <c r="P33" s="221">
        <f t="shared" si="5"/>
        <v>20750</v>
      </c>
      <c r="Q33" s="221">
        <f t="shared" si="5"/>
        <v>20750</v>
      </c>
      <c r="R33" s="221">
        <f t="shared" si="5"/>
        <v>20750</v>
      </c>
      <c r="S33" s="221">
        <f t="shared" si="5"/>
        <v>20750</v>
      </c>
      <c r="T33" s="221">
        <f t="shared" si="5"/>
        <v>20750</v>
      </c>
      <c r="U33" s="221">
        <f t="shared" si="5"/>
        <v>20750</v>
      </c>
      <c r="V33" s="221">
        <f t="shared" si="5"/>
        <v>20750</v>
      </c>
      <c r="W33" s="221">
        <f t="shared" si="10"/>
        <v>20750</v>
      </c>
      <c r="X33" s="221">
        <f t="shared" si="10"/>
        <v>20750</v>
      </c>
      <c r="Y33" s="221">
        <f t="shared" si="10"/>
        <v>20750</v>
      </c>
      <c r="Z33" s="221">
        <f t="shared" si="10"/>
        <v>20750</v>
      </c>
    </row>
    <row r="34" spans="2:26" x14ac:dyDescent="0.3">
      <c r="B34" s="199" t="s">
        <v>203</v>
      </c>
      <c r="C34" s="194">
        <f t="shared" si="9"/>
        <v>50466.6</v>
      </c>
      <c r="D34" s="204">
        <f t="shared" si="2"/>
        <v>8.2421362077413032E-2</v>
      </c>
      <c r="E34" s="227"/>
      <c r="G34" s="222">
        <f>SUM(G29:G33)</f>
        <v>50723.766000000003</v>
      </c>
      <c r="H34" s="222">
        <f t="shared" ref="H34:Z34" si="11">SUM(H29:H33)</f>
        <v>50983.503660000002</v>
      </c>
      <c r="I34" s="222">
        <f t="shared" si="11"/>
        <v>51245.838696600003</v>
      </c>
      <c r="J34" s="222">
        <f t="shared" si="11"/>
        <v>51510.797083565994</v>
      </c>
      <c r="K34" s="222">
        <f t="shared" si="11"/>
        <v>51778.405054401657</v>
      </c>
      <c r="L34" s="222">
        <f t="shared" si="11"/>
        <v>52048.689104945675</v>
      </c>
      <c r="M34" s="222">
        <f t="shared" si="11"/>
        <v>52321.675995995131</v>
      </c>
      <c r="N34" s="222">
        <f t="shared" si="11"/>
        <v>52597.392755955079</v>
      </c>
      <c r="O34" s="222">
        <f t="shared" si="11"/>
        <v>52875.866683514636</v>
      </c>
      <c r="P34" s="222">
        <f t="shared" si="11"/>
        <v>53157.125350349779</v>
      </c>
      <c r="Q34" s="222">
        <f t="shared" si="11"/>
        <v>53441.196603853277</v>
      </c>
      <c r="R34" s="222">
        <f t="shared" si="11"/>
        <v>53728.10856989181</v>
      </c>
      <c r="S34" s="222">
        <f t="shared" si="11"/>
        <v>54017.889655590727</v>
      </c>
      <c r="T34" s="222">
        <f t="shared" si="11"/>
        <v>54310.568552146637</v>
      </c>
      <c r="U34" s="222">
        <f t="shared" si="11"/>
        <v>54606.174237668107</v>
      </c>
      <c r="V34" s="222">
        <f t="shared" si="11"/>
        <v>54904.735980044788</v>
      </c>
      <c r="W34" s="222">
        <f t="shared" si="11"/>
        <v>55206.283339845235</v>
      </c>
      <c r="X34" s="222">
        <f t="shared" si="11"/>
        <v>55510.846173243684</v>
      </c>
      <c r="Y34" s="222">
        <f t="shared" si="11"/>
        <v>55818.454634976122</v>
      </c>
      <c r="Z34" s="222">
        <f t="shared" si="11"/>
        <v>56129.139181325889</v>
      </c>
    </row>
    <row r="35" spans="2:26" x14ac:dyDescent="0.3">
      <c r="C35" s="192"/>
      <c r="D35" s="203"/>
      <c r="E35" s="227"/>
      <c r="G35" s="221"/>
      <c r="H35" s="221"/>
      <c r="I35" s="221"/>
      <c r="J35" s="221"/>
      <c r="K35" s="221"/>
      <c r="L35" s="221"/>
      <c r="M35" s="221"/>
      <c r="N35" s="221"/>
      <c r="O35" s="221"/>
      <c r="P35" s="221"/>
      <c r="Q35" s="221"/>
      <c r="R35" s="221"/>
      <c r="S35" s="221"/>
      <c r="T35" s="221"/>
      <c r="U35" s="221"/>
      <c r="V35" s="221"/>
      <c r="W35" s="221"/>
      <c r="X35" s="221"/>
      <c r="Y35" s="221"/>
      <c r="Z35" s="221"/>
    </row>
    <row r="36" spans="2:26" x14ac:dyDescent="0.3">
      <c r="B36" s="163" t="s">
        <v>42</v>
      </c>
      <c r="C36" s="192">
        <f>INDEX(ExistingStoreTable,MATCH($B36,ExistingStoreRow,0),MATCH($C$5,ExistingStoreColumn,0))/4</f>
        <v>25000</v>
      </c>
      <c r="D36" s="203">
        <f t="shared" si="2"/>
        <v>4.0829658664053567E-2</v>
      </c>
      <c r="E36" s="225" t="str">
        <f>VLOOKUP($B36,Inputs!$B$60:$C$76,2,FALSE)</f>
        <v>Fixed</v>
      </c>
      <c r="G36" s="221">
        <f t="shared" si="5"/>
        <v>25000</v>
      </c>
      <c r="H36" s="221">
        <f t="shared" si="5"/>
        <v>25000</v>
      </c>
      <c r="I36" s="221">
        <f t="shared" si="5"/>
        <v>25000</v>
      </c>
      <c r="J36" s="221">
        <f t="shared" si="5"/>
        <v>25000</v>
      </c>
      <c r="K36" s="221">
        <f t="shared" si="5"/>
        <v>25000</v>
      </c>
      <c r="L36" s="221">
        <f t="shared" si="5"/>
        <v>25000</v>
      </c>
      <c r="M36" s="221">
        <f t="shared" si="5"/>
        <v>25000</v>
      </c>
      <c r="N36" s="221">
        <f t="shared" si="5"/>
        <v>25000</v>
      </c>
      <c r="O36" s="221">
        <f t="shared" si="5"/>
        <v>25000</v>
      </c>
      <c r="P36" s="221">
        <f t="shared" si="5"/>
        <v>25000</v>
      </c>
      <c r="Q36" s="221">
        <f t="shared" si="5"/>
        <v>25000</v>
      </c>
      <c r="R36" s="221">
        <f t="shared" si="5"/>
        <v>25000</v>
      </c>
      <c r="S36" s="221">
        <f t="shared" si="5"/>
        <v>25000</v>
      </c>
      <c r="T36" s="221">
        <f t="shared" si="5"/>
        <v>25000</v>
      </c>
      <c r="U36" s="221">
        <f t="shared" si="5"/>
        <v>25000</v>
      </c>
      <c r="V36" s="221">
        <f t="shared" si="5"/>
        <v>25000</v>
      </c>
      <c r="W36" s="221">
        <f t="shared" si="10"/>
        <v>25000</v>
      </c>
      <c r="X36" s="221">
        <f t="shared" si="10"/>
        <v>25000</v>
      </c>
      <c r="Y36" s="221">
        <f t="shared" si="10"/>
        <v>25000</v>
      </c>
      <c r="Z36" s="221">
        <f t="shared" si="10"/>
        <v>25000</v>
      </c>
    </row>
    <row r="37" spans="2:26" x14ac:dyDescent="0.3">
      <c r="B37" s="163" t="s">
        <v>77</v>
      </c>
      <c r="C37" s="192">
        <f>INDEX(ExistingStoreTable,MATCH($B37,ExistingStoreRow,0),MATCH($C$5,ExistingStoreColumn,0))/4</f>
        <v>7500</v>
      </c>
      <c r="D37" s="203">
        <f t="shared" si="2"/>
        <v>1.2248897599216071E-2</v>
      </c>
      <c r="E37" s="225" t="str">
        <f>VLOOKUP($B37,Inputs!$B$60:$C$76,2,FALSE)</f>
        <v>Fixed</v>
      </c>
      <c r="G37" s="221">
        <f t="shared" si="5"/>
        <v>7500</v>
      </c>
      <c r="H37" s="221">
        <f t="shared" si="5"/>
        <v>7500</v>
      </c>
      <c r="I37" s="221">
        <f t="shared" si="5"/>
        <v>7500</v>
      </c>
      <c r="J37" s="221">
        <f t="shared" si="5"/>
        <v>7500</v>
      </c>
      <c r="K37" s="221">
        <f t="shared" si="5"/>
        <v>7500</v>
      </c>
      <c r="L37" s="221">
        <f t="shared" si="5"/>
        <v>7500</v>
      </c>
      <c r="M37" s="221">
        <f t="shared" si="5"/>
        <v>7500</v>
      </c>
      <c r="N37" s="221">
        <f t="shared" si="5"/>
        <v>7500</v>
      </c>
      <c r="O37" s="221">
        <f t="shared" si="5"/>
        <v>7500</v>
      </c>
      <c r="P37" s="221">
        <f t="shared" si="5"/>
        <v>7500</v>
      </c>
      <c r="Q37" s="221">
        <f t="shared" si="5"/>
        <v>7500</v>
      </c>
      <c r="R37" s="221">
        <f t="shared" si="5"/>
        <v>7500</v>
      </c>
      <c r="S37" s="221">
        <f t="shared" si="5"/>
        <v>7500</v>
      </c>
      <c r="T37" s="221">
        <f t="shared" si="5"/>
        <v>7500</v>
      </c>
      <c r="U37" s="221">
        <f t="shared" si="5"/>
        <v>7500</v>
      </c>
      <c r="V37" s="221">
        <f t="shared" si="5"/>
        <v>7500</v>
      </c>
      <c r="W37" s="221">
        <f t="shared" si="10"/>
        <v>7500</v>
      </c>
      <c r="X37" s="221">
        <f t="shared" si="10"/>
        <v>7500</v>
      </c>
      <c r="Y37" s="221">
        <f t="shared" si="10"/>
        <v>7500</v>
      </c>
      <c r="Z37" s="221">
        <f t="shared" si="10"/>
        <v>7500</v>
      </c>
    </row>
    <row r="38" spans="2:26" x14ac:dyDescent="0.3">
      <c r="B38" s="199" t="s">
        <v>204</v>
      </c>
      <c r="C38" s="194">
        <f>INDEX(ExistingStoreTable,MATCH($B38,ExistingStoreRow,0),MATCH($C$5,ExistingStoreColumn,0))/4</f>
        <v>32500</v>
      </c>
      <c r="D38" s="204">
        <f t="shared" si="2"/>
        <v>5.3078556263269641E-2</v>
      </c>
      <c r="E38" s="227"/>
      <c r="G38" s="222">
        <f>SUM(G36:G37)</f>
        <v>32500</v>
      </c>
      <c r="H38" s="222">
        <f t="shared" ref="H38:Z38" si="12">SUM(H36:H37)</f>
        <v>32500</v>
      </c>
      <c r="I38" s="222">
        <f t="shared" si="12"/>
        <v>32500</v>
      </c>
      <c r="J38" s="222">
        <f t="shared" si="12"/>
        <v>32500</v>
      </c>
      <c r="K38" s="222">
        <f t="shared" si="12"/>
        <v>32500</v>
      </c>
      <c r="L38" s="222">
        <f t="shared" si="12"/>
        <v>32500</v>
      </c>
      <c r="M38" s="222">
        <f t="shared" si="12"/>
        <v>32500</v>
      </c>
      <c r="N38" s="222">
        <f t="shared" si="12"/>
        <v>32500</v>
      </c>
      <c r="O38" s="222">
        <f t="shared" si="12"/>
        <v>32500</v>
      </c>
      <c r="P38" s="222">
        <f t="shared" si="12"/>
        <v>32500</v>
      </c>
      <c r="Q38" s="222">
        <f t="shared" si="12"/>
        <v>32500</v>
      </c>
      <c r="R38" s="222">
        <f t="shared" si="12"/>
        <v>32500</v>
      </c>
      <c r="S38" s="222">
        <f t="shared" si="12"/>
        <v>32500</v>
      </c>
      <c r="T38" s="222">
        <f t="shared" si="12"/>
        <v>32500</v>
      </c>
      <c r="U38" s="222">
        <f t="shared" si="12"/>
        <v>32500</v>
      </c>
      <c r="V38" s="222">
        <f t="shared" si="12"/>
        <v>32500</v>
      </c>
      <c r="W38" s="222">
        <f t="shared" si="12"/>
        <v>32500</v>
      </c>
      <c r="X38" s="222">
        <f t="shared" si="12"/>
        <v>32500</v>
      </c>
      <c r="Y38" s="222">
        <f t="shared" si="12"/>
        <v>32500</v>
      </c>
      <c r="Z38" s="222">
        <f t="shared" si="12"/>
        <v>32500</v>
      </c>
    </row>
    <row r="39" spans="2:26" x14ac:dyDescent="0.3">
      <c r="C39" s="192"/>
      <c r="D39" s="203"/>
      <c r="E39" s="227"/>
      <c r="G39" s="221"/>
      <c r="H39" s="221"/>
      <c r="I39" s="221"/>
      <c r="J39" s="221"/>
      <c r="K39" s="221"/>
      <c r="L39" s="221"/>
      <c r="M39" s="221"/>
      <c r="N39" s="221"/>
      <c r="O39" s="221"/>
      <c r="P39" s="221"/>
      <c r="Q39" s="221"/>
      <c r="R39" s="221"/>
      <c r="S39" s="221"/>
      <c r="T39" s="221"/>
      <c r="U39" s="221"/>
      <c r="V39" s="221"/>
      <c r="W39" s="221"/>
      <c r="X39" s="221"/>
      <c r="Y39" s="221"/>
      <c r="Z39" s="221"/>
    </row>
    <row r="40" spans="2:26" ht="14.5" thickBot="1" x14ac:dyDescent="0.35">
      <c r="B40" s="202" t="s">
        <v>205</v>
      </c>
      <c r="C40" s="254">
        <f>INDEX(ExistingStoreTable,MATCH($B40,ExistingStoreRow,0),MATCH($C$5,ExistingStoreColumn,0))/4</f>
        <v>199108.39199999996</v>
      </c>
      <c r="D40" s="206">
        <f t="shared" si="2"/>
        <v>0.32518110730034289</v>
      </c>
      <c r="E40" s="227"/>
      <c r="G40" s="224">
        <f>G10-G23-G27-G34-G38</f>
        <v>201729.47591999994</v>
      </c>
      <c r="H40" s="224">
        <f t="shared" ref="H40:Z40" si="13">H10-H23-H27-H34-H38</f>
        <v>204376.77067920001</v>
      </c>
      <c r="I40" s="224">
        <f t="shared" si="13"/>
        <v>207050.538385992</v>
      </c>
      <c r="J40" s="224">
        <f t="shared" si="13"/>
        <v>209751.04376985194</v>
      </c>
      <c r="K40" s="224">
        <f t="shared" si="13"/>
        <v>212478.55420755042</v>
      </c>
      <c r="L40" s="224">
        <f t="shared" si="13"/>
        <v>215233.33974962594</v>
      </c>
      <c r="M40" s="224">
        <f t="shared" si="13"/>
        <v>218015.67314712214</v>
      </c>
      <c r="N40" s="224">
        <f t="shared" si="13"/>
        <v>220825.82987859336</v>
      </c>
      <c r="O40" s="224">
        <f t="shared" si="13"/>
        <v>223664.08817737937</v>
      </c>
      <c r="P40" s="224">
        <f t="shared" si="13"/>
        <v>226530.72905915315</v>
      </c>
      <c r="Q40" s="224">
        <f t="shared" si="13"/>
        <v>229426.03634974462</v>
      </c>
      <c r="R40" s="224">
        <f t="shared" si="13"/>
        <v>232350.29671324207</v>
      </c>
      <c r="S40" s="224">
        <f t="shared" si="13"/>
        <v>235303.79968037456</v>
      </c>
      <c r="T40" s="224">
        <f t="shared" si="13"/>
        <v>238286.83767717832</v>
      </c>
      <c r="U40" s="224">
        <f t="shared" si="13"/>
        <v>241299.70605395013</v>
      </c>
      <c r="V40" s="224">
        <f t="shared" si="13"/>
        <v>244342.70311448956</v>
      </c>
      <c r="W40" s="224">
        <f t="shared" si="13"/>
        <v>247416.13014563458</v>
      </c>
      <c r="X40" s="224">
        <f t="shared" si="13"/>
        <v>250520.29144709092</v>
      </c>
      <c r="Y40" s="224">
        <f t="shared" si="13"/>
        <v>253655.49436156184</v>
      </c>
      <c r="Z40" s="224">
        <f t="shared" si="13"/>
        <v>256822.04930517741</v>
      </c>
    </row>
    <row r="41" spans="2:26" ht="14.5" thickTop="1" x14ac:dyDescent="0.3"/>
  </sheetData>
  <dataValidations count="1">
    <dataValidation type="list" allowBlank="1" showInputMessage="1" showErrorMessage="1" sqref="C5">
      <formula1>StoreList</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Z41"/>
  <sheetViews>
    <sheetView zoomScale="83" zoomScaleNormal="83" workbookViewId="0">
      <pane xSplit="5" topLeftCell="F1" activePane="topRight" state="frozen"/>
      <selection pane="topRight" activeCell="E21" sqref="E21"/>
    </sheetView>
  </sheetViews>
  <sheetFormatPr defaultRowHeight="14" x14ac:dyDescent="0.3"/>
  <cols>
    <col min="1" max="1" width="3.7265625" style="163" customWidth="1"/>
    <col min="2" max="2" width="40.90625" style="163" bestFit="1" customWidth="1"/>
    <col min="3" max="3" width="10.453125" style="163" bestFit="1" customWidth="1"/>
    <col min="4" max="4" width="14.54296875" style="163" bestFit="1" customWidth="1"/>
    <col min="5" max="5" width="14.90625" style="163" bestFit="1" customWidth="1"/>
    <col min="6" max="6" width="2.7265625" style="163" customWidth="1"/>
    <col min="7" max="26" width="10.453125" style="163" bestFit="1" customWidth="1"/>
    <col min="27" max="16384" width="8.7265625" style="163"/>
  </cols>
  <sheetData>
    <row r="2" spans="2:26" x14ac:dyDescent="0.3">
      <c r="B2" s="165" t="s">
        <v>207</v>
      </c>
    </row>
    <row r="3" spans="2:26" x14ac:dyDescent="0.3">
      <c r="B3" s="165" t="s">
        <v>208</v>
      </c>
    </row>
    <row r="4" spans="2:26" x14ac:dyDescent="0.3">
      <c r="B4" s="165"/>
    </row>
    <row r="5" spans="2:26" x14ac:dyDescent="0.3">
      <c r="B5" s="250" t="s">
        <v>221</v>
      </c>
      <c r="C5" s="251" t="s">
        <v>85</v>
      </c>
    </row>
    <row r="6" spans="2:26" x14ac:dyDescent="0.3">
      <c r="B6" s="250" t="s">
        <v>222</v>
      </c>
      <c r="C6" s="192">
        <f>VLOOKUP($C$5,Inputs!$B$10:$C$15,2,FALSE)</f>
        <v>67920</v>
      </c>
    </row>
    <row r="7" spans="2:26" x14ac:dyDescent="0.3">
      <c r="B7" s="188" t="s">
        <v>209</v>
      </c>
      <c r="C7" s="193">
        <f>VLOOKUP($C$5,Inputs!$B$10:$D$14,3,FALSE)</f>
        <v>1.2E-2</v>
      </c>
      <c r="E7" s="193"/>
    </row>
    <row r="8" spans="2:26" x14ac:dyDescent="0.3">
      <c r="B8" s="188"/>
      <c r="C8" s="200"/>
      <c r="G8" s="208" t="s">
        <v>6</v>
      </c>
      <c r="H8" s="209"/>
      <c r="I8" s="209"/>
      <c r="J8" s="209"/>
      <c r="K8" s="208" t="s">
        <v>7</v>
      </c>
      <c r="L8" s="209"/>
      <c r="M8" s="209"/>
      <c r="N8" s="209"/>
      <c r="O8" s="208" t="s">
        <v>8</v>
      </c>
      <c r="P8" s="209"/>
      <c r="Q8" s="209"/>
      <c r="R8" s="209"/>
      <c r="S8" s="208" t="s">
        <v>9</v>
      </c>
      <c r="T8" s="209"/>
      <c r="U8" s="209"/>
      <c r="V8" s="209"/>
      <c r="W8" s="208" t="s">
        <v>10</v>
      </c>
      <c r="X8" s="209"/>
      <c r="Y8" s="209"/>
      <c r="Z8" s="209"/>
    </row>
    <row r="9" spans="2:26" x14ac:dyDescent="0.3">
      <c r="C9" s="201" t="s">
        <v>210</v>
      </c>
      <c r="D9" s="201" t="s">
        <v>211</v>
      </c>
      <c r="E9" s="201" t="s">
        <v>212</v>
      </c>
      <c r="F9" s="201"/>
      <c r="G9" s="201" t="s">
        <v>11</v>
      </c>
      <c r="H9" s="201" t="s">
        <v>12</v>
      </c>
      <c r="I9" s="201" t="s">
        <v>13</v>
      </c>
      <c r="J9" s="201" t="s">
        <v>14</v>
      </c>
      <c r="K9" s="201" t="s">
        <v>11</v>
      </c>
      <c r="L9" s="201" t="s">
        <v>12</v>
      </c>
      <c r="M9" s="201" t="s">
        <v>13</v>
      </c>
      <c r="N9" s="201" t="s">
        <v>14</v>
      </c>
      <c r="O9" s="201" t="s">
        <v>11</v>
      </c>
      <c r="P9" s="201" t="s">
        <v>12</v>
      </c>
      <c r="Q9" s="201" t="s">
        <v>13</v>
      </c>
      <c r="R9" s="201" t="s">
        <v>14</v>
      </c>
      <c r="S9" s="201" t="s">
        <v>11</v>
      </c>
      <c r="T9" s="201" t="s">
        <v>12</v>
      </c>
      <c r="U9" s="201" t="s">
        <v>13</v>
      </c>
      <c r="V9" s="201" t="s">
        <v>14</v>
      </c>
      <c r="W9" s="201" t="s">
        <v>11</v>
      </c>
      <c r="X9" s="201" t="s">
        <v>12</v>
      </c>
      <c r="Y9" s="201" t="s">
        <v>13</v>
      </c>
      <c r="Z9" s="201" t="s">
        <v>14</v>
      </c>
    </row>
    <row r="10" spans="2:26" x14ac:dyDescent="0.3">
      <c r="B10" s="163" t="s">
        <v>15</v>
      </c>
      <c r="C10" s="192">
        <f>INDEX(ExistingStoreTable,MATCH($B10,ExistingStoreRow,0),MATCH($C$5,ExistingStoreColumn,0))/4</f>
        <v>882960</v>
      </c>
      <c r="D10" s="203"/>
      <c r="G10" s="221">
        <f>C10*((1+$C$7/4))</f>
        <v>885608.87999999989</v>
      </c>
      <c r="H10" s="221">
        <f>G10*(1+$C$7/4)</f>
        <v>888265.70663999976</v>
      </c>
      <c r="I10" s="221">
        <f t="shared" ref="I10:Z10" si="0">H10*(1+$C$7/4)</f>
        <v>890930.50375991967</v>
      </c>
      <c r="J10" s="221">
        <f t="shared" si="0"/>
        <v>893603.29527119931</v>
      </c>
      <c r="K10" s="221">
        <f t="shared" si="0"/>
        <v>896284.10515701282</v>
      </c>
      <c r="L10" s="221">
        <f t="shared" si="0"/>
        <v>898972.95747248374</v>
      </c>
      <c r="M10" s="221">
        <f t="shared" si="0"/>
        <v>901669.87634490104</v>
      </c>
      <c r="N10" s="221">
        <f t="shared" si="0"/>
        <v>904374.8859739356</v>
      </c>
      <c r="O10" s="221">
        <f t="shared" si="0"/>
        <v>907088.01063185732</v>
      </c>
      <c r="P10" s="221">
        <f t="shared" si="0"/>
        <v>909809.27466375276</v>
      </c>
      <c r="Q10" s="221">
        <f t="shared" si="0"/>
        <v>912538.70248774393</v>
      </c>
      <c r="R10" s="221">
        <f t="shared" si="0"/>
        <v>915276.31859520706</v>
      </c>
      <c r="S10" s="221">
        <f t="shared" si="0"/>
        <v>918022.14755099255</v>
      </c>
      <c r="T10" s="221">
        <f t="shared" si="0"/>
        <v>920776.21399364539</v>
      </c>
      <c r="U10" s="221">
        <f t="shared" si="0"/>
        <v>923538.54263562628</v>
      </c>
      <c r="V10" s="221">
        <f t="shared" si="0"/>
        <v>926309.15826353303</v>
      </c>
      <c r="W10" s="221">
        <f t="shared" si="0"/>
        <v>929088.08573832351</v>
      </c>
      <c r="X10" s="221">
        <f t="shared" si="0"/>
        <v>931875.34999553836</v>
      </c>
      <c r="Y10" s="221">
        <f t="shared" si="0"/>
        <v>934670.97604552482</v>
      </c>
      <c r="Z10" s="221">
        <f t="shared" si="0"/>
        <v>937474.98897366133</v>
      </c>
    </row>
    <row r="11" spans="2:26" x14ac:dyDescent="0.3">
      <c r="C11" s="192"/>
      <c r="D11" s="203"/>
      <c r="G11" s="210"/>
      <c r="H11" s="210"/>
      <c r="I11" s="210"/>
      <c r="J11" s="210"/>
      <c r="K11" s="210"/>
      <c r="L11" s="210"/>
      <c r="M11" s="210"/>
      <c r="N11" s="210"/>
      <c r="O11" s="210"/>
      <c r="P11" s="210"/>
      <c r="Q11" s="210"/>
      <c r="R11" s="210"/>
      <c r="S11" s="210"/>
      <c r="T11" s="210"/>
      <c r="U11" s="210"/>
      <c r="V11" s="210"/>
      <c r="W11" s="210"/>
      <c r="X11" s="210"/>
      <c r="Y11" s="210"/>
      <c r="Z11" s="210"/>
    </row>
    <row r="12" spans="2:26" x14ac:dyDescent="0.3">
      <c r="B12" s="163" t="s">
        <v>66</v>
      </c>
      <c r="C12" s="192">
        <f>INDEX(ExistingStoreTable,MATCH($B12,ExistingStoreRow,0),MATCH($C$5,ExistingStoreColumn,0))/4</f>
        <v>22000</v>
      </c>
      <c r="D12" s="203">
        <f>C12/$C$10</f>
        <v>2.4916190993929509E-2</v>
      </c>
      <c r="E12" s="225" t="str">
        <f>VLOOKUP($B12,Inputs!$B$60:$C$76,2,FALSE)</f>
        <v>Variable</v>
      </c>
      <c r="G12" s="221">
        <f>IF($E12="Variable",G$10*$D12,$C12)</f>
        <v>22065.999999999996</v>
      </c>
      <c r="H12" s="221">
        <f t="shared" ref="H12:Z26" si="1">IF($E12="Variable",H$10*$D12,$C12)</f>
        <v>22132.197999999993</v>
      </c>
      <c r="I12" s="221">
        <f t="shared" si="1"/>
        <v>22198.594593999991</v>
      </c>
      <c r="J12" s="221">
        <f t="shared" si="1"/>
        <v>22265.19037778199</v>
      </c>
      <c r="K12" s="221">
        <f t="shared" si="1"/>
        <v>22331.985948915331</v>
      </c>
      <c r="L12" s="221">
        <f t="shared" si="1"/>
        <v>22398.981906762074</v>
      </c>
      <c r="M12" s="221">
        <f t="shared" si="1"/>
        <v>22466.178852482357</v>
      </c>
      <c r="N12" s="221">
        <f t="shared" si="1"/>
        <v>22533.577389039801</v>
      </c>
      <c r="O12" s="221">
        <f t="shared" si="1"/>
        <v>22601.178121206918</v>
      </c>
      <c r="P12" s="221">
        <f t="shared" si="1"/>
        <v>22668.981655570537</v>
      </c>
      <c r="Q12" s="221">
        <f t="shared" si="1"/>
        <v>22736.988600537246</v>
      </c>
      <c r="R12" s="221">
        <f t="shared" si="1"/>
        <v>22805.199566338855</v>
      </c>
      <c r="S12" s="221">
        <f t="shared" si="1"/>
        <v>22873.615165037867</v>
      </c>
      <c r="T12" s="221">
        <f t="shared" si="1"/>
        <v>22942.236010532979</v>
      </c>
      <c r="U12" s="221">
        <f t="shared" si="1"/>
        <v>23011.062718564575</v>
      </c>
      <c r="V12" s="221">
        <f t="shared" si="1"/>
        <v>23080.095906720268</v>
      </c>
      <c r="W12" s="221">
        <f t="shared" si="1"/>
        <v>23149.336194440424</v>
      </c>
      <c r="X12" s="221">
        <f t="shared" si="1"/>
        <v>23218.784203023741</v>
      </c>
      <c r="Y12" s="221">
        <f t="shared" si="1"/>
        <v>23288.440555632809</v>
      </c>
      <c r="Z12" s="221">
        <f t="shared" si="1"/>
        <v>23358.305877299706</v>
      </c>
    </row>
    <row r="13" spans="2:26" x14ac:dyDescent="0.3">
      <c r="B13" s="163" t="s">
        <v>69</v>
      </c>
      <c r="C13" s="192">
        <f>INDEX(ExistingStoreTable,MATCH($B13,ExistingStoreRow,0),MATCH($C$5,ExistingStoreColumn,0))/4</f>
        <v>101504</v>
      </c>
      <c r="D13" s="203">
        <f t="shared" ref="D13:D40" si="2">C13/$C$10</f>
        <v>0.1149587750294464</v>
      </c>
      <c r="E13" s="225" t="str">
        <f>VLOOKUP($B13,Inputs!$B$60:$C$76,2,FALSE)</f>
        <v>Variable</v>
      </c>
      <c r="G13" s="221">
        <f>IF($E13="Variable",G$10*$D13,$C13)</f>
        <v>101808.51199999999</v>
      </c>
      <c r="H13" s="221">
        <f t="shared" si="1"/>
        <v>102113.93753599997</v>
      </c>
      <c r="I13" s="221">
        <f t="shared" si="1"/>
        <v>102420.27934860796</v>
      </c>
      <c r="J13" s="221">
        <f t="shared" si="1"/>
        <v>102727.54018665377</v>
      </c>
      <c r="K13" s="221">
        <f t="shared" si="1"/>
        <v>103035.72280721372</v>
      </c>
      <c r="L13" s="221">
        <f t="shared" si="1"/>
        <v>103344.82997563535</v>
      </c>
      <c r="M13" s="221">
        <f t="shared" si="1"/>
        <v>103654.86446556223</v>
      </c>
      <c r="N13" s="221">
        <f t="shared" si="1"/>
        <v>103965.8290589589</v>
      </c>
      <c r="O13" s="221">
        <f>IF($E13="Variable",O$10*$D13,$C13)</f>
        <v>104277.72654613577</v>
      </c>
      <c r="P13" s="221">
        <f t="shared" si="1"/>
        <v>104590.55972577416</v>
      </c>
      <c r="Q13" s="221">
        <f t="shared" si="1"/>
        <v>104904.33140495147</v>
      </c>
      <c r="R13" s="221">
        <f t="shared" si="1"/>
        <v>105219.04439916632</v>
      </c>
      <c r="S13" s="221">
        <f t="shared" si="1"/>
        <v>105534.7015323638</v>
      </c>
      <c r="T13" s="221">
        <f t="shared" si="1"/>
        <v>105851.30563696088</v>
      </c>
      <c r="U13" s="221">
        <f t="shared" si="1"/>
        <v>106168.85955387175</v>
      </c>
      <c r="V13" s="221">
        <f t="shared" si="1"/>
        <v>106487.36613253335</v>
      </c>
      <c r="W13" s="221">
        <f t="shared" si="1"/>
        <v>106806.82823093094</v>
      </c>
      <c r="X13" s="221">
        <f t="shared" si="1"/>
        <v>107127.24871562372</v>
      </c>
      <c r="Y13" s="221">
        <f t="shared" si="1"/>
        <v>107448.63046177058</v>
      </c>
      <c r="Z13" s="221">
        <f t="shared" si="1"/>
        <v>107770.97635315589</v>
      </c>
    </row>
    <row r="14" spans="2:26" x14ac:dyDescent="0.3">
      <c r="B14" s="199" t="s">
        <v>199</v>
      </c>
      <c r="C14" s="194">
        <f>INDEX(ExistingStoreTable,MATCH($B14,ExistingStoreRow,0),MATCH($C$5,ExistingStoreColumn,0))/4</f>
        <v>123504</v>
      </c>
      <c r="D14" s="204">
        <f t="shared" si="2"/>
        <v>0.13987496602337593</v>
      </c>
      <c r="E14" s="227"/>
      <c r="G14" s="222">
        <f>SUM(G12:G13)</f>
        <v>123874.51199999999</v>
      </c>
      <c r="H14" s="222">
        <f t="shared" ref="H14:Z14" si="3">SUM(H12:H13)</f>
        <v>124246.13553599996</v>
      </c>
      <c r="I14" s="222">
        <f t="shared" si="3"/>
        <v>124618.87394260796</v>
      </c>
      <c r="J14" s="222">
        <f t="shared" si="3"/>
        <v>124992.73056443577</v>
      </c>
      <c r="K14" s="222">
        <f t="shared" si="3"/>
        <v>125367.70875612905</v>
      </c>
      <c r="L14" s="222">
        <f t="shared" si="3"/>
        <v>125743.81188239742</v>
      </c>
      <c r="M14" s="222">
        <f t="shared" si="3"/>
        <v>126121.0433180446</v>
      </c>
      <c r="N14" s="222">
        <f t="shared" si="3"/>
        <v>126499.4064479987</v>
      </c>
      <c r="O14" s="222">
        <f t="shared" si="3"/>
        <v>126878.90466734269</v>
      </c>
      <c r="P14" s="222">
        <f t="shared" si="3"/>
        <v>127259.54138134469</v>
      </c>
      <c r="Q14" s="222">
        <f t="shared" si="3"/>
        <v>127641.32000548873</v>
      </c>
      <c r="R14" s="222">
        <f t="shared" si="3"/>
        <v>128024.24396550517</v>
      </c>
      <c r="S14" s="222">
        <f t="shared" si="3"/>
        <v>128408.31669740166</v>
      </c>
      <c r="T14" s="222">
        <f t="shared" si="3"/>
        <v>128793.54164749387</v>
      </c>
      <c r="U14" s="222">
        <f t="shared" si="3"/>
        <v>129179.92227243632</v>
      </c>
      <c r="V14" s="222">
        <f t="shared" si="3"/>
        <v>129567.46203925362</v>
      </c>
      <c r="W14" s="222">
        <f t="shared" si="3"/>
        <v>129956.16442537136</v>
      </c>
      <c r="X14" s="222">
        <f t="shared" si="3"/>
        <v>130346.03291864746</v>
      </c>
      <c r="Y14" s="222">
        <f t="shared" si="3"/>
        <v>130737.07101740339</v>
      </c>
      <c r="Z14" s="222">
        <f t="shared" si="3"/>
        <v>131129.2822304556</v>
      </c>
    </row>
    <row r="15" spans="2:26" x14ac:dyDescent="0.3">
      <c r="C15" s="192"/>
      <c r="D15" s="203"/>
      <c r="E15" s="227"/>
      <c r="G15" s="221"/>
      <c r="H15" s="221"/>
      <c r="I15" s="221"/>
      <c r="J15" s="221"/>
      <c r="K15" s="221"/>
      <c r="L15" s="221"/>
      <c r="M15" s="221"/>
      <c r="N15" s="221"/>
      <c r="O15" s="221"/>
      <c r="P15" s="221"/>
      <c r="Q15" s="221"/>
      <c r="R15" s="221"/>
      <c r="S15" s="221"/>
      <c r="T15" s="221"/>
      <c r="U15" s="221"/>
      <c r="V15" s="221"/>
      <c r="W15" s="221"/>
      <c r="X15" s="221"/>
      <c r="Y15" s="221"/>
      <c r="Z15" s="221"/>
    </row>
    <row r="16" spans="2:26" x14ac:dyDescent="0.3">
      <c r="B16" s="163" t="s">
        <v>1</v>
      </c>
      <c r="C16" s="192">
        <f t="shared" ref="C16:C23" si="4">INDEX(ExistingStoreTable,MATCH($B16,ExistingStoreRow,0),MATCH($C$5,ExistingStoreColumn,0))/4</f>
        <v>9509.8079999999991</v>
      </c>
      <c r="D16" s="203">
        <f t="shared" si="2"/>
        <v>1.0770372383799945E-2</v>
      </c>
      <c r="E16" s="225" t="str">
        <f>VLOOKUP($B16,Inputs!$B$60:$C$76,2,FALSE)</f>
        <v>Variable</v>
      </c>
      <c r="G16" s="221">
        <f t="shared" ref="G16:V37" si="5">IF($E16="Variable",G$10*$D16,$C16)</f>
        <v>9538.3374239999976</v>
      </c>
      <c r="H16" s="221">
        <f t="shared" si="1"/>
        <v>9566.9524362719967</v>
      </c>
      <c r="I16" s="221">
        <f t="shared" si="1"/>
        <v>9595.6532935808118</v>
      </c>
      <c r="J16" s="221">
        <f t="shared" si="1"/>
        <v>9624.4402534615529</v>
      </c>
      <c r="K16" s="221">
        <f t="shared" si="1"/>
        <v>9653.3135742219365</v>
      </c>
      <c r="L16" s="221">
        <f t="shared" si="1"/>
        <v>9682.2735149446016</v>
      </c>
      <c r="M16" s="221">
        <f t="shared" si="1"/>
        <v>9711.320335489434</v>
      </c>
      <c r="N16" s="221">
        <f t="shared" si="1"/>
        <v>9740.4542964959001</v>
      </c>
      <c r="O16" s="221">
        <f t="shared" si="1"/>
        <v>9769.6756593853879</v>
      </c>
      <c r="P16" s="221">
        <f t="shared" si="1"/>
        <v>9798.9846863635412</v>
      </c>
      <c r="Q16" s="221">
        <f t="shared" si="1"/>
        <v>9828.3816404226309</v>
      </c>
      <c r="R16" s="221">
        <f t="shared" si="1"/>
        <v>9857.8667853438983</v>
      </c>
      <c r="S16" s="221">
        <f t="shared" si="1"/>
        <v>9887.4403856999288</v>
      </c>
      <c r="T16" s="221">
        <f t="shared" si="1"/>
        <v>9917.1027068570274</v>
      </c>
      <c r="U16" s="221">
        <f t="shared" si="1"/>
        <v>9946.8540149775981</v>
      </c>
      <c r="V16" s="221">
        <f t="shared" si="1"/>
        <v>9976.6945770225284</v>
      </c>
      <c r="W16" s="221">
        <f t="shared" si="1"/>
        <v>10006.624660753596</v>
      </c>
      <c r="X16" s="221">
        <f t="shared" si="1"/>
        <v>10036.644534735855</v>
      </c>
      <c r="Y16" s="221">
        <f t="shared" si="1"/>
        <v>10066.754468340061</v>
      </c>
      <c r="Z16" s="221">
        <f t="shared" si="1"/>
        <v>10096.95473174508</v>
      </c>
    </row>
    <row r="17" spans="2:26" x14ac:dyDescent="0.3">
      <c r="B17" s="163" t="s">
        <v>0</v>
      </c>
      <c r="C17" s="192">
        <f t="shared" si="4"/>
        <v>5750</v>
      </c>
      <c r="D17" s="203">
        <f t="shared" si="2"/>
        <v>6.5121862825043035E-3</v>
      </c>
      <c r="E17" s="225" t="str">
        <f>VLOOKUP($B17,Inputs!$B$60:$C$76,2,FALSE)</f>
        <v>Fixed</v>
      </c>
      <c r="G17" s="221">
        <f t="shared" si="5"/>
        <v>5750</v>
      </c>
      <c r="H17" s="221">
        <f t="shared" si="1"/>
        <v>5750</v>
      </c>
      <c r="I17" s="221">
        <f t="shared" si="1"/>
        <v>5750</v>
      </c>
      <c r="J17" s="221">
        <f t="shared" si="1"/>
        <v>5750</v>
      </c>
      <c r="K17" s="221">
        <f t="shared" si="1"/>
        <v>5750</v>
      </c>
      <c r="L17" s="221">
        <f t="shared" si="1"/>
        <v>5750</v>
      </c>
      <c r="M17" s="221">
        <f t="shared" si="1"/>
        <v>5750</v>
      </c>
      <c r="N17" s="221">
        <f t="shared" si="1"/>
        <v>5750</v>
      </c>
      <c r="O17" s="221">
        <f t="shared" si="1"/>
        <v>5750</v>
      </c>
      <c r="P17" s="221">
        <f t="shared" si="1"/>
        <v>5750</v>
      </c>
      <c r="Q17" s="221">
        <f t="shared" si="1"/>
        <v>5750</v>
      </c>
      <c r="R17" s="221">
        <f t="shared" si="1"/>
        <v>5750</v>
      </c>
      <c r="S17" s="221">
        <f t="shared" si="1"/>
        <v>5750</v>
      </c>
      <c r="T17" s="221">
        <f t="shared" si="1"/>
        <v>5750</v>
      </c>
      <c r="U17" s="221">
        <f t="shared" si="1"/>
        <v>5750</v>
      </c>
      <c r="V17" s="221">
        <f t="shared" si="1"/>
        <v>5750</v>
      </c>
      <c r="W17" s="221">
        <f t="shared" si="1"/>
        <v>5750</v>
      </c>
      <c r="X17" s="221">
        <f t="shared" si="1"/>
        <v>5750</v>
      </c>
      <c r="Y17" s="221">
        <f t="shared" si="1"/>
        <v>5750</v>
      </c>
      <c r="Z17" s="221">
        <f t="shared" si="1"/>
        <v>5750</v>
      </c>
    </row>
    <row r="18" spans="2:26" x14ac:dyDescent="0.3">
      <c r="B18" s="163" t="s">
        <v>2</v>
      </c>
      <c r="C18" s="192">
        <f t="shared" si="4"/>
        <v>2778.8399999999997</v>
      </c>
      <c r="D18" s="203">
        <f t="shared" si="2"/>
        <v>3.1471867355259576E-3</v>
      </c>
      <c r="E18" s="225" t="str">
        <f>VLOOKUP($B18,Inputs!$B$60:$C$76,2,FALSE)</f>
        <v>Variable</v>
      </c>
      <c r="G18" s="221">
        <f t="shared" si="5"/>
        <v>2787.1765199999991</v>
      </c>
      <c r="H18" s="221">
        <f t="shared" si="1"/>
        <v>2795.5380495599989</v>
      </c>
      <c r="I18" s="221">
        <f t="shared" si="1"/>
        <v>2803.9246637086785</v>
      </c>
      <c r="J18" s="221">
        <f t="shared" si="1"/>
        <v>2812.3364376998043</v>
      </c>
      <c r="K18" s="221">
        <f t="shared" si="1"/>
        <v>2820.773447012903</v>
      </c>
      <c r="L18" s="221">
        <f t="shared" si="1"/>
        <v>2829.2357673539418</v>
      </c>
      <c r="M18" s="221">
        <f t="shared" si="1"/>
        <v>2837.723474656003</v>
      </c>
      <c r="N18" s="221">
        <f t="shared" si="1"/>
        <v>2846.2366450799705</v>
      </c>
      <c r="O18" s="221">
        <f t="shared" si="1"/>
        <v>2854.7753550152102</v>
      </c>
      <c r="P18" s="221">
        <f t="shared" si="1"/>
        <v>2863.3396810802556</v>
      </c>
      <c r="Q18" s="221">
        <f t="shared" si="1"/>
        <v>2871.9297001234959</v>
      </c>
      <c r="R18" s="221">
        <f t="shared" si="1"/>
        <v>2880.5454892238658</v>
      </c>
      <c r="S18" s="221">
        <f t="shared" si="1"/>
        <v>2889.1871256915374</v>
      </c>
      <c r="T18" s="221">
        <f t="shared" si="1"/>
        <v>2897.8546870686114</v>
      </c>
      <c r="U18" s="221">
        <f t="shared" si="1"/>
        <v>2906.5482511298169</v>
      </c>
      <c r="V18" s="221">
        <f t="shared" si="1"/>
        <v>2915.2678958832062</v>
      </c>
      <c r="W18" s="221">
        <f t="shared" si="1"/>
        <v>2924.0136995708554</v>
      </c>
      <c r="X18" s="221">
        <f t="shared" si="1"/>
        <v>2932.7857406695675</v>
      </c>
      <c r="Y18" s="221">
        <f t="shared" si="1"/>
        <v>2941.5840978915758</v>
      </c>
      <c r="Z18" s="221">
        <f t="shared" si="1"/>
        <v>2950.4088501852502</v>
      </c>
    </row>
    <row r="19" spans="2:26" x14ac:dyDescent="0.3">
      <c r="B19" s="163" t="s">
        <v>3</v>
      </c>
      <c r="C19" s="192">
        <f t="shared" si="4"/>
        <v>2778.8399999999997</v>
      </c>
      <c r="D19" s="203">
        <f t="shared" si="2"/>
        <v>3.1471867355259576E-3</v>
      </c>
      <c r="E19" s="225" t="str">
        <f>VLOOKUP($B19,Inputs!$B$60:$C$76,2,FALSE)</f>
        <v>Variable</v>
      </c>
      <c r="G19" s="221">
        <f t="shared" si="5"/>
        <v>2787.1765199999991</v>
      </c>
      <c r="H19" s="221">
        <f t="shared" si="1"/>
        <v>2795.5380495599989</v>
      </c>
      <c r="I19" s="221">
        <f t="shared" si="1"/>
        <v>2803.9246637086785</v>
      </c>
      <c r="J19" s="221">
        <f t="shared" si="1"/>
        <v>2812.3364376998043</v>
      </c>
      <c r="K19" s="221">
        <f t="shared" si="1"/>
        <v>2820.773447012903</v>
      </c>
      <c r="L19" s="221">
        <f t="shared" si="1"/>
        <v>2829.2357673539418</v>
      </c>
      <c r="M19" s="221">
        <f t="shared" si="1"/>
        <v>2837.723474656003</v>
      </c>
      <c r="N19" s="221">
        <f t="shared" si="1"/>
        <v>2846.2366450799705</v>
      </c>
      <c r="O19" s="221">
        <f t="shared" si="1"/>
        <v>2854.7753550152102</v>
      </c>
      <c r="P19" s="221">
        <f t="shared" si="1"/>
        <v>2863.3396810802556</v>
      </c>
      <c r="Q19" s="221">
        <f t="shared" si="1"/>
        <v>2871.9297001234959</v>
      </c>
      <c r="R19" s="221">
        <f t="shared" si="1"/>
        <v>2880.5454892238658</v>
      </c>
      <c r="S19" s="221">
        <f t="shared" si="1"/>
        <v>2889.1871256915374</v>
      </c>
      <c r="T19" s="221">
        <f t="shared" si="1"/>
        <v>2897.8546870686114</v>
      </c>
      <c r="U19" s="221">
        <f t="shared" si="1"/>
        <v>2906.5482511298169</v>
      </c>
      <c r="V19" s="221">
        <f t="shared" si="1"/>
        <v>2915.2678958832062</v>
      </c>
      <c r="W19" s="221">
        <f t="shared" si="1"/>
        <v>2924.0136995708554</v>
      </c>
      <c r="X19" s="221">
        <f t="shared" si="1"/>
        <v>2932.7857406695675</v>
      </c>
      <c r="Y19" s="221">
        <f t="shared" si="1"/>
        <v>2941.5840978915758</v>
      </c>
      <c r="Z19" s="221">
        <f t="shared" si="1"/>
        <v>2950.4088501852502</v>
      </c>
    </row>
    <row r="20" spans="2:26" x14ac:dyDescent="0.3">
      <c r="B20" s="163" t="s">
        <v>16</v>
      </c>
      <c r="C20" s="192">
        <f t="shared" si="4"/>
        <v>2778.8399999999997</v>
      </c>
      <c r="D20" s="203">
        <f t="shared" si="2"/>
        <v>3.1471867355259576E-3</v>
      </c>
      <c r="E20" s="225" t="str">
        <f>VLOOKUP($B20,Inputs!$B$60:$C$76,2,FALSE)</f>
        <v>Variable</v>
      </c>
      <c r="G20" s="221">
        <f t="shared" si="5"/>
        <v>2787.1765199999991</v>
      </c>
      <c r="H20" s="221">
        <f t="shared" si="1"/>
        <v>2795.5380495599989</v>
      </c>
      <c r="I20" s="221">
        <f t="shared" si="1"/>
        <v>2803.9246637086785</v>
      </c>
      <c r="J20" s="221">
        <f t="shared" si="1"/>
        <v>2812.3364376998043</v>
      </c>
      <c r="K20" s="221">
        <f t="shared" si="1"/>
        <v>2820.773447012903</v>
      </c>
      <c r="L20" s="221">
        <f t="shared" si="1"/>
        <v>2829.2357673539418</v>
      </c>
      <c r="M20" s="221">
        <f t="shared" si="1"/>
        <v>2837.723474656003</v>
      </c>
      <c r="N20" s="221">
        <f t="shared" si="1"/>
        <v>2846.2366450799705</v>
      </c>
      <c r="O20" s="221">
        <f t="shared" si="1"/>
        <v>2854.7753550152102</v>
      </c>
      <c r="P20" s="221">
        <f t="shared" si="1"/>
        <v>2863.3396810802556</v>
      </c>
      <c r="Q20" s="221">
        <f t="shared" si="1"/>
        <v>2871.9297001234959</v>
      </c>
      <c r="R20" s="221">
        <f t="shared" si="1"/>
        <v>2880.5454892238658</v>
      </c>
      <c r="S20" s="221">
        <f t="shared" si="1"/>
        <v>2889.1871256915374</v>
      </c>
      <c r="T20" s="221">
        <f t="shared" si="1"/>
        <v>2897.8546870686114</v>
      </c>
      <c r="U20" s="221">
        <f t="shared" si="1"/>
        <v>2906.5482511298169</v>
      </c>
      <c r="V20" s="221">
        <f t="shared" si="1"/>
        <v>2915.2678958832062</v>
      </c>
      <c r="W20" s="221">
        <f t="shared" si="1"/>
        <v>2924.0136995708554</v>
      </c>
      <c r="X20" s="221">
        <f t="shared" si="1"/>
        <v>2932.7857406695675</v>
      </c>
      <c r="Y20" s="221">
        <f t="shared" si="1"/>
        <v>2941.5840978915758</v>
      </c>
      <c r="Z20" s="221">
        <f t="shared" si="1"/>
        <v>2950.4088501852502</v>
      </c>
    </row>
    <row r="21" spans="2:26" x14ac:dyDescent="0.3">
      <c r="B21" s="163" t="s">
        <v>4</v>
      </c>
      <c r="C21" s="192">
        <f t="shared" si="4"/>
        <v>5557.6799999999994</v>
      </c>
      <c r="D21" s="203">
        <f t="shared" si="2"/>
        <v>6.2943734710519152E-3</v>
      </c>
      <c r="E21" s="225" t="str">
        <f>VLOOKUP($B21,Inputs!$B$60:$C$76,2,FALSE)</f>
        <v>Variable</v>
      </c>
      <c r="G21" s="221">
        <f t="shared" si="5"/>
        <v>5574.3530399999981</v>
      </c>
      <c r="H21" s="221">
        <f t="shared" si="1"/>
        <v>5591.0760991199977</v>
      </c>
      <c r="I21" s="221">
        <f t="shared" si="1"/>
        <v>5607.849327417357</v>
      </c>
      <c r="J21" s="221">
        <f t="shared" si="1"/>
        <v>5624.6728753996085</v>
      </c>
      <c r="K21" s="221">
        <f t="shared" si="1"/>
        <v>5641.5468940258061</v>
      </c>
      <c r="L21" s="221">
        <f t="shared" si="1"/>
        <v>5658.4715347078836</v>
      </c>
      <c r="M21" s="221">
        <f t="shared" si="1"/>
        <v>5675.4469493120059</v>
      </c>
      <c r="N21" s="221">
        <f t="shared" si="1"/>
        <v>5692.4732901599409</v>
      </c>
      <c r="O21" s="221">
        <f t="shared" si="1"/>
        <v>5709.5507100304203</v>
      </c>
      <c r="P21" s="221">
        <f t="shared" si="1"/>
        <v>5726.6793621605111</v>
      </c>
      <c r="Q21" s="221">
        <f t="shared" si="1"/>
        <v>5743.8594002469918</v>
      </c>
      <c r="R21" s="221">
        <f t="shared" si="1"/>
        <v>5761.0909784477317</v>
      </c>
      <c r="S21" s="221">
        <f t="shared" si="1"/>
        <v>5778.3742513830748</v>
      </c>
      <c r="T21" s="221">
        <f t="shared" si="1"/>
        <v>5795.7093741372228</v>
      </c>
      <c r="U21" s="221">
        <f t="shared" si="1"/>
        <v>5813.0965022596338</v>
      </c>
      <c r="V21" s="221">
        <f t="shared" si="1"/>
        <v>5830.5357917664123</v>
      </c>
      <c r="W21" s="221">
        <f t="shared" si="1"/>
        <v>5848.0273991417107</v>
      </c>
      <c r="X21" s="221">
        <f t="shared" si="1"/>
        <v>5865.5714813391351</v>
      </c>
      <c r="Y21" s="221">
        <f t="shared" si="1"/>
        <v>5883.1681957831515</v>
      </c>
      <c r="Z21" s="221">
        <f t="shared" si="1"/>
        <v>5900.8177003705005</v>
      </c>
    </row>
    <row r="22" spans="2:26" x14ac:dyDescent="0.3">
      <c r="B22" s="176" t="s">
        <v>200</v>
      </c>
      <c r="C22" s="194">
        <f t="shared" si="4"/>
        <v>29154.007999999998</v>
      </c>
      <c r="D22" s="205">
        <f t="shared" si="2"/>
        <v>3.3018492343934037E-2</v>
      </c>
      <c r="E22" s="227"/>
      <c r="G22" s="223">
        <f>SUM(G16:G21)</f>
        <v>29224.220023999998</v>
      </c>
      <c r="H22" s="223">
        <f t="shared" ref="H22:Z22" si="6">SUM(H16:H21)</f>
        <v>29294.642684071994</v>
      </c>
      <c r="I22" s="223">
        <f t="shared" si="6"/>
        <v>29365.276612124206</v>
      </c>
      <c r="J22" s="223">
        <f t="shared" si="6"/>
        <v>29436.122441960571</v>
      </c>
      <c r="K22" s="223">
        <f t="shared" si="6"/>
        <v>29507.180809286452</v>
      </c>
      <c r="L22" s="223">
        <f t="shared" si="6"/>
        <v>29578.45235171431</v>
      </c>
      <c r="M22" s="223">
        <f t="shared" si="6"/>
        <v>29649.937708769448</v>
      </c>
      <c r="N22" s="223">
        <f t="shared" si="6"/>
        <v>29721.637521895755</v>
      </c>
      <c r="O22" s="223">
        <f t="shared" si="6"/>
        <v>29793.552434461442</v>
      </c>
      <c r="P22" s="223">
        <f t="shared" si="6"/>
        <v>29865.683091764819</v>
      </c>
      <c r="Q22" s="223">
        <f t="shared" si="6"/>
        <v>29938.030141040108</v>
      </c>
      <c r="R22" s="223">
        <f t="shared" si="6"/>
        <v>30010.594231463227</v>
      </c>
      <c r="S22" s="223">
        <f t="shared" si="6"/>
        <v>30083.376014157613</v>
      </c>
      <c r="T22" s="223">
        <f t="shared" si="6"/>
        <v>30156.376142200083</v>
      </c>
      <c r="U22" s="223">
        <f t="shared" si="6"/>
        <v>30229.595270626683</v>
      </c>
      <c r="V22" s="223">
        <f t="shared" si="6"/>
        <v>30303.034056438562</v>
      </c>
      <c r="W22" s="223">
        <f t="shared" si="6"/>
        <v>30376.693158607872</v>
      </c>
      <c r="X22" s="223">
        <f t="shared" si="6"/>
        <v>30450.573238083696</v>
      </c>
      <c r="Y22" s="223">
        <f t="shared" si="6"/>
        <v>30524.674957797943</v>
      </c>
      <c r="Z22" s="223">
        <f t="shared" si="6"/>
        <v>30598.998982671328</v>
      </c>
    </row>
    <row r="23" spans="2:26" x14ac:dyDescent="0.3">
      <c r="B23" s="199" t="s">
        <v>201</v>
      </c>
      <c r="C23" s="194">
        <f t="shared" si="4"/>
        <v>152658.008</v>
      </c>
      <c r="D23" s="204">
        <f t="shared" si="2"/>
        <v>0.17289345836730996</v>
      </c>
      <c r="E23" s="227"/>
      <c r="G23" s="222">
        <f>G14+G22</f>
        <v>153098.732024</v>
      </c>
      <c r="H23" s="222">
        <f t="shared" ref="H23:Z23" si="7">H14+H22</f>
        <v>153540.77822007195</v>
      </c>
      <c r="I23" s="222">
        <f t="shared" si="7"/>
        <v>153984.15055473216</v>
      </c>
      <c r="J23" s="222">
        <f t="shared" si="7"/>
        <v>154428.85300639633</v>
      </c>
      <c r="K23" s="222">
        <f t="shared" si="7"/>
        <v>154874.88956541551</v>
      </c>
      <c r="L23" s="222">
        <f t="shared" si="7"/>
        <v>155322.26423411173</v>
      </c>
      <c r="M23" s="222">
        <f t="shared" si="7"/>
        <v>155770.98102681406</v>
      </c>
      <c r="N23" s="222">
        <f t="shared" si="7"/>
        <v>156221.04396989447</v>
      </c>
      <c r="O23" s="222">
        <f t="shared" si="7"/>
        <v>156672.45710180415</v>
      </c>
      <c r="P23" s="222">
        <f t="shared" si="7"/>
        <v>157125.22447310953</v>
      </c>
      <c r="Q23" s="222">
        <f t="shared" si="7"/>
        <v>157579.35014652883</v>
      </c>
      <c r="R23" s="222">
        <f t="shared" si="7"/>
        <v>158034.8381969684</v>
      </c>
      <c r="S23" s="222">
        <f t="shared" si="7"/>
        <v>158491.69271155927</v>
      </c>
      <c r="T23" s="222">
        <f t="shared" si="7"/>
        <v>158949.91778969395</v>
      </c>
      <c r="U23" s="222">
        <f t="shared" si="7"/>
        <v>159409.517543063</v>
      </c>
      <c r="V23" s="222">
        <f t="shared" si="7"/>
        <v>159870.49609569219</v>
      </c>
      <c r="W23" s="222">
        <f t="shared" si="7"/>
        <v>160332.85758397923</v>
      </c>
      <c r="X23" s="222">
        <f t="shared" si="7"/>
        <v>160796.60615673114</v>
      </c>
      <c r="Y23" s="222">
        <f t="shared" si="7"/>
        <v>161261.74597520134</v>
      </c>
      <c r="Z23" s="222">
        <f t="shared" si="7"/>
        <v>161728.28121312693</v>
      </c>
    </row>
    <row r="24" spans="2:26" x14ac:dyDescent="0.3">
      <c r="C24" s="192"/>
      <c r="D24" s="203"/>
      <c r="E24" s="227"/>
      <c r="G24" s="221"/>
      <c r="H24" s="221"/>
      <c r="I24" s="221"/>
      <c r="J24" s="221"/>
      <c r="K24" s="221"/>
      <c r="L24" s="221"/>
      <c r="M24" s="221"/>
      <c r="N24" s="221"/>
      <c r="O24" s="221"/>
      <c r="P24" s="221"/>
      <c r="Q24" s="221"/>
      <c r="R24" s="221"/>
      <c r="S24" s="221"/>
      <c r="T24" s="221"/>
      <c r="U24" s="221"/>
      <c r="V24" s="221"/>
      <c r="W24" s="221"/>
      <c r="X24" s="221"/>
      <c r="Y24" s="221"/>
      <c r="Z24" s="221"/>
    </row>
    <row r="25" spans="2:26" x14ac:dyDescent="0.3">
      <c r="B25" s="163" t="s">
        <v>71</v>
      </c>
      <c r="C25" s="192">
        <f>INDEX(ExistingStoreTable,MATCH($B25,ExistingStoreRow,0),MATCH($C$5,ExistingStoreColumn,0))/4</f>
        <v>229569.6</v>
      </c>
      <c r="D25" s="203">
        <f t="shared" si="2"/>
        <v>0.26</v>
      </c>
      <c r="E25" s="225" t="str">
        <f>VLOOKUP($B25,Inputs!$B$60:$C$76,2,FALSE)</f>
        <v>Variable</v>
      </c>
      <c r="G25" s="221">
        <f t="shared" si="5"/>
        <v>230258.30879999997</v>
      </c>
      <c r="H25" s="221">
        <f t="shared" si="1"/>
        <v>230949.08372639996</v>
      </c>
      <c r="I25" s="221">
        <f t="shared" si="1"/>
        <v>231641.93097757912</v>
      </c>
      <c r="J25" s="221">
        <f t="shared" si="1"/>
        <v>232336.85677051183</v>
      </c>
      <c r="K25" s="221">
        <f t="shared" si="1"/>
        <v>233033.86734082334</v>
      </c>
      <c r="L25" s="221">
        <f t="shared" si="1"/>
        <v>233732.96894284579</v>
      </c>
      <c r="M25" s="221">
        <f t="shared" si="1"/>
        <v>234434.16784967427</v>
      </c>
      <c r="N25" s="221">
        <f t="shared" si="1"/>
        <v>235137.47035322327</v>
      </c>
      <c r="O25" s="221">
        <f t="shared" si="1"/>
        <v>235842.8827642829</v>
      </c>
      <c r="P25" s="221">
        <f t="shared" si="1"/>
        <v>236550.41141257572</v>
      </c>
      <c r="Q25" s="221">
        <f t="shared" si="1"/>
        <v>237260.06264681343</v>
      </c>
      <c r="R25" s="221">
        <f t="shared" si="1"/>
        <v>237971.84283475386</v>
      </c>
      <c r="S25" s="221">
        <f t="shared" si="1"/>
        <v>238685.75836325806</v>
      </c>
      <c r="T25" s="221">
        <f t="shared" si="1"/>
        <v>239401.81563834782</v>
      </c>
      <c r="U25" s="221">
        <f t="shared" si="1"/>
        <v>240120.02108526285</v>
      </c>
      <c r="V25" s="221">
        <f t="shared" si="1"/>
        <v>240840.38114851859</v>
      </c>
      <c r="W25" s="221">
        <f t="shared" si="1"/>
        <v>241562.90229196413</v>
      </c>
      <c r="X25" s="221">
        <f t="shared" si="1"/>
        <v>242287.59099883999</v>
      </c>
      <c r="Y25" s="221">
        <f t="shared" si="1"/>
        <v>243014.45377183647</v>
      </c>
      <c r="Z25" s="221">
        <f t="shared" si="1"/>
        <v>243743.49713315195</v>
      </c>
    </row>
    <row r="26" spans="2:26" x14ac:dyDescent="0.3">
      <c r="B26" s="163" t="s">
        <v>72</v>
      </c>
      <c r="C26" s="192">
        <f>INDEX(ExistingStoreTable,MATCH($B26,ExistingStoreRow,0),MATCH($C$5,ExistingStoreColumn,0))/4</f>
        <v>26488.799999999999</v>
      </c>
      <c r="D26" s="203">
        <f t="shared" si="2"/>
        <v>0.03</v>
      </c>
      <c r="E26" s="225" t="str">
        <f>VLOOKUP($B26,Inputs!$B$60:$C$76,2,FALSE)</f>
        <v>Variable</v>
      </c>
      <c r="G26" s="221">
        <f t="shared" si="5"/>
        <v>26568.266399999997</v>
      </c>
      <c r="H26" s="221">
        <f t="shared" si="5"/>
        <v>26647.97119919999</v>
      </c>
      <c r="I26" s="221">
        <f t="shared" si="5"/>
        <v>26727.915112797589</v>
      </c>
      <c r="J26" s="221">
        <f t="shared" si="5"/>
        <v>26808.098858135978</v>
      </c>
      <c r="K26" s="221">
        <f t="shared" si="5"/>
        <v>26888.523154710383</v>
      </c>
      <c r="L26" s="221">
        <f t="shared" si="5"/>
        <v>26969.18872417451</v>
      </c>
      <c r="M26" s="221">
        <f t="shared" si="5"/>
        <v>27050.096290347032</v>
      </c>
      <c r="N26" s="221">
        <f t="shared" si="5"/>
        <v>27131.246579218066</v>
      </c>
      <c r="O26" s="221">
        <f>IF($E26="Variable",O$10*$D26,$C26)</f>
        <v>27212.64031895572</v>
      </c>
      <c r="P26" s="221">
        <f t="shared" si="5"/>
        <v>27294.278239912583</v>
      </c>
      <c r="Q26" s="221">
        <f t="shared" si="5"/>
        <v>27376.161074632317</v>
      </c>
      <c r="R26" s="221">
        <f t="shared" si="5"/>
        <v>27458.289557856209</v>
      </c>
      <c r="S26" s="221">
        <f t="shared" si="5"/>
        <v>27540.664426529776</v>
      </c>
      <c r="T26" s="221">
        <f t="shared" si="5"/>
        <v>27623.286419809359</v>
      </c>
      <c r="U26" s="221">
        <f t="shared" si="5"/>
        <v>27706.156279068786</v>
      </c>
      <c r="V26" s="221">
        <f t="shared" si="5"/>
        <v>27789.274747905991</v>
      </c>
      <c r="W26" s="221">
        <f t="shared" si="1"/>
        <v>27872.642572149703</v>
      </c>
      <c r="X26" s="221">
        <f t="shared" si="1"/>
        <v>27956.260499866148</v>
      </c>
      <c r="Y26" s="221">
        <f t="shared" si="1"/>
        <v>28040.129281365742</v>
      </c>
      <c r="Z26" s="221">
        <f t="shared" si="1"/>
        <v>28124.249669209839</v>
      </c>
    </row>
    <row r="27" spans="2:26" x14ac:dyDescent="0.3">
      <c r="B27" s="199" t="s">
        <v>202</v>
      </c>
      <c r="C27" s="194">
        <f>INDEX(ExistingStoreTable,MATCH($B27,ExistingStoreRow,0),MATCH($C$5,ExistingStoreColumn,0))/4</f>
        <v>256058.4</v>
      </c>
      <c r="D27" s="204">
        <f t="shared" si="2"/>
        <v>0.28999999999999998</v>
      </c>
      <c r="E27" s="227"/>
      <c r="G27" s="222">
        <f>SUM(G25:G26)</f>
        <v>256826.57519999996</v>
      </c>
      <c r="H27" s="222">
        <f t="shared" ref="H27:Z27" si="8">SUM(H25:H26)</f>
        <v>257597.05492559995</v>
      </c>
      <c r="I27" s="222">
        <f t="shared" si="8"/>
        <v>258369.8460903767</v>
      </c>
      <c r="J27" s="222">
        <f t="shared" si="8"/>
        <v>259144.95562864782</v>
      </c>
      <c r="K27" s="222">
        <f t="shared" si="8"/>
        <v>259922.39049553373</v>
      </c>
      <c r="L27" s="222">
        <f t="shared" si="8"/>
        <v>260702.15766702031</v>
      </c>
      <c r="M27" s="222">
        <f t="shared" si="8"/>
        <v>261484.26414002129</v>
      </c>
      <c r="N27" s="222">
        <f t="shared" si="8"/>
        <v>262268.71693244134</v>
      </c>
      <c r="O27" s="222">
        <f t="shared" si="8"/>
        <v>263055.52308323863</v>
      </c>
      <c r="P27" s="222">
        <f t="shared" si="8"/>
        <v>263844.68965248828</v>
      </c>
      <c r="Q27" s="222">
        <f t="shared" si="8"/>
        <v>264636.22372144577</v>
      </c>
      <c r="R27" s="222">
        <f t="shared" si="8"/>
        <v>265430.13239261007</v>
      </c>
      <c r="S27" s="222">
        <f t="shared" si="8"/>
        <v>266226.42278978782</v>
      </c>
      <c r="T27" s="222">
        <f t="shared" si="8"/>
        <v>267025.10205815721</v>
      </c>
      <c r="U27" s="222">
        <f t="shared" si="8"/>
        <v>267826.17736433161</v>
      </c>
      <c r="V27" s="222">
        <f t="shared" si="8"/>
        <v>268629.65589642455</v>
      </c>
      <c r="W27" s="222">
        <f t="shared" si="8"/>
        <v>269435.54486411385</v>
      </c>
      <c r="X27" s="222">
        <f t="shared" si="8"/>
        <v>270243.85149870615</v>
      </c>
      <c r="Y27" s="222">
        <f t="shared" si="8"/>
        <v>271054.58305320219</v>
      </c>
      <c r="Z27" s="222">
        <f t="shared" si="8"/>
        <v>271867.7468023618</v>
      </c>
    </row>
    <row r="28" spans="2:26" x14ac:dyDescent="0.3">
      <c r="C28" s="192"/>
      <c r="D28" s="203"/>
      <c r="E28" s="227"/>
      <c r="G28" s="221"/>
      <c r="H28" s="221"/>
      <c r="I28" s="221"/>
      <c r="J28" s="221"/>
      <c r="K28" s="221"/>
      <c r="L28" s="221"/>
      <c r="M28" s="221"/>
      <c r="N28" s="221"/>
      <c r="O28" s="221"/>
      <c r="P28" s="221"/>
      <c r="Q28" s="221"/>
      <c r="R28" s="221"/>
      <c r="S28" s="221"/>
      <c r="T28" s="221"/>
      <c r="U28" s="221"/>
      <c r="V28" s="221"/>
      <c r="W28" s="221"/>
      <c r="X28" s="221"/>
      <c r="Y28" s="221"/>
      <c r="Z28" s="221"/>
    </row>
    <row r="29" spans="2:26" x14ac:dyDescent="0.3">
      <c r="B29" s="163" t="s">
        <v>73</v>
      </c>
      <c r="C29" s="192">
        <f t="shared" ref="C29:C34" si="9">INDEX(ExistingStoreTable,MATCH($B29,ExistingStoreRow,0),MATCH($C$5,ExistingStoreColumn,0))/4</f>
        <v>13244.4</v>
      </c>
      <c r="D29" s="203">
        <f t="shared" si="2"/>
        <v>1.4999999999999999E-2</v>
      </c>
      <c r="E29" s="225" t="str">
        <f>VLOOKUP($B29,Inputs!$B$60:$C$76,2,FALSE)</f>
        <v>Variable</v>
      </c>
      <c r="G29" s="221">
        <f t="shared" si="5"/>
        <v>13284.133199999998</v>
      </c>
      <c r="H29" s="221">
        <f t="shared" si="5"/>
        <v>13323.985599599995</v>
      </c>
      <c r="I29" s="221">
        <f t="shared" si="5"/>
        <v>13363.957556398795</v>
      </c>
      <c r="J29" s="221">
        <f t="shared" si="5"/>
        <v>13404.049429067989</v>
      </c>
      <c r="K29" s="221">
        <f t="shared" si="5"/>
        <v>13444.261577355192</v>
      </c>
      <c r="L29" s="221">
        <f t="shared" si="5"/>
        <v>13484.594362087255</v>
      </c>
      <c r="M29" s="221">
        <f t="shared" si="5"/>
        <v>13525.048145173516</v>
      </c>
      <c r="N29" s="221">
        <f t="shared" si="5"/>
        <v>13565.623289609033</v>
      </c>
      <c r="O29" s="221">
        <f t="shared" si="5"/>
        <v>13606.32015947786</v>
      </c>
      <c r="P29" s="221">
        <f t="shared" si="5"/>
        <v>13647.139119956291</v>
      </c>
      <c r="Q29" s="221">
        <f t="shared" si="5"/>
        <v>13688.080537316158</v>
      </c>
      <c r="R29" s="221">
        <f t="shared" si="5"/>
        <v>13729.144778928105</v>
      </c>
      <c r="S29" s="221">
        <f t="shared" si="5"/>
        <v>13770.332213264888</v>
      </c>
      <c r="T29" s="221">
        <f t="shared" si="5"/>
        <v>13811.64320990468</v>
      </c>
      <c r="U29" s="221">
        <f t="shared" si="5"/>
        <v>13853.078139534393</v>
      </c>
      <c r="V29" s="221">
        <f t="shared" si="5"/>
        <v>13894.637373952995</v>
      </c>
      <c r="W29" s="221">
        <f t="shared" ref="W29:Z37" si="10">IF($E29="Variable",W$10*$D29,$C29)</f>
        <v>13936.321286074852</v>
      </c>
      <c r="X29" s="221">
        <f t="shared" si="10"/>
        <v>13978.130249933074</v>
      </c>
      <c r="Y29" s="221">
        <f t="shared" si="10"/>
        <v>14020.064640682871</v>
      </c>
      <c r="Z29" s="221">
        <f t="shared" si="10"/>
        <v>14062.12483460492</v>
      </c>
    </row>
    <row r="30" spans="2:26" x14ac:dyDescent="0.3">
      <c r="B30" s="163" t="s">
        <v>74</v>
      </c>
      <c r="C30" s="192">
        <f t="shared" si="9"/>
        <v>17659.2</v>
      </c>
      <c r="D30" s="203">
        <f t="shared" si="2"/>
        <v>0.02</v>
      </c>
      <c r="E30" s="225" t="str">
        <f>VLOOKUP($B30,Inputs!$B$60:$C$76,2,FALSE)</f>
        <v>Variable</v>
      </c>
      <c r="G30" s="221">
        <f t="shared" si="5"/>
        <v>17712.177599999999</v>
      </c>
      <c r="H30" s="221">
        <f t="shared" si="5"/>
        <v>17765.314132799995</v>
      </c>
      <c r="I30" s="221">
        <f t="shared" si="5"/>
        <v>17818.610075198394</v>
      </c>
      <c r="J30" s="221">
        <f t="shared" si="5"/>
        <v>17872.065905423988</v>
      </c>
      <c r="K30" s="221">
        <f t="shared" si="5"/>
        <v>17925.682103140258</v>
      </c>
      <c r="L30" s="221">
        <f t="shared" si="5"/>
        <v>17979.459149449674</v>
      </c>
      <c r="M30" s="221">
        <f t="shared" si="5"/>
        <v>18033.397526898021</v>
      </c>
      <c r="N30" s="221">
        <f t="shared" si="5"/>
        <v>18087.497719478713</v>
      </c>
      <c r="O30" s="221">
        <f t="shared" si="5"/>
        <v>18141.760212637146</v>
      </c>
      <c r="P30" s="221">
        <f t="shared" si="5"/>
        <v>18196.185493275054</v>
      </c>
      <c r="Q30" s="221">
        <f t="shared" si="5"/>
        <v>18250.77404975488</v>
      </c>
      <c r="R30" s="221">
        <f t="shared" si="5"/>
        <v>18305.526371904143</v>
      </c>
      <c r="S30" s="221">
        <f t="shared" si="5"/>
        <v>18360.44295101985</v>
      </c>
      <c r="T30" s="221">
        <f t="shared" si="5"/>
        <v>18415.524279872909</v>
      </c>
      <c r="U30" s="221">
        <f t="shared" si="5"/>
        <v>18470.770852712525</v>
      </c>
      <c r="V30" s="221">
        <f t="shared" si="5"/>
        <v>18526.183165270661</v>
      </c>
      <c r="W30" s="221">
        <f t="shared" si="10"/>
        <v>18581.761714766471</v>
      </c>
      <c r="X30" s="221">
        <f t="shared" si="10"/>
        <v>18637.506999910769</v>
      </c>
      <c r="Y30" s="221">
        <f t="shared" si="10"/>
        <v>18693.419520910498</v>
      </c>
      <c r="Z30" s="221">
        <f t="shared" si="10"/>
        <v>18749.499779473226</v>
      </c>
    </row>
    <row r="31" spans="2:26" x14ac:dyDescent="0.3">
      <c r="B31" s="163" t="s">
        <v>75</v>
      </c>
      <c r="C31" s="192">
        <f t="shared" si="9"/>
        <v>6180.72</v>
      </c>
      <c r="D31" s="203">
        <f t="shared" si="2"/>
        <v>7.0000000000000001E-3</v>
      </c>
      <c r="E31" s="225" t="str">
        <f>VLOOKUP($B31,Inputs!$B$60:$C$76,2,FALSE)</f>
        <v>Variable</v>
      </c>
      <c r="G31" s="221">
        <f t="shared" si="5"/>
        <v>6199.2621599999993</v>
      </c>
      <c r="H31" s="221">
        <f t="shared" si="5"/>
        <v>6217.8599464799981</v>
      </c>
      <c r="I31" s="221">
        <f t="shared" si="5"/>
        <v>6236.5135263194379</v>
      </c>
      <c r="J31" s="221">
        <f t="shared" si="5"/>
        <v>6255.2230668983957</v>
      </c>
      <c r="K31" s="221">
        <f t="shared" si="5"/>
        <v>6273.9887360990897</v>
      </c>
      <c r="L31" s="221">
        <f t="shared" si="5"/>
        <v>6292.8107023073862</v>
      </c>
      <c r="M31" s="221">
        <f t="shared" si="5"/>
        <v>6311.6891344143078</v>
      </c>
      <c r="N31" s="221">
        <f t="shared" si="5"/>
        <v>6330.624201817549</v>
      </c>
      <c r="O31" s="221">
        <f t="shared" si="5"/>
        <v>6349.616074423001</v>
      </c>
      <c r="P31" s="221">
        <f t="shared" si="5"/>
        <v>6368.6649226462696</v>
      </c>
      <c r="Q31" s="221">
        <f t="shared" si="5"/>
        <v>6387.7709174142074</v>
      </c>
      <c r="R31" s="221">
        <f t="shared" si="5"/>
        <v>6406.9342301664492</v>
      </c>
      <c r="S31" s="221">
        <f t="shared" si="5"/>
        <v>6426.1550328569483</v>
      </c>
      <c r="T31" s="221">
        <f t="shared" si="5"/>
        <v>6445.4334979555179</v>
      </c>
      <c r="U31" s="221">
        <f t="shared" si="5"/>
        <v>6464.7697984493843</v>
      </c>
      <c r="V31" s="221">
        <f t="shared" si="5"/>
        <v>6484.164107844731</v>
      </c>
      <c r="W31" s="221">
        <f t="shared" si="10"/>
        <v>6503.616600168265</v>
      </c>
      <c r="X31" s="221">
        <f t="shared" si="10"/>
        <v>6523.1274499687688</v>
      </c>
      <c r="Y31" s="221">
        <f t="shared" si="10"/>
        <v>6542.6968323186738</v>
      </c>
      <c r="Z31" s="221">
        <f t="shared" si="10"/>
        <v>6562.3249228156292</v>
      </c>
    </row>
    <row r="32" spans="2:26" x14ac:dyDescent="0.3">
      <c r="B32" s="163" t="s">
        <v>76</v>
      </c>
      <c r="C32" s="192">
        <f t="shared" si="9"/>
        <v>4000</v>
      </c>
      <c r="D32" s="203">
        <f t="shared" si="2"/>
        <v>4.5302165443508197E-3</v>
      </c>
      <c r="E32" s="225" t="str">
        <f>VLOOKUP($B32,Inputs!$B$60:$C$76,2,FALSE)</f>
        <v>Fixed</v>
      </c>
      <c r="G32" s="221">
        <f t="shared" si="5"/>
        <v>4000</v>
      </c>
      <c r="H32" s="221">
        <f t="shared" si="5"/>
        <v>4000</v>
      </c>
      <c r="I32" s="221">
        <f t="shared" si="5"/>
        <v>4000</v>
      </c>
      <c r="J32" s="221">
        <f t="shared" si="5"/>
        <v>4000</v>
      </c>
      <c r="K32" s="221">
        <f t="shared" si="5"/>
        <v>4000</v>
      </c>
      <c r="L32" s="221">
        <f t="shared" si="5"/>
        <v>4000</v>
      </c>
      <c r="M32" s="221">
        <f t="shared" si="5"/>
        <v>4000</v>
      </c>
      <c r="N32" s="221">
        <f t="shared" si="5"/>
        <v>4000</v>
      </c>
      <c r="O32" s="221">
        <f t="shared" si="5"/>
        <v>4000</v>
      </c>
      <c r="P32" s="221">
        <f t="shared" si="5"/>
        <v>4000</v>
      </c>
      <c r="Q32" s="221">
        <f t="shared" si="5"/>
        <v>4000</v>
      </c>
      <c r="R32" s="221">
        <f t="shared" si="5"/>
        <v>4000</v>
      </c>
      <c r="S32" s="221">
        <f t="shared" si="5"/>
        <v>4000</v>
      </c>
      <c r="T32" s="221">
        <f t="shared" si="5"/>
        <v>4000</v>
      </c>
      <c r="U32" s="221">
        <f t="shared" si="5"/>
        <v>4000</v>
      </c>
      <c r="V32" s="221">
        <f t="shared" si="5"/>
        <v>4000</v>
      </c>
      <c r="W32" s="221">
        <f t="shared" si="10"/>
        <v>4000</v>
      </c>
      <c r="X32" s="221">
        <f t="shared" si="10"/>
        <v>4000</v>
      </c>
      <c r="Y32" s="221">
        <f t="shared" si="10"/>
        <v>4000</v>
      </c>
      <c r="Z32" s="221">
        <f t="shared" si="10"/>
        <v>4000</v>
      </c>
    </row>
    <row r="33" spans="2:26" x14ac:dyDescent="0.3">
      <c r="B33" s="163" t="s">
        <v>43</v>
      </c>
      <c r="C33" s="192">
        <f t="shared" si="9"/>
        <v>20750</v>
      </c>
      <c r="D33" s="203">
        <f t="shared" si="2"/>
        <v>2.3500498323819879E-2</v>
      </c>
      <c r="E33" s="225" t="str">
        <f>VLOOKUP($B33,Inputs!$B$60:$C$76,2,FALSE)</f>
        <v>Fixed</v>
      </c>
      <c r="G33" s="221">
        <f t="shared" si="5"/>
        <v>20750</v>
      </c>
      <c r="H33" s="221">
        <f t="shared" si="5"/>
        <v>20750</v>
      </c>
      <c r="I33" s="221">
        <f t="shared" si="5"/>
        <v>20750</v>
      </c>
      <c r="J33" s="221">
        <f t="shared" si="5"/>
        <v>20750</v>
      </c>
      <c r="K33" s="221">
        <f t="shared" si="5"/>
        <v>20750</v>
      </c>
      <c r="L33" s="221">
        <f t="shared" si="5"/>
        <v>20750</v>
      </c>
      <c r="M33" s="221">
        <f t="shared" si="5"/>
        <v>20750</v>
      </c>
      <c r="N33" s="221">
        <f t="shared" si="5"/>
        <v>20750</v>
      </c>
      <c r="O33" s="221">
        <f t="shared" si="5"/>
        <v>20750</v>
      </c>
      <c r="P33" s="221">
        <f t="shared" si="5"/>
        <v>20750</v>
      </c>
      <c r="Q33" s="221">
        <f t="shared" si="5"/>
        <v>20750</v>
      </c>
      <c r="R33" s="221">
        <f t="shared" si="5"/>
        <v>20750</v>
      </c>
      <c r="S33" s="221">
        <f t="shared" si="5"/>
        <v>20750</v>
      </c>
      <c r="T33" s="221">
        <f t="shared" si="5"/>
        <v>20750</v>
      </c>
      <c r="U33" s="221">
        <f t="shared" si="5"/>
        <v>20750</v>
      </c>
      <c r="V33" s="221">
        <f t="shared" si="5"/>
        <v>20750</v>
      </c>
      <c r="W33" s="221">
        <f t="shared" si="10"/>
        <v>20750</v>
      </c>
      <c r="X33" s="221">
        <f t="shared" si="10"/>
        <v>20750</v>
      </c>
      <c r="Y33" s="221">
        <f t="shared" si="10"/>
        <v>20750</v>
      </c>
      <c r="Z33" s="221">
        <f t="shared" si="10"/>
        <v>20750</v>
      </c>
    </row>
    <row r="34" spans="2:26" x14ac:dyDescent="0.3">
      <c r="B34" s="199" t="s">
        <v>203</v>
      </c>
      <c r="C34" s="194">
        <f t="shared" si="9"/>
        <v>61834.32</v>
      </c>
      <c r="D34" s="204">
        <f t="shared" si="2"/>
        <v>7.0030714868170696E-2</v>
      </c>
      <c r="E34" s="227"/>
      <c r="G34" s="222">
        <f>SUM(G29:G33)</f>
        <v>61945.572959999998</v>
      </c>
      <c r="H34" s="222">
        <f t="shared" ref="H34:Z34" si="11">SUM(H29:H33)</f>
        <v>62057.159678879987</v>
      </c>
      <c r="I34" s="222">
        <f t="shared" si="11"/>
        <v>62169.081157916626</v>
      </c>
      <c r="J34" s="222">
        <f t="shared" si="11"/>
        <v>62281.338401390371</v>
      </c>
      <c r="K34" s="222">
        <f t="shared" si="11"/>
        <v>62393.932416594536</v>
      </c>
      <c r="L34" s="222">
        <f t="shared" si="11"/>
        <v>62506.86421384431</v>
      </c>
      <c r="M34" s="222">
        <f t="shared" si="11"/>
        <v>62620.134806485847</v>
      </c>
      <c r="N34" s="222">
        <f t="shared" si="11"/>
        <v>62733.745210905297</v>
      </c>
      <c r="O34" s="222">
        <f t="shared" si="11"/>
        <v>62847.696446538008</v>
      </c>
      <c r="P34" s="222">
        <f t="shared" si="11"/>
        <v>62961.989535877612</v>
      </c>
      <c r="Q34" s="222">
        <f t="shared" si="11"/>
        <v>63076.625504485244</v>
      </c>
      <c r="R34" s="222">
        <f t="shared" si="11"/>
        <v>63191.605380998699</v>
      </c>
      <c r="S34" s="222">
        <f t="shared" si="11"/>
        <v>63306.930197141686</v>
      </c>
      <c r="T34" s="222">
        <f t="shared" si="11"/>
        <v>63422.600987733109</v>
      </c>
      <c r="U34" s="222">
        <f t="shared" si="11"/>
        <v>63538.618790696302</v>
      </c>
      <c r="V34" s="222">
        <f t="shared" si="11"/>
        <v>63654.984647068384</v>
      </c>
      <c r="W34" s="222">
        <f t="shared" si="11"/>
        <v>63771.69960100959</v>
      </c>
      <c r="X34" s="222">
        <f t="shared" si="11"/>
        <v>63888.764699812615</v>
      </c>
      <c r="Y34" s="222">
        <f t="shared" si="11"/>
        <v>64006.180993912043</v>
      </c>
      <c r="Z34" s="222">
        <f t="shared" si="11"/>
        <v>64123.949536893771</v>
      </c>
    </row>
    <row r="35" spans="2:26" x14ac:dyDescent="0.3">
      <c r="C35" s="192"/>
      <c r="D35" s="203"/>
      <c r="E35" s="227"/>
      <c r="G35" s="221"/>
      <c r="H35" s="221"/>
      <c r="I35" s="221"/>
      <c r="J35" s="221"/>
      <c r="K35" s="221"/>
      <c r="L35" s="221"/>
      <c r="M35" s="221"/>
      <c r="N35" s="221"/>
      <c r="O35" s="221"/>
      <c r="P35" s="221"/>
      <c r="Q35" s="221"/>
      <c r="R35" s="221"/>
      <c r="S35" s="221"/>
      <c r="T35" s="221"/>
      <c r="U35" s="221"/>
      <c r="V35" s="221"/>
      <c r="W35" s="221"/>
      <c r="X35" s="221"/>
      <c r="Y35" s="221"/>
      <c r="Z35" s="221"/>
    </row>
    <row r="36" spans="2:26" x14ac:dyDescent="0.3">
      <c r="B36" s="163" t="s">
        <v>42</v>
      </c>
      <c r="C36" s="192">
        <f>INDEX(ExistingStoreTable,MATCH($B36,ExistingStoreRow,0),MATCH($C$5,ExistingStoreColumn,0))/4</f>
        <v>25000</v>
      </c>
      <c r="D36" s="203">
        <f t="shared" si="2"/>
        <v>2.8313853402192626E-2</v>
      </c>
      <c r="E36" s="225" t="str">
        <f>VLOOKUP($B36,Inputs!$B$60:$C$76,2,FALSE)</f>
        <v>Fixed</v>
      </c>
      <c r="G36" s="221">
        <f t="shared" si="5"/>
        <v>25000</v>
      </c>
      <c r="H36" s="221">
        <f t="shared" si="5"/>
        <v>25000</v>
      </c>
      <c r="I36" s="221">
        <f t="shared" si="5"/>
        <v>25000</v>
      </c>
      <c r="J36" s="221">
        <f t="shared" si="5"/>
        <v>25000</v>
      </c>
      <c r="K36" s="221">
        <f t="shared" si="5"/>
        <v>25000</v>
      </c>
      <c r="L36" s="221">
        <f t="shared" si="5"/>
        <v>25000</v>
      </c>
      <c r="M36" s="221">
        <f t="shared" si="5"/>
        <v>25000</v>
      </c>
      <c r="N36" s="221">
        <f t="shared" si="5"/>
        <v>25000</v>
      </c>
      <c r="O36" s="221">
        <f t="shared" si="5"/>
        <v>25000</v>
      </c>
      <c r="P36" s="221">
        <f t="shared" si="5"/>
        <v>25000</v>
      </c>
      <c r="Q36" s="221">
        <f t="shared" si="5"/>
        <v>25000</v>
      </c>
      <c r="R36" s="221">
        <f t="shared" si="5"/>
        <v>25000</v>
      </c>
      <c r="S36" s="221">
        <f t="shared" si="5"/>
        <v>25000</v>
      </c>
      <c r="T36" s="221">
        <f t="shared" si="5"/>
        <v>25000</v>
      </c>
      <c r="U36" s="221">
        <f t="shared" si="5"/>
        <v>25000</v>
      </c>
      <c r="V36" s="221">
        <f t="shared" si="5"/>
        <v>25000</v>
      </c>
      <c r="W36" s="221">
        <f t="shared" si="10"/>
        <v>25000</v>
      </c>
      <c r="X36" s="221">
        <f t="shared" si="10"/>
        <v>25000</v>
      </c>
      <c r="Y36" s="221">
        <f t="shared" si="10"/>
        <v>25000</v>
      </c>
      <c r="Z36" s="221">
        <f t="shared" si="10"/>
        <v>25000</v>
      </c>
    </row>
    <row r="37" spans="2:26" x14ac:dyDescent="0.3">
      <c r="B37" s="163" t="s">
        <v>77</v>
      </c>
      <c r="C37" s="192">
        <f>INDEX(ExistingStoreTable,MATCH($B37,ExistingStoreRow,0),MATCH($C$5,ExistingStoreColumn,0))/4</f>
        <v>7500</v>
      </c>
      <c r="D37" s="203">
        <f t="shared" si="2"/>
        <v>8.4941560206577872E-3</v>
      </c>
      <c r="E37" s="225" t="str">
        <f>VLOOKUP($B37,Inputs!$B$60:$C$76,2,FALSE)</f>
        <v>Fixed</v>
      </c>
      <c r="G37" s="221">
        <f t="shared" si="5"/>
        <v>7500</v>
      </c>
      <c r="H37" s="221">
        <f t="shared" si="5"/>
        <v>7500</v>
      </c>
      <c r="I37" s="221">
        <f t="shared" si="5"/>
        <v>7500</v>
      </c>
      <c r="J37" s="221">
        <f t="shared" si="5"/>
        <v>7500</v>
      </c>
      <c r="K37" s="221">
        <f t="shared" si="5"/>
        <v>7500</v>
      </c>
      <c r="L37" s="221">
        <f t="shared" si="5"/>
        <v>7500</v>
      </c>
      <c r="M37" s="221">
        <f t="shared" si="5"/>
        <v>7500</v>
      </c>
      <c r="N37" s="221">
        <f t="shared" si="5"/>
        <v>7500</v>
      </c>
      <c r="O37" s="221">
        <f t="shared" si="5"/>
        <v>7500</v>
      </c>
      <c r="P37" s="221">
        <f t="shared" si="5"/>
        <v>7500</v>
      </c>
      <c r="Q37" s="221">
        <f t="shared" si="5"/>
        <v>7500</v>
      </c>
      <c r="R37" s="221">
        <f t="shared" si="5"/>
        <v>7500</v>
      </c>
      <c r="S37" s="221">
        <f t="shared" si="5"/>
        <v>7500</v>
      </c>
      <c r="T37" s="221">
        <f t="shared" si="5"/>
        <v>7500</v>
      </c>
      <c r="U37" s="221">
        <f t="shared" si="5"/>
        <v>7500</v>
      </c>
      <c r="V37" s="221">
        <f t="shared" si="5"/>
        <v>7500</v>
      </c>
      <c r="W37" s="221">
        <f t="shared" si="10"/>
        <v>7500</v>
      </c>
      <c r="X37" s="221">
        <f t="shared" si="10"/>
        <v>7500</v>
      </c>
      <c r="Y37" s="221">
        <f t="shared" si="10"/>
        <v>7500</v>
      </c>
      <c r="Z37" s="221">
        <f t="shared" si="10"/>
        <v>7500</v>
      </c>
    </row>
    <row r="38" spans="2:26" x14ac:dyDescent="0.3">
      <c r="B38" s="199" t="s">
        <v>204</v>
      </c>
      <c r="C38" s="194">
        <f>INDEX(ExistingStoreTable,MATCH($B38,ExistingStoreRow,0),MATCH($C$5,ExistingStoreColumn,0))/4</f>
        <v>32500</v>
      </c>
      <c r="D38" s="204">
        <f t="shared" si="2"/>
        <v>3.680800942285041E-2</v>
      </c>
      <c r="E38" s="227"/>
      <c r="G38" s="222">
        <f>SUM(G36:G37)</f>
        <v>32500</v>
      </c>
      <c r="H38" s="222">
        <f t="shared" ref="H38:Z38" si="12">SUM(H36:H37)</f>
        <v>32500</v>
      </c>
      <c r="I38" s="222">
        <f t="shared" si="12"/>
        <v>32500</v>
      </c>
      <c r="J38" s="222">
        <f t="shared" si="12"/>
        <v>32500</v>
      </c>
      <c r="K38" s="222">
        <f t="shared" si="12"/>
        <v>32500</v>
      </c>
      <c r="L38" s="222">
        <f t="shared" si="12"/>
        <v>32500</v>
      </c>
      <c r="M38" s="222">
        <f t="shared" si="12"/>
        <v>32500</v>
      </c>
      <c r="N38" s="222">
        <f t="shared" si="12"/>
        <v>32500</v>
      </c>
      <c r="O38" s="222">
        <f t="shared" si="12"/>
        <v>32500</v>
      </c>
      <c r="P38" s="222">
        <f t="shared" si="12"/>
        <v>32500</v>
      </c>
      <c r="Q38" s="222">
        <f t="shared" si="12"/>
        <v>32500</v>
      </c>
      <c r="R38" s="222">
        <f t="shared" si="12"/>
        <v>32500</v>
      </c>
      <c r="S38" s="222">
        <f t="shared" si="12"/>
        <v>32500</v>
      </c>
      <c r="T38" s="222">
        <f t="shared" si="12"/>
        <v>32500</v>
      </c>
      <c r="U38" s="222">
        <f t="shared" si="12"/>
        <v>32500</v>
      </c>
      <c r="V38" s="222">
        <f t="shared" si="12"/>
        <v>32500</v>
      </c>
      <c r="W38" s="222">
        <f t="shared" si="12"/>
        <v>32500</v>
      </c>
      <c r="X38" s="222">
        <f t="shared" si="12"/>
        <v>32500</v>
      </c>
      <c r="Y38" s="222">
        <f t="shared" si="12"/>
        <v>32500</v>
      </c>
      <c r="Z38" s="222">
        <f t="shared" si="12"/>
        <v>32500</v>
      </c>
    </row>
    <row r="39" spans="2:26" x14ac:dyDescent="0.3">
      <c r="C39" s="192"/>
      <c r="D39" s="203"/>
      <c r="E39" s="227"/>
      <c r="G39" s="221"/>
      <c r="H39" s="221"/>
      <c r="I39" s="221"/>
      <c r="J39" s="221"/>
      <c r="K39" s="221"/>
      <c r="L39" s="221"/>
      <c r="M39" s="221"/>
      <c r="N39" s="221"/>
      <c r="O39" s="221"/>
      <c r="P39" s="221"/>
      <c r="Q39" s="221"/>
      <c r="R39" s="221"/>
      <c r="S39" s="221"/>
      <c r="T39" s="221"/>
      <c r="U39" s="221"/>
      <c r="V39" s="221"/>
      <c r="W39" s="221"/>
      <c r="X39" s="221"/>
      <c r="Y39" s="221"/>
      <c r="Z39" s="221"/>
    </row>
    <row r="40" spans="2:26" ht="14.5" thickBot="1" x14ac:dyDescent="0.35">
      <c r="B40" s="202" t="s">
        <v>205</v>
      </c>
      <c r="C40" s="254">
        <f>INDEX(ExistingStoreTable,MATCH($B40,ExistingStoreRow,0),MATCH($C$5,ExistingStoreColumn,0))/4</f>
        <v>379909.27199999994</v>
      </c>
      <c r="D40" s="206">
        <f t="shared" si="2"/>
        <v>0.43026781734166886</v>
      </c>
      <c r="E40" s="227"/>
      <c r="G40" s="224">
        <f>G10-G23-G27-G34-G38</f>
        <v>381237.99981599988</v>
      </c>
      <c r="H40" s="224">
        <f t="shared" ref="H40:Z40" si="13">H10-H23-H27-H34-H38</f>
        <v>382570.71381544787</v>
      </c>
      <c r="I40" s="224">
        <f t="shared" si="13"/>
        <v>383907.42595689412</v>
      </c>
      <c r="J40" s="224">
        <f t="shared" si="13"/>
        <v>385248.14823476481</v>
      </c>
      <c r="K40" s="224">
        <f t="shared" si="13"/>
        <v>386592.89267946914</v>
      </c>
      <c r="L40" s="224">
        <f t="shared" si="13"/>
        <v>387941.67135750735</v>
      </c>
      <c r="M40" s="224">
        <f t="shared" si="13"/>
        <v>389294.49637157982</v>
      </c>
      <c r="N40" s="224">
        <f t="shared" si="13"/>
        <v>390651.37986069452</v>
      </c>
      <c r="O40" s="224">
        <f t="shared" si="13"/>
        <v>392012.33400027658</v>
      </c>
      <c r="P40" s="224">
        <f t="shared" si="13"/>
        <v>393377.3710022773</v>
      </c>
      <c r="Q40" s="224">
        <f t="shared" si="13"/>
        <v>394746.50311528414</v>
      </c>
      <c r="R40" s="224">
        <f t="shared" si="13"/>
        <v>396119.74262462987</v>
      </c>
      <c r="S40" s="224">
        <f t="shared" si="13"/>
        <v>397497.10185250384</v>
      </c>
      <c r="T40" s="224">
        <f t="shared" si="13"/>
        <v>398878.59315806115</v>
      </c>
      <c r="U40" s="224">
        <f t="shared" si="13"/>
        <v>400264.22893753531</v>
      </c>
      <c r="V40" s="224">
        <f t="shared" si="13"/>
        <v>401654.02162434795</v>
      </c>
      <c r="W40" s="224">
        <f t="shared" si="13"/>
        <v>403047.9836892208</v>
      </c>
      <c r="X40" s="224">
        <f t="shared" si="13"/>
        <v>404446.12764028844</v>
      </c>
      <c r="Y40" s="224">
        <f t="shared" si="13"/>
        <v>405848.46602320921</v>
      </c>
      <c r="Z40" s="224">
        <f t="shared" si="13"/>
        <v>407255.01142127882</v>
      </c>
    </row>
    <row r="41" spans="2:26" ht="14.5" thickTop="1" x14ac:dyDescent="0.3"/>
  </sheetData>
  <dataValidations count="1">
    <dataValidation type="list" allowBlank="1" showInputMessage="1" showErrorMessage="1" sqref="C5">
      <formula1>StoreList</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Z41"/>
  <sheetViews>
    <sheetView zoomScale="83" zoomScaleNormal="83" workbookViewId="0">
      <pane xSplit="5" topLeftCell="F1" activePane="topRight" state="frozen"/>
      <selection pane="topRight" activeCell="G42" sqref="G41:G42"/>
    </sheetView>
  </sheetViews>
  <sheetFormatPr defaultRowHeight="14" x14ac:dyDescent="0.3"/>
  <cols>
    <col min="1" max="1" width="3.7265625" style="163" customWidth="1"/>
    <col min="2" max="2" width="40.90625" style="163" bestFit="1" customWidth="1"/>
    <col min="3" max="3" width="10.453125" style="163" bestFit="1" customWidth="1"/>
    <col min="4" max="4" width="14.54296875" style="163" bestFit="1" customWidth="1"/>
    <col min="5" max="5" width="14.90625" style="163" bestFit="1" customWidth="1"/>
    <col min="6" max="6" width="2.7265625" style="163" customWidth="1"/>
    <col min="7" max="26" width="10.453125" style="163" bestFit="1" customWidth="1"/>
    <col min="27" max="16384" width="8.7265625" style="163"/>
  </cols>
  <sheetData>
    <row r="2" spans="2:26" x14ac:dyDescent="0.3">
      <c r="B2" s="165" t="s">
        <v>207</v>
      </c>
    </row>
    <row r="3" spans="2:26" x14ac:dyDescent="0.3">
      <c r="B3" s="165" t="s">
        <v>208</v>
      </c>
    </row>
    <row r="4" spans="2:26" x14ac:dyDescent="0.3">
      <c r="B4" s="165"/>
    </row>
    <row r="5" spans="2:26" x14ac:dyDescent="0.3">
      <c r="B5" s="250" t="s">
        <v>221</v>
      </c>
      <c r="C5" s="251" t="s">
        <v>86</v>
      </c>
    </row>
    <row r="6" spans="2:26" x14ac:dyDescent="0.3">
      <c r="B6" s="250" t="s">
        <v>222</v>
      </c>
      <c r="C6" s="192">
        <f>VLOOKUP($C$5,Inputs!$B$10:$C$15,2,FALSE)</f>
        <v>43298</v>
      </c>
    </row>
    <row r="7" spans="2:26" x14ac:dyDescent="0.3">
      <c r="B7" s="188" t="s">
        <v>209</v>
      </c>
      <c r="C7" s="193">
        <f>VLOOKUP($C$5,Inputs!$B$10:$D$14,3,FALSE)</f>
        <v>2.5000000000000001E-2</v>
      </c>
      <c r="E7" s="193"/>
    </row>
    <row r="8" spans="2:26" x14ac:dyDescent="0.3">
      <c r="B8" s="188"/>
      <c r="C8" s="200"/>
      <c r="G8" s="208" t="s">
        <v>6</v>
      </c>
      <c r="H8" s="209"/>
      <c r="I8" s="209"/>
      <c r="J8" s="209"/>
      <c r="K8" s="208" t="s">
        <v>7</v>
      </c>
      <c r="L8" s="209"/>
      <c r="M8" s="209"/>
      <c r="N8" s="209"/>
      <c r="O8" s="208" t="s">
        <v>8</v>
      </c>
      <c r="P8" s="209"/>
      <c r="Q8" s="209"/>
      <c r="R8" s="209"/>
      <c r="S8" s="208" t="s">
        <v>9</v>
      </c>
      <c r="T8" s="209"/>
      <c r="U8" s="209"/>
      <c r="V8" s="209"/>
      <c r="W8" s="208" t="s">
        <v>10</v>
      </c>
      <c r="X8" s="209"/>
      <c r="Y8" s="209"/>
      <c r="Z8" s="209"/>
    </row>
    <row r="9" spans="2:26" x14ac:dyDescent="0.3">
      <c r="C9" s="201" t="s">
        <v>210</v>
      </c>
      <c r="D9" s="201" t="s">
        <v>211</v>
      </c>
      <c r="E9" s="201" t="s">
        <v>212</v>
      </c>
      <c r="F9" s="201"/>
      <c r="G9" s="201" t="s">
        <v>11</v>
      </c>
      <c r="H9" s="201" t="s">
        <v>12</v>
      </c>
      <c r="I9" s="201" t="s">
        <v>13</v>
      </c>
      <c r="J9" s="201" t="s">
        <v>14</v>
      </c>
      <c r="K9" s="201" t="s">
        <v>11</v>
      </c>
      <c r="L9" s="201" t="s">
        <v>12</v>
      </c>
      <c r="M9" s="201" t="s">
        <v>13</v>
      </c>
      <c r="N9" s="201" t="s">
        <v>14</v>
      </c>
      <c r="O9" s="201" t="s">
        <v>11</v>
      </c>
      <c r="P9" s="201" t="s">
        <v>12</v>
      </c>
      <c r="Q9" s="201" t="s">
        <v>13</v>
      </c>
      <c r="R9" s="201" t="s">
        <v>14</v>
      </c>
      <c r="S9" s="201" t="s">
        <v>11</v>
      </c>
      <c r="T9" s="201" t="s">
        <v>12</v>
      </c>
      <c r="U9" s="201" t="s">
        <v>13</v>
      </c>
      <c r="V9" s="201" t="s">
        <v>14</v>
      </c>
      <c r="W9" s="201" t="s">
        <v>11</v>
      </c>
      <c r="X9" s="201" t="s">
        <v>12</v>
      </c>
      <c r="Y9" s="201" t="s">
        <v>13</v>
      </c>
      <c r="Z9" s="201" t="s">
        <v>14</v>
      </c>
    </row>
    <row r="10" spans="2:26" x14ac:dyDescent="0.3">
      <c r="B10" s="163" t="s">
        <v>15</v>
      </c>
      <c r="C10" s="192">
        <f>INDEX(ExistingStoreTable,MATCH($B10,ExistingStoreRow,0),MATCH($C$5,ExistingStoreColumn,0))/4</f>
        <v>562874</v>
      </c>
      <c r="D10" s="203"/>
      <c r="G10" s="221">
        <f>C10*((1+$C$7/4))</f>
        <v>566391.96250000002</v>
      </c>
      <c r="H10" s="221">
        <f>G10*(1+$C$7/4)</f>
        <v>569931.91226562508</v>
      </c>
      <c r="I10" s="221">
        <f t="shared" ref="I10:Z10" si="0">H10*(1+$C$7/4)</f>
        <v>573493.98671728524</v>
      </c>
      <c r="J10" s="221">
        <f t="shared" si="0"/>
        <v>577078.32413426833</v>
      </c>
      <c r="K10" s="221">
        <f t="shared" si="0"/>
        <v>580685.06366010755</v>
      </c>
      <c r="L10" s="221">
        <f t="shared" si="0"/>
        <v>584314.34530798323</v>
      </c>
      <c r="M10" s="221">
        <f t="shared" si="0"/>
        <v>587966.30996615812</v>
      </c>
      <c r="N10" s="221">
        <f t="shared" si="0"/>
        <v>591641.09940344666</v>
      </c>
      <c r="O10" s="221">
        <f t="shared" si="0"/>
        <v>595338.8562747183</v>
      </c>
      <c r="P10" s="221">
        <f t="shared" si="0"/>
        <v>599059.72412643535</v>
      </c>
      <c r="Q10" s="221">
        <f t="shared" si="0"/>
        <v>602803.8474022256</v>
      </c>
      <c r="R10" s="221">
        <f t="shared" si="0"/>
        <v>606571.3714484896</v>
      </c>
      <c r="S10" s="221">
        <f t="shared" si="0"/>
        <v>610362.44252004276</v>
      </c>
      <c r="T10" s="221">
        <f t="shared" si="0"/>
        <v>614177.20778579311</v>
      </c>
      <c r="U10" s="221">
        <f t="shared" si="0"/>
        <v>618015.81533445441</v>
      </c>
      <c r="V10" s="221">
        <f t="shared" si="0"/>
        <v>621878.41418029484</v>
      </c>
      <c r="W10" s="221">
        <f t="shared" si="0"/>
        <v>625765.1542689217</v>
      </c>
      <c r="X10" s="221">
        <f t="shared" si="0"/>
        <v>629676.1864831025</v>
      </c>
      <c r="Y10" s="221">
        <f t="shared" si="0"/>
        <v>633611.66264862195</v>
      </c>
      <c r="Z10" s="221">
        <f t="shared" si="0"/>
        <v>637571.73554017593</v>
      </c>
    </row>
    <row r="11" spans="2:26" x14ac:dyDescent="0.3">
      <c r="C11" s="192"/>
      <c r="D11" s="203"/>
      <c r="G11" s="210"/>
      <c r="H11" s="210"/>
      <c r="I11" s="210"/>
      <c r="J11" s="210"/>
      <c r="K11" s="210"/>
      <c r="L11" s="210"/>
      <c r="M11" s="210"/>
      <c r="N11" s="210"/>
      <c r="O11" s="210"/>
      <c r="P11" s="210"/>
      <c r="Q11" s="210"/>
      <c r="R11" s="210"/>
      <c r="S11" s="210"/>
      <c r="T11" s="210"/>
      <c r="U11" s="210"/>
      <c r="V11" s="210"/>
      <c r="W11" s="210"/>
      <c r="X11" s="210"/>
      <c r="Y11" s="210"/>
      <c r="Z11" s="210"/>
    </row>
    <row r="12" spans="2:26" x14ac:dyDescent="0.3">
      <c r="B12" s="163" t="s">
        <v>66</v>
      </c>
      <c r="C12" s="192">
        <f>INDEX(ExistingStoreTable,MATCH($B12,ExistingStoreRow,0),MATCH($C$5,ExistingStoreColumn,0))/4</f>
        <v>22000</v>
      </c>
      <c r="D12" s="203">
        <f>C12/$C$10</f>
        <v>3.9085123846544695E-2</v>
      </c>
      <c r="E12" s="225" t="str">
        <f>VLOOKUP($B12,Inputs!$B$60:$C$76,2,FALSE)</f>
        <v>Variable</v>
      </c>
      <c r="G12" s="221">
        <f>IF($E12="Variable",G$10*$D12,$C12)</f>
        <v>22137.5</v>
      </c>
      <c r="H12" s="221">
        <f t="shared" ref="H12:Z26" si="1">IF($E12="Variable",H$10*$D12,$C12)</f>
        <v>22275.859375000004</v>
      </c>
      <c r="I12" s="221">
        <f t="shared" si="1"/>
        <v>22415.08349609375</v>
      </c>
      <c r="J12" s="221">
        <f t="shared" si="1"/>
        <v>22555.17776794434</v>
      </c>
      <c r="K12" s="221">
        <f t="shared" si="1"/>
        <v>22696.147628993993</v>
      </c>
      <c r="L12" s="221">
        <f t="shared" si="1"/>
        <v>22837.998551675206</v>
      </c>
      <c r="M12" s="221">
        <f t="shared" si="1"/>
        <v>22980.736042623175</v>
      </c>
      <c r="N12" s="221">
        <f t="shared" si="1"/>
        <v>23124.365642889574</v>
      </c>
      <c r="O12" s="221">
        <f t="shared" si="1"/>
        <v>23268.892928157638</v>
      </c>
      <c r="P12" s="221">
        <f t="shared" si="1"/>
        <v>23414.323508958623</v>
      </c>
      <c r="Q12" s="221">
        <f t="shared" si="1"/>
        <v>23560.663030889616</v>
      </c>
      <c r="R12" s="221">
        <f t="shared" si="1"/>
        <v>23707.917174832681</v>
      </c>
      <c r="S12" s="221">
        <f t="shared" si="1"/>
        <v>23856.091657175388</v>
      </c>
      <c r="T12" s="221">
        <f t="shared" si="1"/>
        <v>24005.192230032739</v>
      </c>
      <c r="U12" s="221">
        <f t="shared" si="1"/>
        <v>24155.224681470445</v>
      </c>
      <c r="V12" s="221">
        <f t="shared" si="1"/>
        <v>24306.194835729639</v>
      </c>
      <c r="W12" s="221">
        <f t="shared" si="1"/>
        <v>24458.108553452952</v>
      </c>
      <c r="X12" s="221">
        <f t="shared" si="1"/>
        <v>24610.971731912035</v>
      </c>
      <c r="Y12" s="221">
        <f t="shared" si="1"/>
        <v>24764.790305236485</v>
      </c>
      <c r="Z12" s="221">
        <f t="shared" si="1"/>
        <v>24919.570244644219</v>
      </c>
    </row>
    <row r="13" spans="2:26" x14ac:dyDescent="0.3">
      <c r="B13" s="163" t="s">
        <v>69</v>
      </c>
      <c r="C13" s="192">
        <f>INDEX(ExistingStoreTable,MATCH($B13,ExistingStoreRow,0),MATCH($C$5,ExistingStoreColumn,0))/4</f>
        <v>101504</v>
      </c>
      <c r="D13" s="203">
        <f t="shared" ref="D13:D40" si="2">C13/$C$10</f>
        <v>0.18033165504180332</v>
      </c>
      <c r="E13" s="225" t="str">
        <f>VLOOKUP($B13,Inputs!$B$60:$C$76,2,FALSE)</f>
        <v>Variable</v>
      </c>
      <c r="G13" s="221">
        <f>IF($E13="Variable",G$10*$D13,$C13)</f>
        <v>102138.40000000001</v>
      </c>
      <c r="H13" s="221">
        <f t="shared" si="1"/>
        <v>102776.76500000001</v>
      </c>
      <c r="I13" s="221">
        <f t="shared" si="1"/>
        <v>103419.11978125002</v>
      </c>
      <c r="J13" s="221">
        <f t="shared" si="1"/>
        <v>104065.48927988284</v>
      </c>
      <c r="K13" s="221">
        <f t="shared" si="1"/>
        <v>104715.89858788211</v>
      </c>
      <c r="L13" s="221">
        <f t="shared" si="1"/>
        <v>105370.37295405638</v>
      </c>
      <c r="M13" s="221">
        <f t="shared" si="1"/>
        <v>106028.93778501922</v>
      </c>
      <c r="N13" s="221">
        <f t="shared" si="1"/>
        <v>106691.61864617562</v>
      </c>
      <c r="O13" s="221">
        <f>IF($E13="Variable",O$10*$D13,$C13)</f>
        <v>107358.44126271423</v>
      </c>
      <c r="P13" s="221">
        <f t="shared" si="1"/>
        <v>108029.4315206062</v>
      </c>
      <c r="Q13" s="221">
        <f t="shared" si="1"/>
        <v>108704.61546761</v>
      </c>
      <c r="R13" s="221">
        <f t="shared" si="1"/>
        <v>109384.01931428257</v>
      </c>
      <c r="S13" s="221">
        <f t="shared" si="1"/>
        <v>110067.66943499686</v>
      </c>
      <c r="T13" s="221">
        <f t="shared" si="1"/>
        <v>110755.5923689656</v>
      </c>
      <c r="U13" s="221">
        <f t="shared" si="1"/>
        <v>111447.81482127165</v>
      </c>
      <c r="V13" s="221">
        <f t="shared" si="1"/>
        <v>112144.36366390462</v>
      </c>
      <c r="W13" s="221">
        <f t="shared" si="1"/>
        <v>112845.26593680402</v>
      </c>
      <c r="X13" s="221">
        <f t="shared" si="1"/>
        <v>113550.54884890906</v>
      </c>
      <c r="Y13" s="221">
        <f t="shared" si="1"/>
        <v>114260.23977921475</v>
      </c>
      <c r="Z13" s="221">
        <f t="shared" si="1"/>
        <v>114974.36627783485</v>
      </c>
    </row>
    <row r="14" spans="2:26" x14ac:dyDescent="0.3">
      <c r="B14" s="199" t="s">
        <v>199</v>
      </c>
      <c r="C14" s="194">
        <f>INDEX(ExistingStoreTable,MATCH($B14,ExistingStoreRow,0),MATCH($C$5,ExistingStoreColumn,0))/4</f>
        <v>123504</v>
      </c>
      <c r="D14" s="204">
        <f t="shared" si="2"/>
        <v>0.21941677888834801</v>
      </c>
      <c r="E14" s="227"/>
      <c r="G14" s="222">
        <f>SUM(G12:G13)</f>
        <v>124275.90000000001</v>
      </c>
      <c r="H14" s="222">
        <f t="shared" ref="H14:Z14" si="3">SUM(H12:H13)</f>
        <v>125052.62437500001</v>
      </c>
      <c r="I14" s="222">
        <f t="shared" si="3"/>
        <v>125834.20327734377</v>
      </c>
      <c r="J14" s="222">
        <f t="shared" si="3"/>
        <v>126620.66704782718</v>
      </c>
      <c r="K14" s="222">
        <f t="shared" si="3"/>
        <v>127412.0462168761</v>
      </c>
      <c r="L14" s="222">
        <f t="shared" si="3"/>
        <v>128208.37150573159</v>
      </c>
      <c r="M14" s="222">
        <f t="shared" si="3"/>
        <v>129009.6738276424</v>
      </c>
      <c r="N14" s="222">
        <f t="shared" si="3"/>
        <v>129815.98428906519</v>
      </c>
      <c r="O14" s="222">
        <f t="shared" si="3"/>
        <v>130627.33419087187</v>
      </c>
      <c r="P14" s="222">
        <f t="shared" si="3"/>
        <v>131443.75502956484</v>
      </c>
      <c r="Q14" s="222">
        <f t="shared" si="3"/>
        <v>132265.27849849963</v>
      </c>
      <c r="R14" s="222">
        <f t="shared" si="3"/>
        <v>133091.93648911527</v>
      </c>
      <c r="S14" s="222">
        <f t="shared" si="3"/>
        <v>133923.76109217224</v>
      </c>
      <c r="T14" s="222">
        <f t="shared" si="3"/>
        <v>134760.78459899835</v>
      </c>
      <c r="U14" s="222">
        <f t="shared" si="3"/>
        <v>135603.03950274209</v>
      </c>
      <c r="V14" s="222">
        <f t="shared" si="3"/>
        <v>136450.55849963427</v>
      </c>
      <c r="W14" s="222">
        <f t="shared" si="3"/>
        <v>137303.37449025697</v>
      </c>
      <c r="X14" s="222">
        <f t="shared" si="3"/>
        <v>138161.52058082109</v>
      </c>
      <c r="Y14" s="222">
        <f t="shared" si="3"/>
        <v>139025.03008445125</v>
      </c>
      <c r="Z14" s="222">
        <f t="shared" si="3"/>
        <v>139893.93652247908</v>
      </c>
    </row>
    <row r="15" spans="2:26" x14ac:dyDescent="0.3">
      <c r="C15" s="192"/>
      <c r="D15" s="203"/>
      <c r="E15" s="227"/>
      <c r="G15" s="221"/>
      <c r="H15" s="221"/>
      <c r="I15" s="221"/>
      <c r="J15" s="221"/>
      <c r="K15" s="221"/>
      <c r="L15" s="221"/>
      <c r="M15" s="221"/>
      <c r="N15" s="221"/>
      <c r="O15" s="221"/>
      <c r="P15" s="221"/>
      <c r="Q15" s="221"/>
      <c r="R15" s="221"/>
      <c r="S15" s="221"/>
      <c r="T15" s="221"/>
      <c r="U15" s="221"/>
      <c r="V15" s="221"/>
      <c r="W15" s="221"/>
      <c r="X15" s="221"/>
      <c r="Y15" s="221"/>
      <c r="Z15" s="221"/>
    </row>
    <row r="16" spans="2:26" x14ac:dyDescent="0.3">
      <c r="B16" s="163" t="s">
        <v>1</v>
      </c>
      <c r="C16" s="192">
        <f t="shared" ref="C16:C23" si="4">INDEX(ExistingStoreTable,MATCH($B16,ExistingStoreRow,0),MATCH($C$5,ExistingStoreColumn,0))/4</f>
        <v>9509.8079999999991</v>
      </c>
      <c r="D16" s="203">
        <f t="shared" si="2"/>
        <v>1.6895091974402796E-2</v>
      </c>
      <c r="E16" s="225" t="str">
        <f>VLOOKUP($B16,Inputs!$B$60:$C$76,2,FALSE)</f>
        <v>Variable</v>
      </c>
      <c r="G16" s="221">
        <f t="shared" ref="G16:V37" si="5">IF($E16="Variable",G$10*$D16,$C16)</f>
        <v>9569.2443000000003</v>
      </c>
      <c r="H16" s="221">
        <f t="shared" si="1"/>
        <v>9629.0520768750011</v>
      </c>
      <c r="I16" s="221">
        <f t="shared" si="1"/>
        <v>9689.2336523554695</v>
      </c>
      <c r="J16" s="221">
        <f t="shared" si="1"/>
        <v>9749.7913626826921</v>
      </c>
      <c r="K16" s="221">
        <f t="shared" si="1"/>
        <v>9810.7275586994601</v>
      </c>
      <c r="L16" s="221">
        <f t="shared" si="1"/>
        <v>9872.0446059413316</v>
      </c>
      <c r="M16" s="221">
        <f t="shared" si="1"/>
        <v>9933.744884728465</v>
      </c>
      <c r="N16" s="221">
        <f t="shared" si="1"/>
        <v>9995.8307902580182</v>
      </c>
      <c r="O16" s="221">
        <f t="shared" si="1"/>
        <v>10058.304732697132</v>
      </c>
      <c r="P16" s="221">
        <f t="shared" si="1"/>
        <v>10121.169137276491</v>
      </c>
      <c r="Q16" s="221">
        <f t="shared" si="1"/>
        <v>10184.42644438447</v>
      </c>
      <c r="R16" s="221">
        <f t="shared" si="1"/>
        <v>10248.079109661874</v>
      </c>
      <c r="S16" s="221">
        <f t="shared" si="1"/>
        <v>10312.129604097263</v>
      </c>
      <c r="T16" s="221">
        <f t="shared" si="1"/>
        <v>10376.580414122871</v>
      </c>
      <c r="U16" s="221">
        <f t="shared" si="1"/>
        <v>10441.434041711142</v>
      </c>
      <c r="V16" s="221">
        <f t="shared" si="1"/>
        <v>10506.693004471837</v>
      </c>
      <c r="W16" s="221">
        <f t="shared" si="1"/>
        <v>10572.359835749787</v>
      </c>
      <c r="X16" s="221">
        <f t="shared" si="1"/>
        <v>10638.437084723224</v>
      </c>
      <c r="Y16" s="221">
        <f t="shared" si="1"/>
        <v>10704.927316502744</v>
      </c>
      <c r="Z16" s="221">
        <f t="shared" si="1"/>
        <v>10771.833112230888</v>
      </c>
    </row>
    <row r="17" spans="2:26" x14ac:dyDescent="0.3">
      <c r="B17" s="163" t="s">
        <v>0</v>
      </c>
      <c r="C17" s="192">
        <f t="shared" si="4"/>
        <v>5750</v>
      </c>
      <c r="D17" s="203">
        <f t="shared" si="2"/>
        <v>1.0215430096256001E-2</v>
      </c>
      <c r="E17" s="225" t="str">
        <f>VLOOKUP($B17,Inputs!$B$60:$C$76,2,FALSE)</f>
        <v>Fixed</v>
      </c>
      <c r="G17" s="221">
        <f t="shared" si="5"/>
        <v>5750</v>
      </c>
      <c r="H17" s="221">
        <f t="shared" si="1"/>
        <v>5750</v>
      </c>
      <c r="I17" s="221">
        <f t="shared" si="1"/>
        <v>5750</v>
      </c>
      <c r="J17" s="221">
        <f t="shared" si="1"/>
        <v>5750</v>
      </c>
      <c r="K17" s="221">
        <f t="shared" si="1"/>
        <v>5750</v>
      </c>
      <c r="L17" s="221">
        <f t="shared" si="1"/>
        <v>5750</v>
      </c>
      <c r="M17" s="221">
        <f t="shared" si="1"/>
        <v>5750</v>
      </c>
      <c r="N17" s="221">
        <f t="shared" si="1"/>
        <v>5750</v>
      </c>
      <c r="O17" s="221">
        <f t="shared" si="1"/>
        <v>5750</v>
      </c>
      <c r="P17" s="221">
        <f t="shared" si="1"/>
        <v>5750</v>
      </c>
      <c r="Q17" s="221">
        <f t="shared" si="1"/>
        <v>5750</v>
      </c>
      <c r="R17" s="221">
        <f t="shared" si="1"/>
        <v>5750</v>
      </c>
      <c r="S17" s="221">
        <f t="shared" si="1"/>
        <v>5750</v>
      </c>
      <c r="T17" s="221">
        <f t="shared" si="1"/>
        <v>5750</v>
      </c>
      <c r="U17" s="221">
        <f t="shared" si="1"/>
        <v>5750</v>
      </c>
      <c r="V17" s="221">
        <f t="shared" si="1"/>
        <v>5750</v>
      </c>
      <c r="W17" s="221">
        <f t="shared" si="1"/>
        <v>5750</v>
      </c>
      <c r="X17" s="221">
        <f t="shared" si="1"/>
        <v>5750</v>
      </c>
      <c r="Y17" s="221">
        <f t="shared" si="1"/>
        <v>5750</v>
      </c>
      <c r="Z17" s="221">
        <f t="shared" si="1"/>
        <v>5750</v>
      </c>
    </row>
    <row r="18" spans="2:26" x14ac:dyDescent="0.3">
      <c r="B18" s="163" t="s">
        <v>2</v>
      </c>
      <c r="C18" s="192">
        <f t="shared" si="4"/>
        <v>2778.8399999999997</v>
      </c>
      <c r="D18" s="203">
        <f t="shared" si="2"/>
        <v>4.9368775249878294E-3</v>
      </c>
      <c r="E18" s="225" t="str">
        <f>VLOOKUP($B18,Inputs!$B$60:$C$76,2,FALSE)</f>
        <v>Variable</v>
      </c>
      <c r="G18" s="221">
        <f t="shared" si="5"/>
        <v>2796.2077499999996</v>
      </c>
      <c r="H18" s="221">
        <f t="shared" si="1"/>
        <v>2813.6840484374998</v>
      </c>
      <c r="I18" s="221">
        <f t="shared" si="1"/>
        <v>2831.2695737402341</v>
      </c>
      <c r="J18" s="221">
        <f t="shared" si="1"/>
        <v>2848.9650085761109</v>
      </c>
      <c r="K18" s="221">
        <f t="shared" si="1"/>
        <v>2866.7710398797117</v>
      </c>
      <c r="L18" s="221">
        <f t="shared" si="1"/>
        <v>2884.6883588789601</v>
      </c>
      <c r="M18" s="221">
        <f t="shared" si="1"/>
        <v>2902.7176611219538</v>
      </c>
      <c r="N18" s="221">
        <f t="shared" si="1"/>
        <v>2920.8596465039659</v>
      </c>
      <c r="O18" s="221">
        <f t="shared" si="1"/>
        <v>2939.1150192946166</v>
      </c>
      <c r="P18" s="221">
        <f t="shared" si="1"/>
        <v>2957.4844881652079</v>
      </c>
      <c r="Q18" s="221">
        <f t="shared" si="1"/>
        <v>2975.9687662162405</v>
      </c>
      <c r="R18" s="221">
        <f t="shared" si="1"/>
        <v>2994.5685710050925</v>
      </c>
      <c r="S18" s="221">
        <f t="shared" si="1"/>
        <v>3013.2846245738751</v>
      </c>
      <c r="T18" s="221">
        <f t="shared" si="1"/>
        <v>3032.1176534774622</v>
      </c>
      <c r="U18" s="221">
        <f t="shared" si="1"/>
        <v>3051.0683888116969</v>
      </c>
      <c r="V18" s="221">
        <f t="shared" si="1"/>
        <v>3070.1375662417704</v>
      </c>
      <c r="W18" s="221">
        <f t="shared" si="1"/>
        <v>3089.3259260307814</v>
      </c>
      <c r="X18" s="221">
        <f t="shared" si="1"/>
        <v>3108.6342130684739</v>
      </c>
      <c r="Y18" s="221">
        <f t="shared" si="1"/>
        <v>3128.063176900152</v>
      </c>
      <c r="Z18" s="221">
        <f t="shared" si="1"/>
        <v>3147.6135717557786</v>
      </c>
    </row>
    <row r="19" spans="2:26" x14ac:dyDescent="0.3">
      <c r="B19" s="163" t="s">
        <v>3</v>
      </c>
      <c r="C19" s="192">
        <f t="shared" si="4"/>
        <v>2778.8399999999997</v>
      </c>
      <c r="D19" s="203">
        <f t="shared" si="2"/>
        <v>4.9368775249878294E-3</v>
      </c>
      <c r="E19" s="225" t="str">
        <f>VLOOKUP($B19,Inputs!$B$60:$C$76,2,FALSE)</f>
        <v>Variable</v>
      </c>
      <c r="G19" s="221">
        <f t="shared" si="5"/>
        <v>2796.2077499999996</v>
      </c>
      <c r="H19" s="221">
        <f t="shared" si="1"/>
        <v>2813.6840484374998</v>
      </c>
      <c r="I19" s="221">
        <f t="shared" si="1"/>
        <v>2831.2695737402341</v>
      </c>
      <c r="J19" s="221">
        <f t="shared" si="1"/>
        <v>2848.9650085761109</v>
      </c>
      <c r="K19" s="221">
        <f t="shared" si="1"/>
        <v>2866.7710398797117</v>
      </c>
      <c r="L19" s="221">
        <f t="shared" si="1"/>
        <v>2884.6883588789601</v>
      </c>
      <c r="M19" s="221">
        <f t="shared" si="1"/>
        <v>2902.7176611219538</v>
      </c>
      <c r="N19" s="221">
        <f t="shared" si="1"/>
        <v>2920.8596465039659</v>
      </c>
      <c r="O19" s="221">
        <f t="shared" si="1"/>
        <v>2939.1150192946166</v>
      </c>
      <c r="P19" s="221">
        <f t="shared" si="1"/>
        <v>2957.4844881652079</v>
      </c>
      <c r="Q19" s="221">
        <f t="shared" si="1"/>
        <v>2975.9687662162405</v>
      </c>
      <c r="R19" s="221">
        <f t="shared" si="1"/>
        <v>2994.5685710050925</v>
      </c>
      <c r="S19" s="221">
        <f t="shared" si="1"/>
        <v>3013.2846245738751</v>
      </c>
      <c r="T19" s="221">
        <f t="shared" si="1"/>
        <v>3032.1176534774622</v>
      </c>
      <c r="U19" s="221">
        <f t="shared" si="1"/>
        <v>3051.0683888116969</v>
      </c>
      <c r="V19" s="221">
        <f t="shared" si="1"/>
        <v>3070.1375662417704</v>
      </c>
      <c r="W19" s="221">
        <f t="shared" si="1"/>
        <v>3089.3259260307814</v>
      </c>
      <c r="X19" s="221">
        <f t="shared" si="1"/>
        <v>3108.6342130684739</v>
      </c>
      <c r="Y19" s="221">
        <f t="shared" si="1"/>
        <v>3128.063176900152</v>
      </c>
      <c r="Z19" s="221">
        <f t="shared" si="1"/>
        <v>3147.6135717557786</v>
      </c>
    </row>
    <row r="20" spans="2:26" x14ac:dyDescent="0.3">
      <c r="B20" s="163" t="s">
        <v>16</v>
      </c>
      <c r="C20" s="192">
        <f t="shared" si="4"/>
        <v>2778.8399999999997</v>
      </c>
      <c r="D20" s="203">
        <f t="shared" si="2"/>
        <v>4.9368775249878294E-3</v>
      </c>
      <c r="E20" s="225" t="str">
        <f>VLOOKUP($B20,Inputs!$B$60:$C$76,2,FALSE)</f>
        <v>Variable</v>
      </c>
      <c r="G20" s="221">
        <f t="shared" si="5"/>
        <v>2796.2077499999996</v>
      </c>
      <c r="H20" s="221">
        <f t="shared" si="1"/>
        <v>2813.6840484374998</v>
      </c>
      <c r="I20" s="221">
        <f t="shared" si="1"/>
        <v>2831.2695737402341</v>
      </c>
      <c r="J20" s="221">
        <f t="shared" si="1"/>
        <v>2848.9650085761109</v>
      </c>
      <c r="K20" s="221">
        <f t="shared" si="1"/>
        <v>2866.7710398797117</v>
      </c>
      <c r="L20" s="221">
        <f t="shared" si="1"/>
        <v>2884.6883588789601</v>
      </c>
      <c r="M20" s="221">
        <f t="shared" si="1"/>
        <v>2902.7176611219538</v>
      </c>
      <c r="N20" s="221">
        <f t="shared" si="1"/>
        <v>2920.8596465039659</v>
      </c>
      <c r="O20" s="221">
        <f t="shared" si="1"/>
        <v>2939.1150192946166</v>
      </c>
      <c r="P20" s="221">
        <f t="shared" si="1"/>
        <v>2957.4844881652079</v>
      </c>
      <c r="Q20" s="221">
        <f t="shared" si="1"/>
        <v>2975.9687662162405</v>
      </c>
      <c r="R20" s="221">
        <f t="shared" si="1"/>
        <v>2994.5685710050925</v>
      </c>
      <c r="S20" s="221">
        <f t="shared" si="1"/>
        <v>3013.2846245738751</v>
      </c>
      <c r="T20" s="221">
        <f t="shared" si="1"/>
        <v>3032.1176534774622</v>
      </c>
      <c r="U20" s="221">
        <f t="shared" si="1"/>
        <v>3051.0683888116969</v>
      </c>
      <c r="V20" s="221">
        <f t="shared" si="1"/>
        <v>3070.1375662417704</v>
      </c>
      <c r="W20" s="221">
        <f t="shared" si="1"/>
        <v>3089.3259260307814</v>
      </c>
      <c r="X20" s="221">
        <f t="shared" si="1"/>
        <v>3108.6342130684739</v>
      </c>
      <c r="Y20" s="221">
        <f t="shared" si="1"/>
        <v>3128.063176900152</v>
      </c>
      <c r="Z20" s="221">
        <f t="shared" si="1"/>
        <v>3147.6135717557786</v>
      </c>
    </row>
    <row r="21" spans="2:26" x14ac:dyDescent="0.3">
      <c r="B21" s="163" t="s">
        <v>4</v>
      </c>
      <c r="C21" s="192">
        <f t="shared" si="4"/>
        <v>5557.6799999999994</v>
      </c>
      <c r="D21" s="203">
        <f t="shared" si="2"/>
        <v>9.8737550499756587E-3</v>
      </c>
      <c r="E21" s="225" t="str">
        <f>VLOOKUP($B21,Inputs!$B$60:$C$76,2,FALSE)</f>
        <v>Variable</v>
      </c>
      <c r="G21" s="221">
        <f t="shared" si="5"/>
        <v>5592.4154999999992</v>
      </c>
      <c r="H21" s="221">
        <f t="shared" si="1"/>
        <v>5627.3680968749995</v>
      </c>
      <c r="I21" s="221">
        <f t="shared" si="1"/>
        <v>5662.5391474804683</v>
      </c>
      <c r="J21" s="221">
        <f t="shared" si="1"/>
        <v>5697.9300171522218</v>
      </c>
      <c r="K21" s="221">
        <f t="shared" si="1"/>
        <v>5733.5420797594234</v>
      </c>
      <c r="L21" s="221">
        <f t="shared" si="1"/>
        <v>5769.3767177579202</v>
      </c>
      <c r="M21" s="221">
        <f t="shared" si="1"/>
        <v>5805.4353222439076</v>
      </c>
      <c r="N21" s="221">
        <f t="shared" si="1"/>
        <v>5841.7192930079318</v>
      </c>
      <c r="O21" s="221">
        <f t="shared" si="1"/>
        <v>5878.2300385892331</v>
      </c>
      <c r="P21" s="221">
        <f t="shared" si="1"/>
        <v>5914.9689763304159</v>
      </c>
      <c r="Q21" s="221">
        <f t="shared" si="1"/>
        <v>5951.937532432481</v>
      </c>
      <c r="R21" s="221">
        <f t="shared" si="1"/>
        <v>5989.137142010185</v>
      </c>
      <c r="S21" s="221">
        <f t="shared" si="1"/>
        <v>6026.5692491477503</v>
      </c>
      <c r="T21" s="221">
        <f t="shared" si="1"/>
        <v>6064.2353069549245</v>
      </c>
      <c r="U21" s="221">
        <f t="shared" si="1"/>
        <v>6102.1367776233938</v>
      </c>
      <c r="V21" s="221">
        <f t="shared" si="1"/>
        <v>6140.2751324835408</v>
      </c>
      <c r="W21" s="221">
        <f t="shared" si="1"/>
        <v>6178.6518520615627</v>
      </c>
      <c r="X21" s="221">
        <f t="shared" si="1"/>
        <v>6217.2684261369477</v>
      </c>
      <c r="Y21" s="221">
        <f t="shared" si="1"/>
        <v>6256.1263538003041</v>
      </c>
      <c r="Z21" s="221">
        <f t="shared" si="1"/>
        <v>6295.2271435115572</v>
      </c>
    </row>
    <row r="22" spans="2:26" x14ac:dyDescent="0.3">
      <c r="B22" s="176" t="s">
        <v>200</v>
      </c>
      <c r="C22" s="194">
        <f t="shared" si="4"/>
        <v>29154.007999999998</v>
      </c>
      <c r="D22" s="205">
        <f t="shared" si="2"/>
        <v>5.1794909695597947E-2</v>
      </c>
      <c r="E22" s="227"/>
      <c r="G22" s="223">
        <f>SUM(G16:G21)</f>
        <v>29300.283050000002</v>
      </c>
      <c r="H22" s="223">
        <f t="shared" ref="H22:Z22" si="6">SUM(H16:H21)</f>
        <v>29447.472319062501</v>
      </c>
      <c r="I22" s="223">
        <f t="shared" si="6"/>
        <v>29595.581521056643</v>
      </c>
      <c r="J22" s="223">
        <f t="shared" si="6"/>
        <v>29744.616405563243</v>
      </c>
      <c r="K22" s="223">
        <f t="shared" si="6"/>
        <v>29894.582758098022</v>
      </c>
      <c r="L22" s="223">
        <f t="shared" si="6"/>
        <v>30045.486400336133</v>
      </c>
      <c r="M22" s="223">
        <f t="shared" si="6"/>
        <v>30197.333190338235</v>
      </c>
      <c r="N22" s="223">
        <f t="shared" si="6"/>
        <v>30350.129022777848</v>
      </c>
      <c r="O22" s="223">
        <f t="shared" si="6"/>
        <v>30503.879829170211</v>
      </c>
      <c r="P22" s="223">
        <f t="shared" si="6"/>
        <v>30658.591578102536</v>
      </c>
      <c r="Q22" s="223">
        <f t="shared" si="6"/>
        <v>30814.270275465671</v>
      </c>
      <c r="R22" s="223">
        <f t="shared" si="6"/>
        <v>30970.921964687339</v>
      </c>
      <c r="S22" s="223">
        <f t="shared" si="6"/>
        <v>31128.552726966642</v>
      </c>
      <c r="T22" s="223">
        <f t="shared" si="6"/>
        <v>31287.168681510182</v>
      </c>
      <c r="U22" s="223">
        <f t="shared" si="6"/>
        <v>31446.775985769629</v>
      </c>
      <c r="V22" s="223">
        <f t="shared" si="6"/>
        <v>31607.380835680691</v>
      </c>
      <c r="W22" s="223">
        <f t="shared" si="6"/>
        <v>31768.989465903695</v>
      </c>
      <c r="X22" s="223">
        <f t="shared" si="6"/>
        <v>31931.608150065596</v>
      </c>
      <c r="Y22" s="223">
        <f t="shared" si="6"/>
        <v>32095.243201003505</v>
      </c>
      <c r="Z22" s="223">
        <f t="shared" si="6"/>
        <v>32259.900971009778</v>
      </c>
    </row>
    <row r="23" spans="2:26" x14ac:dyDescent="0.3">
      <c r="B23" s="199" t="s">
        <v>201</v>
      </c>
      <c r="C23" s="194">
        <f t="shared" si="4"/>
        <v>152658.008</v>
      </c>
      <c r="D23" s="204">
        <f t="shared" si="2"/>
        <v>0.27121168858394595</v>
      </c>
      <c r="E23" s="227"/>
      <c r="G23" s="222">
        <f>G14+G22</f>
        <v>153576.18305000002</v>
      </c>
      <c r="H23" s="222">
        <f t="shared" ref="H23:Z23" si="7">H14+H22</f>
        <v>154500.09669406252</v>
      </c>
      <c r="I23" s="222">
        <f t="shared" si="7"/>
        <v>155429.78479840042</v>
      </c>
      <c r="J23" s="222">
        <f t="shared" si="7"/>
        <v>156365.28345339044</v>
      </c>
      <c r="K23" s="222">
        <f t="shared" si="7"/>
        <v>157306.62897497413</v>
      </c>
      <c r="L23" s="222">
        <f t="shared" si="7"/>
        <v>158253.85790606771</v>
      </c>
      <c r="M23" s="222">
        <f t="shared" si="7"/>
        <v>159207.00701798062</v>
      </c>
      <c r="N23" s="222">
        <f t="shared" si="7"/>
        <v>160166.11331184304</v>
      </c>
      <c r="O23" s="222">
        <f t="shared" si="7"/>
        <v>161131.2140200421</v>
      </c>
      <c r="P23" s="222">
        <f t="shared" si="7"/>
        <v>162102.34660766736</v>
      </c>
      <c r="Q23" s="222">
        <f t="shared" si="7"/>
        <v>163079.5487739653</v>
      </c>
      <c r="R23" s="222">
        <f t="shared" si="7"/>
        <v>164062.85845380259</v>
      </c>
      <c r="S23" s="222">
        <f t="shared" si="7"/>
        <v>165052.31381913889</v>
      </c>
      <c r="T23" s="222">
        <f t="shared" si="7"/>
        <v>166047.95328050852</v>
      </c>
      <c r="U23" s="222">
        <f t="shared" si="7"/>
        <v>167049.81548851173</v>
      </c>
      <c r="V23" s="222">
        <f t="shared" si="7"/>
        <v>168057.93933531496</v>
      </c>
      <c r="W23" s="222">
        <f t="shared" si="7"/>
        <v>169072.36395616067</v>
      </c>
      <c r="X23" s="222">
        <f t="shared" si="7"/>
        <v>170093.12873088667</v>
      </c>
      <c r="Y23" s="222">
        <f t="shared" si="7"/>
        <v>171120.27328545475</v>
      </c>
      <c r="Z23" s="222">
        <f t="shared" si="7"/>
        <v>172153.83749348886</v>
      </c>
    </row>
    <row r="24" spans="2:26" x14ac:dyDescent="0.3">
      <c r="C24" s="192"/>
      <c r="D24" s="203"/>
      <c r="E24" s="227"/>
      <c r="G24" s="221"/>
      <c r="H24" s="221"/>
      <c r="I24" s="221"/>
      <c r="J24" s="221"/>
      <c r="K24" s="221"/>
      <c r="L24" s="221"/>
      <c r="M24" s="221"/>
      <c r="N24" s="221"/>
      <c r="O24" s="221"/>
      <c r="P24" s="221"/>
      <c r="Q24" s="221"/>
      <c r="R24" s="221"/>
      <c r="S24" s="221"/>
      <c r="T24" s="221"/>
      <c r="U24" s="221"/>
      <c r="V24" s="221"/>
      <c r="W24" s="221"/>
      <c r="X24" s="221"/>
      <c r="Y24" s="221"/>
      <c r="Z24" s="221"/>
    </row>
    <row r="25" spans="2:26" x14ac:dyDescent="0.3">
      <c r="B25" s="163" t="s">
        <v>71</v>
      </c>
      <c r="C25" s="192">
        <f>INDEX(ExistingStoreTable,MATCH($B25,ExistingStoreRow,0),MATCH($C$5,ExistingStoreColumn,0))/4</f>
        <v>146347.24</v>
      </c>
      <c r="D25" s="203">
        <f t="shared" si="2"/>
        <v>0.26</v>
      </c>
      <c r="E25" s="225" t="str">
        <f>VLOOKUP($B25,Inputs!$B$60:$C$76,2,FALSE)</f>
        <v>Variable</v>
      </c>
      <c r="G25" s="221">
        <f t="shared" si="5"/>
        <v>147261.91025000002</v>
      </c>
      <c r="H25" s="221">
        <f t="shared" si="1"/>
        <v>148182.29718906252</v>
      </c>
      <c r="I25" s="221">
        <f t="shared" si="1"/>
        <v>149108.43654649417</v>
      </c>
      <c r="J25" s="221">
        <f t="shared" si="1"/>
        <v>150040.36427490978</v>
      </c>
      <c r="K25" s="221">
        <f t="shared" si="1"/>
        <v>150978.11655162796</v>
      </c>
      <c r="L25" s="221">
        <f t="shared" si="1"/>
        <v>151921.72978007564</v>
      </c>
      <c r="M25" s="221">
        <f t="shared" si="1"/>
        <v>152871.24059120112</v>
      </c>
      <c r="N25" s="221">
        <f t="shared" si="1"/>
        <v>153826.68584489613</v>
      </c>
      <c r="O25" s="221">
        <f t="shared" si="1"/>
        <v>154788.10263142677</v>
      </c>
      <c r="P25" s="221">
        <f t="shared" si="1"/>
        <v>155755.5282728732</v>
      </c>
      <c r="Q25" s="221">
        <f t="shared" si="1"/>
        <v>156729.00032457866</v>
      </c>
      <c r="R25" s="221">
        <f t="shared" si="1"/>
        <v>157708.55657660731</v>
      </c>
      <c r="S25" s="221">
        <f t="shared" si="1"/>
        <v>158694.23505521112</v>
      </c>
      <c r="T25" s="221">
        <f t="shared" si="1"/>
        <v>159686.0740243062</v>
      </c>
      <c r="U25" s="221">
        <f t="shared" si="1"/>
        <v>160684.11198695816</v>
      </c>
      <c r="V25" s="221">
        <f t="shared" si="1"/>
        <v>161688.38768687667</v>
      </c>
      <c r="W25" s="221">
        <f t="shared" si="1"/>
        <v>162698.94010991964</v>
      </c>
      <c r="X25" s="221">
        <f t="shared" si="1"/>
        <v>163715.80848560666</v>
      </c>
      <c r="Y25" s="221">
        <f t="shared" si="1"/>
        <v>164739.0322886417</v>
      </c>
      <c r="Z25" s="221">
        <f t="shared" si="1"/>
        <v>165768.65124044576</v>
      </c>
    </row>
    <row r="26" spans="2:26" x14ac:dyDescent="0.3">
      <c r="B26" s="163" t="s">
        <v>72</v>
      </c>
      <c r="C26" s="192">
        <f>INDEX(ExistingStoreTable,MATCH($B26,ExistingStoreRow,0),MATCH($C$5,ExistingStoreColumn,0))/4</f>
        <v>16886.22</v>
      </c>
      <c r="D26" s="203">
        <f t="shared" si="2"/>
        <v>3.0000000000000002E-2</v>
      </c>
      <c r="E26" s="225" t="str">
        <f>VLOOKUP($B26,Inputs!$B$60:$C$76,2,FALSE)</f>
        <v>Variable</v>
      </c>
      <c r="G26" s="221">
        <f t="shared" si="5"/>
        <v>16991.758875000003</v>
      </c>
      <c r="H26" s="221">
        <f t="shared" si="5"/>
        <v>17097.957367968753</v>
      </c>
      <c r="I26" s="221">
        <f t="shared" si="5"/>
        <v>17204.819601518557</v>
      </c>
      <c r="J26" s="221">
        <f t="shared" si="5"/>
        <v>17312.349724028052</v>
      </c>
      <c r="K26" s="221">
        <f t="shared" si="5"/>
        <v>17420.551909803227</v>
      </c>
      <c r="L26" s="221">
        <f t="shared" si="5"/>
        <v>17529.430359239497</v>
      </c>
      <c r="M26" s="221">
        <f t="shared" si="5"/>
        <v>17638.989298984747</v>
      </c>
      <c r="N26" s="221">
        <f t="shared" si="5"/>
        <v>17749.2329821034</v>
      </c>
      <c r="O26" s="221">
        <f>IF($E26="Variable",O$10*$D26,$C26)</f>
        <v>17860.165688241552</v>
      </c>
      <c r="P26" s="221">
        <f t="shared" si="5"/>
        <v>17971.791723793063</v>
      </c>
      <c r="Q26" s="221">
        <f t="shared" si="5"/>
        <v>18084.11542206677</v>
      </c>
      <c r="R26" s="221">
        <f t="shared" si="5"/>
        <v>18197.14114345469</v>
      </c>
      <c r="S26" s="221">
        <f t="shared" si="5"/>
        <v>18310.873275601283</v>
      </c>
      <c r="T26" s="221">
        <f t="shared" si="5"/>
        <v>18425.316233573794</v>
      </c>
      <c r="U26" s="221">
        <f t="shared" si="5"/>
        <v>18540.474460033634</v>
      </c>
      <c r="V26" s="221">
        <f t="shared" si="5"/>
        <v>18656.352425408848</v>
      </c>
      <c r="W26" s="221">
        <f t="shared" si="1"/>
        <v>18772.954628067651</v>
      </c>
      <c r="X26" s="221">
        <f t="shared" si="1"/>
        <v>18890.285594493078</v>
      </c>
      <c r="Y26" s="221">
        <f t="shared" si="1"/>
        <v>19008.349879458659</v>
      </c>
      <c r="Z26" s="221">
        <f t="shared" si="1"/>
        <v>19127.152066205279</v>
      </c>
    </row>
    <row r="27" spans="2:26" x14ac:dyDescent="0.3">
      <c r="B27" s="199" t="s">
        <v>202</v>
      </c>
      <c r="C27" s="194">
        <f>INDEX(ExistingStoreTable,MATCH($B27,ExistingStoreRow,0),MATCH($C$5,ExistingStoreColumn,0))/4</f>
        <v>163233.46</v>
      </c>
      <c r="D27" s="204">
        <f t="shared" si="2"/>
        <v>0.28999999999999998</v>
      </c>
      <c r="E27" s="227"/>
      <c r="G27" s="222">
        <f>SUM(G25:G26)</f>
        <v>164253.66912500001</v>
      </c>
      <c r="H27" s="222">
        <f t="shared" ref="H27:Z27" si="8">SUM(H25:H26)</f>
        <v>165280.25455703126</v>
      </c>
      <c r="I27" s="222">
        <f t="shared" si="8"/>
        <v>166313.25614801273</v>
      </c>
      <c r="J27" s="222">
        <f t="shared" si="8"/>
        <v>167352.71399893783</v>
      </c>
      <c r="K27" s="222">
        <f t="shared" si="8"/>
        <v>168398.6684614312</v>
      </c>
      <c r="L27" s="222">
        <f t="shared" si="8"/>
        <v>169451.16013931512</v>
      </c>
      <c r="M27" s="222">
        <f t="shared" si="8"/>
        <v>170510.22989018587</v>
      </c>
      <c r="N27" s="222">
        <f t="shared" si="8"/>
        <v>171575.91882699952</v>
      </c>
      <c r="O27" s="222">
        <f t="shared" si="8"/>
        <v>172648.26831966831</v>
      </c>
      <c r="P27" s="222">
        <f t="shared" si="8"/>
        <v>173727.31999666625</v>
      </c>
      <c r="Q27" s="222">
        <f t="shared" si="8"/>
        <v>174813.11574664543</v>
      </c>
      <c r="R27" s="222">
        <f t="shared" si="8"/>
        <v>175905.69772006199</v>
      </c>
      <c r="S27" s="222">
        <f t="shared" si="8"/>
        <v>177005.10833081239</v>
      </c>
      <c r="T27" s="222">
        <f t="shared" si="8"/>
        <v>178111.39025788</v>
      </c>
      <c r="U27" s="222">
        <f t="shared" si="8"/>
        <v>179224.5864469918</v>
      </c>
      <c r="V27" s="222">
        <f t="shared" si="8"/>
        <v>180344.74011228551</v>
      </c>
      <c r="W27" s="222">
        <f t="shared" si="8"/>
        <v>181471.89473798728</v>
      </c>
      <c r="X27" s="222">
        <f t="shared" si="8"/>
        <v>182606.09408009972</v>
      </c>
      <c r="Y27" s="222">
        <f t="shared" si="8"/>
        <v>183747.38216810036</v>
      </c>
      <c r="Z27" s="222">
        <f t="shared" si="8"/>
        <v>184895.80330665104</v>
      </c>
    </row>
    <row r="28" spans="2:26" x14ac:dyDescent="0.3">
      <c r="C28" s="192"/>
      <c r="D28" s="203"/>
      <c r="E28" s="227"/>
      <c r="G28" s="221"/>
      <c r="H28" s="221"/>
      <c r="I28" s="221"/>
      <c r="J28" s="221"/>
      <c r="K28" s="221"/>
      <c r="L28" s="221"/>
      <c r="M28" s="221"/>
      <c r="N28" s="221"/>
      <c r="O28" s="221"/>
      <c r="P28" s="221"/>
      <c r="Q28" s="221"/>
      <c r="R28" s="221"/>
      <c r="S28" s="221"/>
      <c r="T28" s="221"/>
      <c r="U28" s="221"/>
      <c r="V28" s="221"/>
      <c r="W28" s="221"/>
      <c r="X28" s="221"/>
      <c r="Y28" s="221"/>
      <c r="Z28" s="221"/>
    </row>
    <row r="29" spans="2:26" x14ac:dyDescent="0.3">
      <c r="B29" s="163" t="s">
        <v>73</v>
      </c>
      <c r="C29" s="192">
        <f t="shared" ref="C29:C34" si="9">INDEX(ExistingStoreTable,MATCH($B29,ExistingStoreRow,0),MATCH($C$5,ExistingStoreColumn,0))/4</f>
        <v>8443.11</v>
      </c>
      <c r="D29" s="203">
        <f t="shared" si="2"/>
        <v>1.5000000000000001E-2</v>
      </c>
      <c r="E29" s="225" t="str">
        <f>VLOOKUP($B29,Inputs!$B$60:$C$76,2,FALSE)</f>
        <v>Variable</v>
      </c>
      <c r="G29" s="221">
        <f t="shared" si="5"/>
        <v>8495.8794375000016</v>
      </c>
      <c r="H29" s="221">
        <f t="shared" si="5"/>
        <v>8548.9786839843764</v>
      </c>
      <c r="I29" s="221">
        <f t="shared" si="5"/>
        <v>8602.4098007592784</v>
      </c>
      <c r="J29" s="221">
        <f t="shared" si="5"/>
        <v>8656.1748620140261</v>
      </c>
      <c r="K29" s="221">
        <f t="shared" si="5"/>
        <v>8710.2759549016137</v>
      </c>
      <c r="L29" s="221">
        <f t="shared" si="5"/>
        <v>8764.7151796197486</v>
      </c>
      <c r="M29" s="221">
        <f t="shared" si="5"/>
        <v>8819.4946494923734</v>
      </c>
      <c r="N29" s="221">
        <f t="shared" si="5"/>
        <v>8874.6164910517</v>
      </c>
      <c r="O29" s="221">
        <f t="shared" si="5"/>
        <v>8930.0828441207759</v>
      </c>
      <c r="P29" s="221">
        <f t="shared" si="5"/>
        <v>8985.8958618965316</v>
      </c>
      <c r="Q29" s="221">
        <f t="shared" si="5"/>
        <v>9042.0577110333852</v>
      </c>
      <c r="R29" s="221">
        <f t="shared" si="5"/>
        <v>9098.5705717273449</v>
      </c>
      <c r="S29" s="221">
        <f t="shared" si="5"/>
        <v>9155.4366378006416</v>
      </c>
      <c r="T29" s="221">
        <f t="shared" si="5"/>
        <v>9212.6581167868972</v>
      </c>
      <c r="U29" s="221">
        <f t="shared" si="5"/>
        <v>9270.2372300168172</v>
      </c>
      <c r="V29" s="221">
        <f t="shared" si="5"/>
        <v>9328.176212704424</v>
      </c>
      <c r="W29" s="221">
        <f t="shared" ref="W29:Z37" si="10">IF($E29="Variable",W$10*$D29,$C29)</f>
        <v>9386.4773140338257</v>
      </c>
      <c r="X29" s="221">
        <f t="shared" si="10"/>
        <v>9445.142797246539</v>
      </c>
      <c r="Y29" s="221">
        <f t="shared" si="10"/>
        <v>9504.1749397293297</v>
      </c>
      <c r="Z29" s="221">
        <f t="shared" si="10"/>
        <v>9563.5760331026395</v>
      </c>
    </row>
    <row r="30" spans="2:26" x14ac:dyDescent="0.3">
      <c r="B30" s="163" t="s">
        <v>74</v>
      </c>
      <c r="C30" s="192">
        <f t="shared" si="9"/>
        <v>11257.48</v>
      </c>
      <c r="D30" s="203">
        <f t="shared" si="2"/>
        <v>0.02</v>
      </c>
      <c r="E30" s="225" t="str">
        <f>VLOOKUP($B30,Inputs!$B$60:$C$76,2,FALSE)</f>
        <v>Variable</v>
      </c>
      <c r="G30" s="221">
        <f t="shared" si="5"/>
        <v>11327.839250000001</v>
      </c>
      <c r="H30" s="221">
        <f t="shared" si="5"/>
        <v>11398.638245312502</v>
      </c>
      <c r="I30" s="221">
        <f t="shared" si="5"/>
        <v>11469.879734345704</v>
      </c>
      <c r="J30" s="221">
        <f t="shared" si="5"/>
        <v>11541.566482685366</v>
      </c>
      <c r="K30" s="221">
        <f t="shared" si="5"/>
        <v>11613.701273202152</v>
      </c>
      <c r="L30" s="221">
        <f t="shared" si="5"/>
        <v>11686.286906159665</v>
      </c>
      <c r="M30" s="221">
        <f t="shared" si="5"/>
        <v>11759.326199323163</v>
      </c>
      <c r="N30" s="221">
        <f t="shared" si="5"/>
        <v>11832.821988068934</v>
      </c>
      <c r="O30" s="221">
        <f t="shared" si="5"/>
        <v>11906.777125494365</v>
      </c>
      <c r="P30" s="221">
        <f t="shared" si="5"/>
        <v>11981.194482528706</v>
      </c>
      <c r="Q30" s="221">
        <f t="shared" si="5"/>
        <v>12056.076948044512</v>
      </c>
      <c r="R30" s="221">
        <f t="shared" si="5"/>
        <v>12131.427428969791</v>
      </c>
      <c r="S30" s="221">
        <f t="shared" si="5"/>
        <v>12207.248850400856</v>
      </c>
      <c r="T30" s="221">
        <f t="shared" si="5"/>
        <v>12283.544155715863</v>
      </c>
      <c r="U30" s="221">
        <f t="shared" si="5"/>
        <v>12360.316306689088</v>
      </c>
      <c r="V30" s="221">
        <f t="shared" si="5"/>
        <v>12437.568283605897</v>
      </c>
      <c r="W30" s="221">
        <f t="shared" si="10"/>
        <v>12515.303085378435</v>
      </c>
      <c r="X30" s="221">
        <f t="shared" si="10"/>
        <v>12593.523729662051</v>
      </c>
      <c r="Y30" s="221">
        <f t="shared" si="10"/>
        <v>12672.233252972439</v>
      </c>
      <c r="Z30" s="221">
        <f t="shared" si="10"/>
        <v>12751.434710803518</v>
      </c>
    </row>
    <row r="31" spans="2:26" x14ac:dyDescent="0.3">
      <c r="B31" s="163" t="s">
        <v>75</v>
      </c>
      <c r="C31" s="192">
        <f t="shared" si="9"/>
        <v>3940.1179999999999</v>
      </c>
      <c r="D31" s="203">
        <f t="shared" si="2"/>
        <v>7.0000000000000001E-3</v>
      </c>
      <c r="E31" s="225" t="str">
        <f>VLOOKUP($B31,Inputs!$B$60:$C$76,2,FALSE)</f>
        <v>Variable</v>
      </c>
      <c r="G31" s="221">
        <f t="shared" si="5"/>
        <v>3964.7437375000004</v>
      </c>
      <c r="H31" s="221">
        <f t="shared" si="5"/>
        <v>3989.5233858593756</v>
      </c>
      <c r="I31" s="221">
        <f t="shared" si="5"/>
        <v>4014.4579070209966</v>
      </c>
      <c r="J31" s="221">
        <f t="shared" si="5"/>
        <v>4039.5482689398782</v>
      </c>
      <c r="K31" s="221">
        <f t="shared" si="5"/>
        <v>4064.7954456207531</v>
      </c>
      <c r="L31" s="221">
        <f t="shared" si="5"/>
        <v>4090.2004171558829</v>
      </c>
      <c r="M31" s="221">
        <f t="shared" si="5"/>
        <v>4115.764169763107</v>
      </c>
      <c r="N31" s="221">
        <f t="shared" si="5"/>
        <v>4141.4876958241266</v>
      </c>
      <c r="O31" s="221">
        <f t="shared" si="5"/>
        <v>4167.3719939230286</v>
      </c>
      <c r="P31" s="221">
        <f t="shared" si="5"/>
        <v>4193.4180688850474</v>
      </c>
      <c r="Q31" s="221">
        <f t="shared" si="5"/>
        <v>4219.6269318155792</v>
      </c>
      <c r="R31" s="221">
        <f t="shared" si="5"/>
        <v>4245.9996001394275</v>
      </c>
      <c r="S31" s="221">
        <f t="shared" si="5"/>
        <v>4272.5370976402992</v>
      </c>
      <c r="T31" s="221">
        <f t="shared" si="5"/>
        <v>4299.240454500552</v>
      </c>
      <c r="U31" s="221">
        <f t="shared" si="5"/>
        <v>4326.1107073411813</v>
      </c>
      <c r="V31" s="221">
        <f t="shared" si="5"/>
        <v>4353.1488992620643</v>
      </c>
      <c r="W31" s="221">
        <f t="shared" si="10"/>
        <v>4380.3560798824519</v>
      </c>
      <c r="X31" s="221">
        <f t="shared" si="10"/>
        <v>4407.7333053817174</v>
      </c>
      <c r="Y31" s="221">
        <f t="shared" si="10"/>
        <v>4435.2816385403539</v>
      </c>
      <c r="Z31" s="221">
        <f t="shared" si="10"/>
        <v>4463.0021487812319</v>
      </c>
    </row>
    <row r="32" spans="2:26" x14ac:dyDescent="0.3">
      <c r="B32" s="163" t="s">
        <v>76</v>
      </c>
      <c r="C32" s="192">
        <f t="shared" si="9"/>
        <v>4000</v>
      </c>
      <c r="D32" s="203">
        <f t="shared" si="2"/>
        <v>7.1063861539172176E-3</v>
      </c>
      <c r="E32" s="225" t="str">
        <f>VLOOKUP($B32,Inputs!$B$60:$C$76,2,FALSE)</f>
        <v>Fixed</v>
      </c>
      <c r="G32" s="221">
        <f t="shared" si="5"/>
        <v>4000</v>
      </c>
      <c r="H32" s="221">
        <f t="shared" si="5"/>
        <v>4000</v>
      </c>
      <c r="I32" s="221">
        <f t="shared" si="5"/>
        <v>4000</v>
      </c>
      <c r="J32" s="221">
        <f t="shared" si="5"/>
        <v>4000</v>
      </c>
      <c r="K32" s="221">
        <f t="shared" si="5"/>
        <v>4000</v>
      </c>
      <c r="L32" s="221">
        <f t="shared" si="5"/>
        <v>4000</v>
      </c>
      <c r="M32" s="221">
        <f t="shared" si="5"/>
        <v>4000</v>
      </c>
      <c r="N32" s="221">
        <f t="shared" si="5"/>
        <v>4000</v>
      </c>
      <c r="O32" s="221">
        <f t="shared" si="5"/>
        <v>4000</v>
      </c>
      <c r="P32" s="221">
        <f t="shared" si="5"/>
        <v>4000</v>
      </c>
      <c r="Q32" s="221">
        <f t="shared" si="5"/>
        <v>4000</v>
      </c>
      <c r="R32" s="221">
        <f t="shared" si="5"/>
        <v>4000</v>
      </c>
      <c r="S32" s="221">
        <f t="shared" si="5"/>
        <v>4000</v>
      </c>
      <c r="T32" s="221">
        <f t="shared" si="5"/>
        <v>4000</v>
      </c>
      <c r="U32" s="221">
        <f t="shared" si="5"/>
        <v>4000</v>
      </c>
      <c r="V32" s="221">
        <f t="shared" si="5"/>
        <v>4000</v>
      </c>
      <c r="W32" s="221">
        <f t="shared" si="10"/>
        <v>4000</v>
      </c>
      <c r="X32" s="221">
        <f t="shared" si="10"/>
        <v>4000</v>
      </c>
      <c r="Y32" s="221">
        <f t="shared" si="10"/>
        <v>4000</v>
      </c>
      <c r="Z32" s="221">
        <f t="shared" si="10"/>
        <v>4000</v>
      </c>
    </row>
    <row r="33" spans="2:26" x14ac:dyDescent="0.3">
      <c r="B33" s="163" t="s">
        <v>43</v>
      </c>
      <c r="C33" s="192">
        <f t="shared" si="9"/>
        <v>20750</v>
      </c>
      <c r="D33" s="203">
        <f t="shared" si="2"/>
        <v>3.6864378173445567E-2</v>
      </c>
      <c r="E33" s="225" t="str">
        <f>VLOOKUP($B33,Inputs!$B$60:$C$76,2,FALSE)</f>
        <v>Fixed</v>
      </c>
      <c r="G33" s="221">
        <f t="shared" si="5"/>
        <v>20750</v>
      </c>
      <c r="H33" s="221">
        <f t="shared" si="5"/>
        <v>20750</v>
      </c>
      <c r="I33" s="221">
        <f t="shared" si="5"/>
        <v>20750</v>
      </c>
      <c r="J33" s="221">
        <f t="shared" si="5"/>
        <v>20750</v>
      </c>
      <c r="K33" s="221">
        <f t="shared" si="5"/>
        <v>20750</v>
      </c>
      <c r="L33" s="221">
        <f t="shared" si="5"/>
        <v>20750</v>
      </c>
      <c r="M33" s="221">
        <f t="shared" si="5"/>
        <v>20750</v>
      </c>
      <c r="N33" s="221">
        <f t="shared" si="5"/>
        <v>20750</v>
      </c>
      <c r="O33" s="221">
        <f t="shared" si="5"/>
        <v>20750</v>
      </c>
      <c r="P33" s="221">
        <f t="shared" si="5"/>
        <v>20750</v>
      </c>
      <c r="Q33" s="221">
        <f t="shared" si="5"/>
        <v>20750</v>
      </c>
      <c r="R33" s="221">
        <f t="shared" si="5"/>
        <v>20750</v>
      </c>
      <c r="S33" s="221">
        <f t="shared" si="5"/>
        <v>20750</v>
      </c>
      <c r="T33" s="221">
        <f t="shared" si="5"/>
        <v>20750</v>
      </c>
      <c r="U33" s="221">
        <f t="shared" si="5"/>
        <v>20750</v>
      </c>
      <c r="V33" s="221">
        <f t="shared" si="5"/>
        <v>20750</v>
      </c>
      <c r="W33" s="221">
        <f t="shared" si="10"/>
        <v>20750</v>
      </c>
      <c r="X33" s="221">
        <f t="shared" si="10"/>
        <v>20750</v>
      </c>
      <c r="Y33" s="221">
        <f t="shared" si="10"/>
        <v>20750</v>
      </c>
      <c r="Z33" s="221">
        <f t="shared" si="10"/>
        <v>20750</v>
      </c>
    </row>
    <row r="34" spans="2:26" x14ac:dyDescent="0.3">
      <c r="B34" s="199" t="s">
        <v>203</v>
      </c>
      <c r="C34" s="194">
        <f t="shared" si="9"/>
        <v>48390.707999999999</v>
      </c>
      <c r="D34" s="204">
        <f t="shared" si="2"/>
        <v>8.5970764327362781E-2</v>
      </c>
      <c r="E34" s="227"/>
      <c r="G34" s="222">
        <f>SUM(G29:G33)</f>
        <v>48538.462425000005</v>
      </c>
      <c r="H34" s="222">
        <f t="shared" ref="H34:Z34" si="11">SUM(H29:H33)</f>
        <v>48687.140315156255</v>
      </c>
      <c r="I34" s="222">
        <f t="shared" si="11"/>
        <v>48836.747442125976</v>
      </c>
      <c r="J34" s="222">
        <f t="shared" si="11"/>
        <v>48987.289613639266</v>
      </c>
      <c r="K34" s="222">
        <f t="shared" si="11"/>
        <v>49138.772673724518</v>
      </c>
      <c r="L34" s="222">
        <f t="shared" si="11"/>
        <v>49291.202502935295</v>
      </c>
      <c r="M34" s="222">
        <f t="shared" si="11"/>
        <v>49444.58501857864</v>
      </c>
      <c r="N34" s="222">
        <f t="shared" si="11"/>
        <v>49598.926174944761</v>
      </c>
      <c r="O34" s="222">
        <f t="shared" si="11"/>
        <v>49754.231963538172</v>
      </c>
      <c r="P34" s="222">
        <f t="shared" si="11"/>
        <v>49910.508413310286</v>
      </c>
      <c r="Q34" s="222">
        <f t="shared" si="11"/>
        <v>50067.761590893482</v>
      </c>
      <c r="R34" s="222">
        <f t="shared" si="11"/>
        <v>50225.997600836563</v>
      </c>
      <c r="S34" s="222">
        <f t="shared" si="11"/>
        <v>50385.222585841795</v>
      </c>
      <c r="T34" s="222">
        <f t="shared" si="11"/>
        <v>50545.442727003312</v>
      </c>
      <c r="U34" s="222">
        <f t="shared" si="11"/>
        <v>50706.66424404709</v>
      </c>
      <c r="V34" s="222">
        <f t="shared" si="11"/>
        <v>50868.893395572384</v>
      </c>
      <c r="W34" s="222">
        <f t="shared" si="11"/>
        <v>51032.136479294713</v>
      </c>
      <c r="X34" s="222">
        <f t="shared" si="11"/>
        <v>51196.399832290306</v>
      </c>
      <c r="Y34" s="222">
        <f t="shared" si="11"/>
        <v>51361.689831242125</v>
      </c>
      <c r="Z34" s="222">
        <f t="shared" si="11"/>
        <v>51528.012892687388</v>
      </c>
    </row>
    <row r="35" spans="2:26" x14ac:dyDescent="0.3">
      <c r="C35" s="192"/>
      <c r="D35" s="203"/>
      <c r="E35" s="227"/>
      <c r="G35" s="221"/>
      <c r="H35" s="221"/>
      <c r="I35" s="221"/>
      <c r="J35" s="221"/>
      <c r="K35" s="221"/>
      <c r="L35" s="221"/>
      <c r="M35" s="221"/>
      <c r="N35" s="221"/>
      <c r="O35" s="221"/>
      <c r="P35" s="221"/>
      <c r="Q35" s="221"/>
      <c r="R35" s="221"/>
      <c r="S35" s="221"/>
      <c r="T35" s="221"/>
      <c r="U35" s="221"/>
      <c r="V35" s="221"/>
      <c r="W35" s="221"/>
      <c r="X35" s="221"/>
      <c r="Y35" s="221"/>
      <c r="Z35" s="221"/>
    </row>
    <row r="36" spans="2:26" x14ac:dyDescent="0.3">
      <c r="B36" s="163" t="s">
        <v>42</v>
      </c>
      <c r="C36" s="192">
        <f>INDEX(ExistingStoreTable,MATCH($B36,ExistingStoreRow,0),MATCH($C$5,ExistingStoreColumn,0))/4</f>
        <v>25000</v>
      </c>
      <c r="D36" s="203">
        <f t="shared" si="2"/>
        <v>4.4414913461982612E-2</v>
      </c>
      <c r="E36" s="225" t="str">
        <f>VLOOKUP($B36,Inputs!$B$60:$C$76,2,FALSE)</f>
        <v>Fixed</v>
      </c>
      <c r="G36" s="221">
        <f t="shared" si="5"/>
        <v>25000</v>
      </c>
      <c r="H36" s="221">
        <f t="shared" si="5"/>
        <v>25000</v>
      </c>
      <c r="I36" s="221">
        <f t="shared" si="5"/>
        <v>25000</v>
      </c>
      <c r="J36" s="221">
        <f t="shared" si="5"/>
        <v>25000</v>
      </c>
      <c r="K36" s="221">
        <f t="shared" si="5"/>
        <v>25000</v>
      </c>
      <c r="L36" s="221">
        <f t="shared" si="5"/>
        <v>25000</v>
      </c>
      <c r="M36" s="221">
        <f t="shared" si="5"/>
        <v>25000</v>
      </c>
      <c r="N36" s="221">
        <f t="shared" si="5"/>
        <v>25000</v>
      </c>
      <c r="O36" s="221">
        <f t="shared" si="5"/>
        <v>25000</v>
      </c>
      <c r="P36" s="221">
        <f t="shared" si="5"/>
        <v>25000</v>
      </c>
      <c r="Q36" s="221">
        <f t="shared" si="5"/>
        <v>25000</v>
      </c>
      <c r="R36" s="221">
        <f t="shared" si="5"/>
        <v>25000</v>
      </c>
      <c r="S36" s="221">
        <f t="shared" si="5"/>
        <v>25000</v>
      </c>
      <c r="T36" s="221">
        <f t="shared" si="5"/>
        <v>25000</v>
      </c>
      <c r="U36" s="221">
        <f t="shared" si="5"/>
        <v>25000</v>
      </c>
      <c r="V36" s="221">
        <f t="shared" si="5"/>
        <v>25000</v>
      </c>
      <c r="W36" s="221">
        <f t="shared" si="10"/>
        <v>25000</v>
      </c>
      <c r="X36" s="221">
        <f t="shared" si="10"/>
        <v>25000</v>
      </c>
      <c r="Y36" s="221">
        <f t="shared" si="10"/>
        <v>25000</v>
      </c>
      <c r="Z36" s="221">
        <f t="shared" si="10"/>
        <v>25000</v>
      </c>
    </row>
    <row r="37" spans="2:26" x14ac:dyDescent="0.3">
      <c r="B37" s="163" t="s">
        <v>77</v>
      </c>
      <c r="C37" s="192">
        <f>INDEX(ExistingStoreTable,MATCH($B37,ExistingStoreRow,0),MATCH($C$5,ExistingStoreColumn,0))/4</f>
        <v>7500</v>
      </c>
      <c r="D37" s="203">
        <f t="shared" si="2"/>
        <v>1.3324474038594783E-2</v>
      </c>
      <c r="E37" s="225" t="str">
        <f>VLOOKUP($B37,Inputs!$B$60:$C$76,2,FALSE)</f>
        <v>Fixed</v>
      </c>
      <c r="G37" s="221">
        <f t="shared" si="5"/>
        <v>7500</v>
      </c>
      <c r="H37" s="221">
        <f t="shared" si="5"/>
        <v>7500</v>
      </c>
      <c r="I37" s="221">
        <f t="shared" si="5"/>
        <v>7500</v>
      </c>
      <c r="J37" s="221">
        <f t="shared" si="5"/>
        <v>7500</v>
      </c>
      <c r="K37" s="221">
        <f t="shared" si="5"/>
        <v>7500</v>
      </c>
      <c r="L37" s="221">
        <f t="shared" si="5"/>
        <v>7500</v>
      </c>
      <c r="M37" s="221">
        <f t="shared" si="5"/>
        <v>7500</v>
      </c>
      <c r="N37" s="221">
        <f t="shared" si="5"/>
        <v>7500</v>
      </c>
      <c r="O37" s="221">
        <f t="shared" si="5"/>
        <v>7500</v>
      </c>
      <c r="P37" s="221">
        <f t="shared" si="5"/>
        <v>7500</v>
      </c>
      <c r="Q37" s="221">
        <f t="shared" si="5"/>
        <v>7500</v>
      </c>
      <c r="R37" s="221">
        <f t="shared" si="5"/>
        <v>7500</v>
      </c>
      <c r="S37" s="221">
        <f t="shared" si="5"/>
        <v>7500</v>
      </c>
      <c r="T37" s="221">
        <f t="shared" si="5"/>
        <v>7500</v>
      </c>
      <c r="U37" s="221">
        <f t="shared" si="5"/>
        <v>7500</v>
      </c>
      <c r="V37" s="221">
        <f t="shared" si="5"/>
        <v>7500</v>
      </c>
      <c r="W37" s="221">
        <f t="shared" si="10"/>
        <v>7500</v>
      </c>
      <c r="X37" s="221">
        <f t="shared" si="10"/>
        <v>7500</v>
      </c>
      <c r="Y37" s="221">
        <f t="shared" si="10"/>
        <v>7500</v>
      </c>
      <c r="Z37" s="221">
        <f t="shared" si="10"/>
        <v>7500</v>
      </c>
    </row>
    <row r="38" spans="2:26" x14ac:dyDescent="0.3">
      <c r="B38" s="199" t="s">
        <v>204</v>
      </c>
      <c r="C38" s="194">
        <f>INDEX(ExistingStoreTable,MATCH($B38,ExistingStoreRow,0),MATCH($C$5,ExistingStoreColumn,0))/4</f>
        <v>32500</v>
      </c>
      <c r="D38" s="204">
        <f t="shared" si="2"/>
        <v>5.7739387500577395E-2</v>
      </c>
      <c r="E38" s="227"/>
      <c r="G38" s="222">
        <f>SUM(G36:G37)</f>
        <v>32500</v>
      </c>
      <c r="H38" s="222">
        <f t="shared" ref="H38:Z38" si="12">SUM(H36:H37)</f>
        <v>32500</v>
      </c>
      <c r="I38" s="222">
        <f t="shared" si="12"/>
        <v>32500</v>
      </c>
      <c r="J38" s="222">
        <f t="shared" si="12"/>
        <v>32500</v>
      </c>
      <c r="K38" s="222">
        <f t="shared" si="12"/>
        <v>32500</v>
      </c>
      <c r="L38" s="222">
        <f t="shared" si="12"/>
        <v>32500</v>
      </c>
      <c r="M38" s="222">
        <f t="shared" si="12"/>
        <v>32500</v>
      </c>
      <c r="N38" s="222">
        <f t="shared" si="12"/>
        <v>32500</v>
      </c>
      <c r="O38" s="222">
        <f t="shared" si="12"/>
        <v>32500</v>
      </c>
      <c r="P38" s="222">
        <f t="shared" si="12"/>
        <v>32500</v>
      </c>
      <c r="Q38" s="222">
        <f t="shared" si="12"/>
        <v>32500</v>
      </c>
      <c r="R38" s="222">
        <f t="shared" si="12"/>
        <v>32500</v>
      </c>
      <c r="S38" s="222">
        <f t="shared" si="12"/>
        <v>32500</v>
      </c>
      <c r="T38" s="222">
        <f t="shared" si="12"/>
        <v>32500</v>
      </c>
      <c r="U38" s="222">
        <f t="shared" si="12"/>
        <v>32500</v>
      </c>
      <c r="V38" s="222">
        <f t="shared" si="12"/>
        <v>32500</v>
      </c>
      <c r="W38" s="222">
        <f t="shared" si="12"/>
        <v>32500</v>
      </c>
      <c r="X38" s="222">
        <f t="shared" si="12"/>
        <v>32500</v>
      </c>
      <c r="Y38" s="222">
        <f t="shared" si="12"/>
        <v>32500</v>
      </c>
      <c r="Z38" s="222">
        <f t="shared" si="12"/>
        <v>32500</v>
      </c>
    </row>
    <row r="39" spans="2:26" x14ac:dyDescent="0.3">
      <c r="C39" s="192"/>
      <c r="D39" s="203"/>
      <c r="E39" s="227"/>
      <c r="G39" s="221"/>
      <c r="H39" s="221"/>
      <c r="I39" s="221"/>
      <c r="J39" s="221"/>
      <c r="K39" s="221"/>
      <c r="L39" s="221"/>
      <c r="M39" s="221"/>
      <c r="N39" s="221"/>
      <c r="O39" s="221"/>
      <c r="P39" s="221"/>
      <c r="Q39" s="221"/>
      <c r="R39" s="221"/>
      <c r="S39" s="221"/>
      <c r="T39" s="221"/>
      <c r="U39" s="221"/>
      <c r="V39" s="221"/>
      <c r="W39" s="221"/>
      <c r="X39" s="221"/>
      <c r="Y39" s="221"/>
      <c r="Z39" s="221"/>
    </row>
    <row r="40" spans="2:26" ht="14.5" thickBot="1" x14ac:dyDescent="0.35">
      <c r="B40" s="202" t="s">
        <v>205</v>
      </c>
      <c r="C40" s="254">
        <f>INDEX(ExistingStoreTable,MATCH($B40,ExistingStoreRow,0),MATCH($C$5,ExistingStoreColumn,0))/4</f>
        <v>166091.82399999996</v>
      </c>
      <c r="D40" s="206">
        <f t="shared" si="2"/>
        <v>0.29507815958811379</v>
      </c>
      <c r="E40" s="227"/>
      <c r="G40" s="224">
        <f>G10-G23-G27-G34-G38</f>
        <v>167523.64790000001</v>
      </c>
      <c r="H40" s="224">
        <f t="shared" ref="H40:Z40" si="13">H10-H23-H27-H34-H38</f>
        <v>168964.42069937504</v>
      </c>
      <c r="I40" s="224">
        <f t="shared" si="13"/>
        <v>170414.1983287461</v>
      </c>
      <c r="J40" s="224">
        <f t="shared" si="13"/>
        <v>171873.03706830076</v>
      </c>
      <c r="K40" s="224">
        <f t="shared" si="13"/>
        <v>173340.99354997769</v>
      </c>
      <c r="L40" s="224">
        <f t="shared" si="13"/>
        <v>174818.12475966505</v>
      </c>
      <c r="M40" s="224">
        <f t="shared" si="13"/>
        <v>176304.488039413</v>
      </c>
      <c r="N40" s="224">
        <f t="shared" si="13"/>
        <v>177800.14108965936</v>
      </c>
      <c r="O40" s="224">
        <f t="shared" si="13"/>
        <v>179305.14197146974</v>
      </c>
      <c r="P40" s="224">
        <f t="shared" si="13"/>
        <v>180819.5491087914</v>
      </c>
      <c r="Q40" s="224">
        <f t="shared" si="13"/>
        <v>182343.42129072134</v>
      </c>
      <c r="R40" s="224">
        <f t="shared" si="13"/>
        <v>183876.81767378846</v>
      </c>
      <c r="S40" s="224">
        <f t="shared" si="13"/>
        <v>185419.79778424965</v>
      </c>
      <c r="T40" s="224">
        <f t="shared" si="13"/>
        <v>186972.42152040132</v>
      </c>
      <c r="U40" s="224">
        <f t="shared" si="13"/>
        <v>188534.74915490387</v>
      </c>
      <c r="V40" s="224">
        <f t="shared" si="13"/>
        <v>190106.84133712196</v>
      </c>
      <c r="W40" s="224">
        <f t="shared" si="13"/>
        <v>191688.75909547906</v>
      </c>
      <c r="X40" s="224">
        <f t="shared" si="13"/>
        <v>193280.5638398258</v>
      </c>
      <c r="Y40" s="224">
        <f t="shared" si="13"/>
        <v>194882.31736382475</v>
      </c>
      <c r="Z40" s="224">
        <f t="shared" si="13"/>
        <v>196494.08184734866</v>
      </c>
    </row>
    <row r="41" spans="2:26" ht="14.5" thickTop="1" x14ac:dyDescent="0.3"/>
  </sheetData>
  <dataValidations count="1">
    <dataValidation type="list" allowBlank="1" showInputMessage="1" showErrorMessage="1" sqref="C5">
      <formula1>StoreList</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workbookViewId="0"/>
  </sheetViews>
  <sheetFormatPr defaultRowHeight="14.5" x14ac:dyDescent="0.3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L52"/>
  <sheetViews>
    <sheetView zoomScaleNormal="100" workbookViewId="0">
      <selection activeCell="H59" sqref="H59"/>
    </sheetView>
  </sheetViews>
  <sheetFormatPr defaultRowHeight="14" x14ac:dyDescent="0.3"/>
  <cols>
    <col min="1" max="1" width="8.7265625" style="163"/>
    <col min="2" max="2" width="40.90625" style="163" bestFit="1" customWidth="1"/>
    <col min="3" max="3" width="12.6328125" style="163" bestFit="1" customWidth="1"/>
    <col min="4" max="8" width="11.90625" style="163" bestFit="1" customWidth="1"/>
    <col min="9" max="9" width="13.08984375" style="163" customWidth="1"/>
    <col min="10" max="16384" width="8.7265625" style="163"/>
  </cols>
  <sheetData>
    <row r="2" spans="2:12" x14ac:dyDescent="0.3">
      <c r="B2" s="165" t="s">
        <v>194</v>
      </c>
    </row>
    <row r="3" spans="2:12" x14ac:dyDescent="0.3">
      <c r="B3" s="163" t="s">
        <v>195</v>
      </c>
    </row>
    <row r="4" spans="2:12" x14ac:dyDescent="0.3">
      <c r="B4" s="163" t="s">
        <v>197</v>
      </c>
      <c r="C4" s="191" t="str">
        <f>"Scenario #"&amp;Inputs!C3</f>
        <v>Scenario #2</v>
      </c>
      <c r="D4" s="230"/>
      <c r="E4" s="230"/>
    </row>
    <row r="8" spans="2:12" x14ac:dyDescent="0.3">
      <c r="B8" s="162" t="s">
        <v>192</v>
      </c>
      <c r="C8" s="162"/>
      <c r="D8" s="249"/>
      <c r="E8" s="249"/>
      <c r="F8" s="249"/>
      <c r="G8" s="249"/>
      <c r="H8" s="249"/>
      <c r="I8" s="162"/>
      <c r="J8" s="187"/>
      <c r="K8" s="187"/>
      <c r="L8" s="187"/>
    </row>
    <row r="9" spans="2:12" x14ac:dyDescent="0.3">
      <c r="C9" s="164" t="s">
        <v>45</v>
      </c>
      <c r="D9" s="186" t="str">
        <f>Inputs!B10</f>
        <v>Store#1</v>
      </c>
      <c r="E9" s="186" t="str">
        <f>Inputs!B11</f>
        <v>Store#2</v>
      </c>
      <c r="F9" s="186" t="str">
        <f>Inputs!B12</f>
        <v>Store#3</v>
      </c>
      <c r="G9" s="186" t="str">
        <f>Inputs!B13</f>
        <v>Store#4</v>
      </c>
      <c r="H9" s="186" t="str">
        <f>Inputs!B14</f>
        <v>Store#5</v>
      </c>
      <c r="I9" s="186" t="s">
        <v>36</v>
      </c>
    </row>
    <row r="10" spans="2:12" x14ac:dyDescent="0.3">
      <c r="B10" s="163" t="str">
        <f>Inputs!B27</f>
        <v>Revenue/Wk</v>
      </c>
      <c r="D10" s="232">
        <f>VLOOKUP(D$9,Inputs!$B$10:$C$14,2,FALSE)</f>
        <v>22100</v>
      </c>
      <c r="E10" s="232">
        <f>VLOOKUP(E$9,Inputs!$B$10:$C$14,2,FALSE)</f>
        <v>33700</v>
      </c>
      <c r="F10" s="232">
        <f>VLOOKUP(F$9,Inputs!$B$10:$C$14,2,FALSE)</f>
        <v>47100</v>
      </c>
      <c r="G10" s="232">
        <f>VLOOKUP(G$9,Inputs!$B$10:$C$14,2,FALSE)</f>
        <v>67920</v>
      </c>
      <c r="H10" s="232">
        <f>VLOOKUP(H$9,Inputs!$B$10:$C$14,2,FALSE)</f>
        <v>43298</v>
      </c>
      <c r="I10" s="168"/>
    </row>
    <row r="11" spans="2:12" x14ac:dyDescent="0.3">
      <c r="B11" s="165" t="str">
        <f>Inputs!B28</f>
        <v>Revenue</v>
      </c>
      <c r="C11" s="165"/>
      <c r="D11" s="252">
        <f>D10*52</f>
        <v>1149200</v>
      </c>
      <c r="E11" s="252">
        <f t="shared" ref="E11:H11" si="0">E10*52</f>
        <v>1752400</v>
      </c>
      <c r="F11" s="252">
        <f t="shared" si="0"/>
        <v>2449200</v>
      </c>
      <c r="G11" s="252">
        <f t="shared" si="0"/>
        <v>3531840</v>
      </c>
      <c r="H11" s="252">
        <f t="shared" si="0"/>
        <v>2251496</v>
      </c>
      <c r="I11" s="231">
        <f>SUM(D11:H11)</f>
        <v>11134136</v>
      </c>
    </row>
    <row r="12" spans="2:12" x14ac:dyDescent="0.3">
      <c r="D12" s="168"/>
      <c r="E12" s="168"/>
      <c r="F12" s="168"/>
      <c r="G12" s="168"/>
      <c r="H12" s="168"/>
      <c r="I12" s="168"/>
    </row>
    <row r="13" spans="2:12" x14ac:dyDescent="0.3">
      <c r="B13" s="163" t="str">
        <f>Inputs!B39</f>
        <v>GM Salary</v>
      </c>
      <c r="C13" s="192">
        <f>INDEX(StoreExpenseTable,MATCH($B13,StoreExpenseRow,0),MATCH($C$4, StoreExpenseColumn,0))</f>
        <v>80000</v>
      </c>
      <c r="D13" s="240">
        <f t="shared" ref="D13:H13" si="1">$C13</f>
        <v>80000</v>
      </c>
      <c r="E13" s="240">
        <f t="shared" si="1"/>
        <v>80000</v>
      </c>
      <c r="F13" s="240">
        <f t="shared" si="1"/>
        <v>80000</v>
      </c>
      <c r="G13" s="240">
        <f t="shared" si="1"/>
        <v>80000</v>
      </c>
      <c r="H13" s="240">
        <f t="shared" si="1"/>
        <v>80000</v>
      </c>
      <c r="I13" s="240">
        <f>SUM(D13:H13)</f>
        <v>400000</v>
      </c>
    </row>
    <row r="14" spans="2:12" x14ac:dyDescent="0.3">
      <c r="B14" s="163" t="str">
        <f>Inputs!B40</f>
        <v>GM Bonus (based on % salary)</v>
      </c>
      <c r="C14" s="193">
        <f>INDEX(StoreExpenseTable,MATCH($B14,StoreExpenseRow,0),MATCH($C$4, StoreExpenseColumn,0))</f>
        <v>0.1</v>
      </c>
      <c r="D14" s="240">
        <f t="shared" ref="D14:H14" si="2">D$13*$C$14</f>
        <v>8000</v>
      </c>
      <c r="E14" s="240">
        <f t="shared" si="2"/>
        <v>8000</v>
      </c>
      <c r="F14" s="240">
        <f t="shared" si="2"/>
        <v>8000</v>
      </c>
      <c r="G14" s="240">
        <f t="shared" si="2"/>
        <v>8000</v>
      </c>
      <c r="H14" s="240">
        <f t="shared" si="2"/>
        <v>8000</v>
      </c>
      <c r="I14" s="240">
        <f>SUM(D14:H14)</f>
        <v>40000</v>
      </c>
    </row>
    <row r="15" spans="2:12" x14ac:dyDescent="0.3">
      <c r="B15" s="170" t="str">
        <f>Inputs!B41</f>
        <v>GM Wages + Bonus</v>
      </c>
      <c r="C15" s="194">
        <f>INDEX(StoreExpenseTable,MATCH($B15,StoreExpenseRow,0),MATCH($C$4, StoreExpenseColumn,0))</f>
        <v>88000</v>
      </c>
      <c r="D15" s="241">
        <f t="shared" ref="D15:H15" si="3">SUM(D13:D14)</f>
        <v>88000</v>
      </c>
      <c r="E15" s="241">
        <f t="shared" si="3"/>
        <v>88000</v>
      </c>
      <c r="F15" s="241">
        <f t="shared" si="3"/>
        <v>88000</v>
      </c>
      <c r="G15" s="241">
        <f t="shared" si="3"/>
        <v>88000</v>
      </c>
      <c r="H15" s="241">
        <f t="shared" si="3"/>
        <v>88000</v>
      </c>
      <c r="I15" s="241">
        <f>SUM(D15:H15)</f>
        <v>440000</v>
      </c>
    </row>
    <row r="16" spans="2:12" x14ac:dyDescent="0.3">
      <c r="C16" s="192"/>
      <c r="D16" s="242"/>
      <c r="E16" s="242"/>
      <c r="F16" s="240"/>
      <c r="G16" s="240"/>
      <c r="H16" s="240"/>
      <c r="I16" s="240"/>
    </row>
    <row r="17" spans="2:9" x14ac:dyDescent="0.3">
      <c r="B17" s="163" t="str">
        <f>Inputs!B42</f>
        <v># Hours/Wk</v>
      </c>
      <c r="C17" s="195">
        <f>INDEX(StoreExpenseTable,MATCH($B17,StoreExpenseRow,0),MATCH($C$4, StoreExpenseColumn,0))</f>
        <v>640</v>
      </c>
      <c r="D17" s="233"/>
      <c r="E17" s="233"/>
      <c r="F17" s="240"/>
      <c r="G17" s="240"/>
      <c r="H17" s="240"/>
      <c r="I17" s="240"/>
    </row>
    <row r="18" spans="2:9" x14ac:dyDescent="0.3">
      <c r="B18" s="163" t="s">
        <v>198</v>
      </c>
      <c r="C18" s="196">
        <f>C17*52</f>
        <v>33280</v>
      </c>
      <c r="D18" s="233"/>
      <c r="E18" s="233"/>
      <c r="F18" s="240"/>
      <c r="G18" s="240"/>
      <c r="H18" s="240"/>
      <c r="I18" s="240"/>
    </row>
    <row r="19" spans="2:9" x14ac:dyDescent="0.3">
      <c r="C19" s="195"/>
      <c r="D19" s="233"/>
      <c r="E19" s="233"/>
      <c r="F19" s="240"/>
      <c r="G19" s="240"/>
      <c r="H19" s="240"/>
      <c r="I19" s="240"/>
    </row>
    <row r="20" spans="2:9" x14ac:dyDescent="0.3">
      <c r="B20" s="163" t="str">
        <f>Inputs!B43</f>
        <v>Avg. Wage</v>
      </c>
      <c r="C20" s="192">
        <f>INDEX(StoreExpenseTable,MATCH($B20,StoreExpenseRow,0),MATCH($C$4, StoreExpenseColumn,0))</f>
        <v>12.2</v>
      </c>
      <c r="D20" s="242"/>
      <c r="E20" s="242"/>
      <c r="F20" s="240"/>
      <c r="G20" s="240"/>
      <c r="H20" s="240"/>
      <c r="I20" s="240"/>
    </row>
    <row r="21" spans="2:9" x14ac:dyDescent="0.3">
      <c r="C21" s="192"/>
      <c r="D21" s="242"/>
      <c r="E21" s="242"/>
      <c r="F21" s="240"/>
      <c r="G21" s="240"/>
      <c r="H21" s="240"/>
      <c r="I21" s="240"/>
    </row>
    <row r="22" spans="2:9" x14ac:dyDescent="0.3">
      <c r="B22" s="170" t="s">
        <v>69</v>
      </c>
      <c r="C22" s="194"/>
      <c r="D22" s="243">
        <f>$C$18*$C$20</f>
        <v>406016</v>
      </c>
      <c r="E22" s="243">
        <f>$C$18*$C$20</f>
        <v>406016</v>
      </c>
      <c r="F22" s="243">
        <f>$C$18*$C$20</f>
        <v>406016</v>
      </c>
      <c r="G22" s="243">
        <f>$C$18*$C$20</f>
        <v>406016</v>
      </c>
      <c r="H22" s="243">
        <f>$C$18*$C$20</f>
        <v>406016</v>
      </c>
      <c r="I22" s="243">
        <f>SUM(D22:H22)</f>
        <v>2030080</v>
      </c>
    </row>
    <row r="23" spans="2:9" x14ac:dyDescent="0.3">
      <c r="C23" s="195"/>
      <c r="D23" s="233"/>
      <c r="E23" s="233"/>
      <c r="F23" s="240"/>
      <c r="G23" s="240"/>
      <c r="H23" s="240"/>
      <c r="I23" s="240"/>
    </row>
    <row r="24" spans="2:9" x14ac:dyDescent="0.3">
      <c r="B24" s="170" t="s">
        <v>199</v>
      </c>
      <c r="C24" s="197"/>
      <c r="D24" s="241">
        <f t="shared" ref="D24:H24" si="4">D22+D15</f>
        <v>494016</v>
      </c>
      <c r="E24" s="241">
        <f t="shared" si="4"/>
        <v>494016</v>
      </c>
      <c r="F24" s="241">
        <f t="shared" si="4"/>
        <v>494016</v>
      </c>
      <c r="G24" s="241">
        <f t="shared" si="4"/>
        <v>494016</v>
      </c>
      <c r="H24" s="241">
        <f t="shared" si="4"/>
        <v>494016</v>
      </c>
      <c r="I24" s="241">
        <f>SUM(D24:H24)</f>
        <v>2470080</v>
      </c>
    </row>
    <row r="25" spans="2:9" x14ac:dyDescent="0.3">
      <c r="D25" s="240"/>
      <c r="E25" s="240"/>
      <c r="F25" s="240"/>
      <c r="G25" s="240"/>
      <c r="H25" s="240"/>
      <c r="I25" s="240"/>
    </row>
    <row r="26" spans="2:9" x14ac:dyDescent="0.3">
      <c r="B26" s="163" t="str">
        <f>Inputs!B44</f>
        <v>Payroll taxes (% of total comp)</v>
      </c>
      <c r="C26" s="193">
        <f t="shared" ref="C26:C31" si="5">INDEX(StoreExpenseTable,MATCH($B26,StoreExpenseRow,0),MATCH($C$4, StoreExpenseColumn,0))</f>
        <v>7.6999999999999999E-2</v>
      </c>
      <c r="D26" s="240">
        <f t="shared" ref="D26:G26" si="6">$C26*(D$24)</f>
        <v>38039.231999999996</v>
      </c>
      <c r="E26" s="240">
        <f t="shared" si="6"/>
        <v>38039.231999999996</v>
      </c>
      <c r="F26" s="240">
        <f t="shared" si="6"/>
        <v>38039.231999999996</v>
      </c>
      <c r="G26" s="240">
        <f t="shared" si="6"/>
        <v>38039.231999999996</v>
      </c>
      <c r="H26" s="240">
        <f>$C26*(H$24)</f>
        <v>38039.231999999996</v>
      </c>
      <c r="I26" s="240">
        <f t="shared" ref="I26:I32" si="7">SUM(D26:H26)</f>
        <v>190196.15999999997</v>
      </c>
    </row>
    <row r="27" spans="2:9" x14ac:dyDescent="0.3">
      <c r="B27" s="163" t="str">
        <f>Inputs!B45</f>
        <v>Healthcare benefits (% of total comp)</v>
      </c>
      <c r="C27" s="192">
        <f t="shared" si="5"/>
        <v>23000</v>
      </c>
      <c r="D27" s="240">
        <f t="shared" ref="D27:H27" si="8">$C$27</f>
        <v>23000</v>
      </c>
      <c r="E27" s="240">
        <f t="shared" si="8"/>
        <v>23000</v>
      </c>
      <c r="F27" s="240">
        <f t="shared" si="8"/>
        <v>23000</v>
      </c>
      <c r="G27" s="240">
        <f t="shared" si="8"/>
        <v>23000</v>
      </c>
      <c r="H27" s="240">
        <f t="shared" si="8"/>
        <v>23000</v>
      </c>
      <c r="I27" s="240">
        <f t="shared" si="7"/>
        <v>115000</v>
      </c>
    </row>
    <row r="28" spans="2:9" x14ac:dyDescent="0.3">
      <c r="B28" s="163" t="str">
        <f>Inputs!B46</f>
        <v>Continuing education (% of total comp)</v>
      </c>
      <c r="C28" s="193">
        <f t="shared" si="5"/>
        <v>2.2499999999999999E-2</v>
      </c>
      <c r="D28" s="244">
        <f t="shared" ref="D28:H31" si="9">$C28*(D$24)</f>
        <v>11115.359999999999</v>
      </c>
      <c r="E28" s="244">
        <f t="shared" si="9"/>
        <v>11115.359999999999</v>
      </c>
      <c r="F28" s="244">
        <f t="shared" si="9"/>
        <v>11115.359999999999</v>
      </c>
      <c r="G28" s="244">
        <f t="shared" si="9"/>
        <v>11115.359999999999</v>
      </c>
      <c r="H28" s="244">
        <f>$C28*(H$24)</f>
        <v>11115.359999999999</v>
      </c>
      <c r="I28" s="240">
        <f t="shared" si="7"/>
        <v>55576.799999999996</v>
      </c>
    </row>
    <row r="29" spans="2:9" x14ac:dyDescent="0.3">
      <c r="B29" s="163" t="str">
        <f>Inputs!B47</f>
        <v>Insurance - Worker's Comp (% of total comp)</v>
      </c>
      <c r="C29" s="193">
        <f t="shared" si="5"/>
        <v>2.2499999999999999E-2</v>
      </c>
      <c r="D29" s="244">
        <f t="shared" si="9"/>
        <v>11115.359999999999</v>
      </c>
      <c r="E29" s="244">
        <f t="shared" si="9"/>
        <v>11115.359999999999</v>
      </c>
      <c r="F29" s="244">
        <f t="shared" si="9"/>
        <v>11115.359999999999</v>
      </c>
      <c r="G29" s="244">
        <f t="shared" si="9"/>
        <v>11115.359999999999</v>
      </c>
      <c r="H29" s="244">
        <f t="shared" si="9"/>
        <v>11115.359999999999</v>
      </c>
      <c r="I29" s="240">
        <f t="shared" si="7"/>
        <v>55576.799999999996</v>
      </c>
    </row>
    <row r="30" spans="2:9" x14ac:dyDescent="0.3">
      <c r="B30" s="163" t="str">
        <f>Inputs!B48</f>
        <v>Insurance - Gen Liability (% of total comp)</v>
      </c>
      <c r="C30" s="193">
        <f t="shared" si="5"/>
        <v>2.2499999999999999E-2</v>
      </c>
      <c r="D30" s="244">
        <f t="shared" si="9"/>
        <v>11115.359999999999</v>
      </c>
      <c r="E30" s="244">
        <f t="shared" si="9"/>
        <v>11115.359999999999</v>
      </c>
      <c r="F30" s="244">
        <f t="shared" si="9"/>
        <v>11115.359999999999</v>
      </c>
      <c r="G30" s="244">
        <f t="shared" si="9"/>
        <v>11115.359999999999</v>
      </c>
      <c r="H30" s="244">
        <f t="shared" si="9"/>
        <v>11115.359999999999</v>
      </c>
      <c r="I30" s="240">
        <f t="shared" si="7"/>
        <v>55576.799999999996</v>
      </c>
    </row>
    <row r="31" spans="2:9" x14ac:dyDescent="0.3">
      <c r="B31" s="163" t="str">
        <f>Inputs!B49</f>
        <v>401-K (% of total comp)</v>
      </c>
      <c r="C31" s="193">
        <f t="shared" si="5"/>
        <v>4.4999999999999998E-2</v>
      </c>
      <c r="D31" s="244">
        <f t="shared" si="9"/>
        <v>22230.719999999998</v>
      </c>
      <c r="E31" s="244">
        <f t="shared" si="9"/>
        <v>22230.719999999998</v>
      </c>
      <c r="F31" s="244">
        <f t="shared" si="9"/>
        <v>22230.719999999998</v>
      </c>
      <c r="G31" s="244">
        <f t="shared" si="9"/>
        <v>22230.719999999998</v>
      </c>
      <c r="H31" s="244">
        <f>$C31*(H$24)</f>
        <v>22230.719999999998</v>
      </c>
      <c r="I31" s="240">
        <f t="shared" si="7"/>
        <v>111153.59999999999</v>
      </c>
    </row>
    <row r="32" spans="2:9" x14ac:dyDescent="0.3">
      <c r="B32" s="170" t="s">
        <v>200</v>
      </c>
      <c r="C32" s="198"/>
      <c r="D32" s="241">
        <f t="shared" ref="D32:H32" si="10">SUM(D26:D31)</f>
        <v>116616.03199999999</v>
      </c>
      <c r="E32" s="241">
        <f t="shared" si="10"/>
        <v>116616.03199999999</v>
      </c>
      <c r="F32" s="241">
        <f t="shared" si="10"/>
        <v>116616.03199999999</v>
      </c>
      <c r="G32" s="241">
        <f t="shared" si="10"/>
        <v>116616.03199999999</v>
      </c>
      <c r="H32" s="241">
        <f t="shared" si="10"/>
        <v>116616.03199999999</v>
      </c>
      <c r="I32" s="241">
        <f t="shared" si="7"/>
        <v>583080.15999999992</v>
      </c>
    </row>
    <row r="33" spans="2:9" x14ac:dyDescent="0.3">
      <c r="C33" s="193"/>
      <c r="D33" s="245"/>
      <c r="E33" s="245"/>
      <c r="F33" s="240"/>
      <c r="G33" s="240"/>
      <c r="H33" s="240"/>
      <c r="I33" s="240"/>
    </row>
    <row r="34" spans="2:9" x14ac:dyDescent="0.3">
      <c r="B34" s="199" t="s">
        <v>201</v>
      </c>
      <c r="C34" s="198"/>
      <c r="D34" s="247">
        <f>D32+D24</f>
        <v>610632.03200000001</v>
      </c>
      <c r="E34" s="247">
        <f t="shared" ref="E34:H34" si="11">E32+E24</f>
        <v>610632.03200000001</v>
      </c>
      <c r="F34" s="247">
        <f t="shared" si="11"/>
        <v>610632.03200000001</v>
      </c>
      <c r="G34" s="247">
        <f t="shared" si="11"/>
        <v>610632.03200000001</v>
      </c>
      <c r="H34" s="247">
        <f t="shared" si="11"/>
        <v>610632.03200000001</v>
      </c>
      <c r="I34" s="246">
        <f>SUM(D34:H34)</f>
        <v>3053160.16</v>
      </c>
    </row>
    <row r="35" spans="2:9" x14ac:dyDescent="0.3">
      <c r="C35" s="193"/>
      <c r="D35" s="245"/>
      <c r="E35" s="245"/>
      <c r="F35" s="240"/>
      <c r="G35" s="240"/>
      <c r="H35" s="240"/>
      <c r="I35" s="240"/>
    </row>
    <row r="36" spans="2:9" x14ac:dyDescent="0.3">
      <c r="B36" s="163" t="str">
        <f>Inputs!B50</f>
        <v>Food Costs</v>
      </c>
      <c r="C36" s="193">
        <f>INDEX(StoreExpenseTable,MATCH($B36,StoreExpenseRow,0),MATCH($C$4, StoreExpenseColumn,0))</f>
        <v>0.26</v>
      </c>
      <c r="D36" s="245">
        <f t="shared" ref="D36:G37" si="12">$C36*D$11</f>
        <v>298792</v>
      </c>
      <c r="E36" s="245">
        <f t="shared" si="12"/>
        <v>455624</v>
      </c>
      <c r="F36" s="245">
        <f t="shared" si="12"/>
        <v>636792</v>
      </c>
      <c r="G36" s="245">
        <f t="shared" si="12"/>
        <v>918278.4</v>
      </c>
      <c r="H36" s="245">
        <f>$C36*H$11</f>
        <v>585388.96</v>
      </c>
      <c r="I36" s="240">
        <f t="shared" ref="I36:I38" si="13">SUM(D36:H36)</f>
        <v>2894875.36</v>
      </c>
    </row>
    <row r="37" spans="2:9" x14ac:dyDescent="0.3">
      <c r="B37" s="163" t="str">
        <f>Inputs!B51</f>
        <v>Paper Costs</v>
      </c>
      <c r="C37" s="193">
        <f>INDEX(StoreExpenseTable,MATCH($B37,StoreExpenseRow,0),MATCH($C$4, StoreExpenseColumn,0))</f>
        <v>0.03</v>
      </c>
      <c r="D37" s="245">
        <f t="shared" si="12"/>
        <v>34476</v>
      </c>
      <c r="E37" s="245">
        <f t="shared" si="12"/>
        <v>52572</v>
      </c>
      <c r="F37" s="245">
        <f t="shared" si="12"/>
        <v>73476</v>
      </c>
      <c r="G37" s="245">
        <f t="shared" si="12"/>
        <v>105955.2</v>
      </c>
      <c r="H37" s="245">
        <f>$C37*H$11</f>
        <v>67544.88</v>
      </c>
      <c r="I37" s="240">
        <f t="shared" si="13"/>
        <v>334024.08</v>
      </c>
    </row>
    <row r="38" spans="2:9" x14ac:dyDescent="0.3">
      <c r="B38" s="199" t="s">
        <v>202</v>
      </c>
      <c r="C38" s="236"/>
      <c r="D38" s="247">
        <f>SUM(D36:D37)</f>
        <v>333268</v>
      </c>
      <c r="E38" s="247">
        <f t="shared" ref="E38:H38" si="14">SUM(E36:E37)</f>
        <v>508196</v>
      </c>
      <c r="F38" s="247">
        <f t="shared" si="14"/>
        <v>710268</v>
      </c>
      <c r="G38" s="247">
        <f t="shared" si="14"/>
        <v>1024233.6</v>
      </c>
      <c r="H38" s="247">
        <f t="shared" si="14"/>
        <v>652933.84</v>
      </c>
      <c r="I38" s="246">
        <f t="shared" si="13"/>
        <v>3228899.44</v>
      </c>
    </row>
    <row r="39" spans="2:9" x14ac:dyDescent="0.3">
      <c r="C39" s="193"/>
      <c r="D39" s="245"/>
      <c r="E39" s="245"/>
      <c r="F39" s="240"/>
      <c r="G39" s="240"/>
      <c r="H39" s="240"/>
      <c r="I39" s="240"/>
    </row>
    <row r="40" spans="2:9" x14ac:dyDescent="0.3">
      <c r="B40" s="163" t="str">
        <f>Inputs!B52</f>
        <v>Marketing Expense</v>
      </c>
      <c r="C40" s="193">
        <f>INDEX(StoreExpenseTable,MATCH($B40,StoreExpenseRow,0),MATCH($C$4, StoreExpenseColumn,0))</f>
        <v>1.4999999999999999E-2</v>
      </c>
      <c r="D40" s="245">
        <f>$C40*D$11</f>
        <v>17238</v>
      </c>
      <c r="E40" s="245">
        <f t="shared" ref="E40:H42" si="15">$C40*E$11</f>
        <v>26286</v>
      </c>
      <c r="F40" s="245">
        <f t="shared" si="15"/>
        <v>36738</v>
      </c>
      <c r="G40" s="245">
        <f t="shared" si="15"/>
        <v>52977.599999999999</v>
      </c>
      <c r="H40" s="245">
        <f t="shared" si="15"/>
        <v>33772.44</v>
      </c>
      <c r="I40" s="240">
        <f t="shared" ref="I40:I45" si="16">SUM(D40:H40)</f>
        <v>167012.04</v>
      </c>
    </row>
    <row r="41" spans="2:9" x14ac:dyDescent="0.3">
      <c r="B41" s="163" t="str">
        <f>Inputs!B53</f>
        <v>Supplies</v>
      </c>
      <c r="C41" s="193">
        <f>INDEX(StoreExpenseTable,MATCH($B41,StoreExpenseRow,0),MATCH($C$4, StoreExpenseColumn,0))</f>
        <v>0.02</v>
      </c>
      <c r="D41" s="245">
        <f t="shared" ref="D41:D42" si="17">$C41*D$11</f>
        <v>22984</v>
      </c>
      <c r="E41" s="245">
        <f t="shared" si="15"/>
        <v>35048</v>
      </c>
      <c r="F41" s="245">
        <f t="shared" si="15"/>
        <v>48984</v>
      </c>
      <c r="G41" s="245">
        <f t="shared" si="15"/>
        <v>70636.800000000003</v>
      </c>
      <c r="H41" s="245">
        <f t="shared" si="15"/>
        <v>45029.919999999998</v>
      </c>
      <c r="I41" s="240">
        <f t="shared" si="16"/>
        <v>222682.71999999997</v>
      </c>
    </row>
    <row r="42" spans="2:9" x14ac:dyDescent="0.3">
      <c r="B42" s="163" t="str">
        <f>Inputs!B54</f>
        <v>Repair &amp; Maintenance</v>
      </c>
      <c r="C42" s="193">
        <f>INDEX(StoreExpenseTable,MATCH($B42,StoreExpenseRow,0),MATCH($C$4, StoreExpenseColumn,0))</f>
        <v>7.0000000000000001E-3</v>
      </c>
      <c r="D42" s="245">
        <f t="shared" si="17"/>
        <v>8044.4000000000005</v>
      </c>
      <c r="E42" s="245">
        <f t="shared" si="15"/>
        <v>12266.800000000001</v>
      </c>
      <c r="F42" s="245">
        <f t="shared" si="15"/>
        <v>17144.400000000001</v>
      </c>
      <c r="G42" s="245">
        <f t="shared" si="15"/>
        <v>24722.880000000001</v>
      </c>
      <c r="H42" s="245">
        <f t="shared" si="15"/>
        <v>15760.472</v>
      </c>
      <c r="I42" s="240">
        <f t="shared" si="16"/>
        <v>77938.952000000005</v>
      </c>
    </row>
    <row r="43" spans="2:9" x14ac:dyDescent="0.3">
      <c r="B43" s="163" t="str">
        <f>Inputs!B55</f>
        <v>Point of Sale Expenses</v>
      </c>
      <c r="C43" s="192">
        <f>INDEX(StoreExpenseTable,MATCH($B43,StoreExpenseRow,0),MATCH($C$4, StoreExpenseColumn,0))</f>
        <v>16000</v>
      </c>
      <c r="D43" s="242">
        <f>$C$43</f>
        <v>16000</v>
      </c>
      <c r="E43" s="242">
        <f t="shared" ref="E43:H43" si="18">$C$43</f>
        <v>16000</v>
      </c>
      <c r="F43" s="242">
        <f t="shared" si="18"/>
        <v>16000</v>
      </c>
      <c r="G43" s="242">
        <f t="shared" si="18"/>
        <v>16000</v>
      </c>
      <c r="H43" s="242">
        <f t="shared" si="18"/>
        <v>16000</v>
      </c>
      <c r="I43" s="240">
        <f t="shared" si="16"/>
        <v>80000</v>
      </c>
    </row>
    <row r="44" spans="2:9" x14ac:dyDescent="0.3">
      <c r="B44" s="163" t="str">
        <f>Inputs!B56</f>
        <v>Utilities</v>
      </c>
      <c r="C44" s="192">
        <f>INDEX(StoreExpenseTable,MATCH($B44,StoreExpenseRow,0),MATCH($C$4, StoreExpenseColumn,0))</f>
        <v>83000</v>
      </c>
      <c r="D44" s="242">
        <f>$C$44</f>
        <v>83000</v>
      </c>
      <c r="E44" s="242">
        <f t="shared" ref="E44:H44" si="19">$C$44</f>
        <v>83000</v>
      </c>
      <c r="F44" s="242">
        <f t="shared" si="19"/>
        <v>83000</v>
      </c>
      <c r="G44" s="242">
        <f t="shared" si="19"/>
        <v>83000</v>
      </c>
      <c r="H44" s="242">
        <f t="shared" si="19"/>
        <v>83000</v>
      </c>
      <c r="I44" s="240">
        <f t="shared" si="16"/>
        <v>415000</v>
      </c>
    </row>
    <row r="45" spans="2:9" x14ac:dyDescent="0.3">
      <c r="B45" s="199" t="s">
        <v>203</v>
      </c>
      <c r="C45" s="226"/>
      <c r="D45" s="248">
        <f>SUM(D40:D44)</f>
        <v>147266.4</v>
      </c>
      <c r="E45" s="248">
        <f t="shared" ref="E45:H45" si="20">SUM(E40:E44)</f>
        <v>172600.8</v>
      </c>
      <c r="F45" s="248">
        <f t="shared" si="20"/>
        <v>201866.4</v>
      </c>
      <c r="G45" s="248">
        <f t="shared" si="20"/>
        <v>247337.28</v>
      </c>
      <c r="H45" s="248">
        <f t="shared" si="20"/>
        <v>193562.83199999999</v>
      </c>
      <c r="I45" s="246">
        <f t="shared" si="16"/>
        <v>962633.71200000006</v>
      </c>
    </row>
    <row r="46" spans="2:9" x14ac:dyDescent="0.3">
      <c r="C46" s="192"/>
      <c r="D46" s="242"/>
      <c r="E46" s="242"/>
      <c r="F46" s="240"/>
      <c r="G46" s="240"/>
      <c r="H46" s="240"/>
      <c r="I46" s="240"/>
    </row>
    <row r="47" spans="2:9" x14ac:dyDescent="0.3">
      <c r="B47" s="237" t="str">
        <f>Inputs!B57</f>
        <v>Rent</v>
      </c>
      <c r="C47" s="192">
        <f>INDEX(StoreExpenseTable,MATCH($B47,StoreExpenseRow,0),MATCH($C$4, StoreExpenseColumn,0))</f>
        <v>100000</v>
      </c>
      <c r="D47" s="242">
        <f>$C$47</f>
        <v>100000</v>
      </c>
      <c r="E47" s="242">
        <f t="shared" ref="E47:H47" si="21">$C$47</f>
        <v>100000</v>
      </c>
      <c r="F47" s="242">
        <f t="shared" si="21"/>
        <v>100000</v>
      </c>
      <c r="G47" s="242">
        <f t="shared" si="21"/>
        <v>100000</v>
      </c>
      <c r="H47" s="242">
        <f t="shared" si="21"/>
        <v>100000</v>
      </c>
      <c r="I47" s="240">
        <f t="shared" ref="I47:I49" si="22">SUM(D47:H47)</f>
        <v>500000</v>
      </c>
    </row>
    <row r="48" spans="2:9" x14ac:dyDescent="0.3">
      <c r="B48" s="237" t="str">
        <f>Inputs!B58</f>
        <v>Cams</v>
      </c>
      <c r="C48" s="192">
        <f>INDEX(StoreExpenseTable,MATCH($B48,StoreExpenseRow,0),MATCH($C$4, StoreExpenseColumn,0))</f>
        <v>30000</v>
      </c>
      <c r="D48" s="221">
        <f>INDEX(StoreExpenseTable,MATCH($B48,StoreExpenseRow,0),MATCH($C$4, StoreExpenseColumn,0))</f>
        <v>30000</v>
      </c>
      <c r="E48" s="221">
        <f>INDEX(StoreExpenseTable,MATCH($B48,StoreExpenseRow,0),MATCH($C$4, StoreExpenseColumn,0))</f>
        <v>30000</v>
      </c>
      <c r="F48" s="221">
        <f>INDEX(StoreExpenseTable,MATCH($B48,StoreExpenseRow,0),MATCH($C$4, StoreExpenseColumn,0))</f>
        <v>30000</v>
      </c>
      <c r="G48" s="221">
        <f>INDEX(StoreExpenseTable,MATCH($B48,StoreExpenseRow,0),MATCH($C$4, StoreExpenseColumn,0))</f>
        <v>30000</v>
      </c>
      <c r="H48" s="221">
        <f>INDEX(StoreExpenseTable,MATCH($B48,StoreExpenseRow,0),MATCH($C$4, StoreExpenseColumn,0))</f>
        <v>30000</v>
      </c>
      <c r="I48" s="240">
        <f t="shared" si="22"/>
        <v>150000</v>
      </c>
    </row>
    <row r="49" spans="2:9" x14ac:dyDescent="0.3">
      <c r="B49" s="238" t="s">
        <v>204</v>
      </c>
      <c r="C49" s="239"/>
      <c r="D49" s="234">
        <f>SUM(D47:D48)</f>
        <v>130000</v>
      </c>
      <c r="E49" s="234">
        <f t="shared" ref="E49:H49" si="23">SUM(E47:E48)</f>
        <v>130000</v>
      </c>
      <c r="F49" s="234">
        <f t="shared" si="23"/>
        <v>130000</v>
      </c>
      <c r="G49" s="234">
        <f t="shared" si="23"/>
        <v>130000</v>
      </c>
      <c r="H49" s="234">
        <f t="shared" si="23"/>
        <v>130000</v>
      </c>
      <c r="I49" s="234">
        <f t="shared" si="22"/>
        <v>650000</v>
      </c>
    </row>
    <row r="50" spans="2:9" x14ac:dyDescent="0.3">
      <c r="D50" s="168"/>
      <c r="E50" s="168"/>
      <c r="F50" s="168"/>
      <c r="G50" s="168"/>
      <c r="H50" s="168"/>
      <c r="I50" s="168"/>
    </row>
    <row r="51" spans="2:9" ht="14.5" thickBot="1" x14ac:dyDescent="0.35">
      <c r="B51" s="202" t="s">
        <v>205</v>
      </c>
      <c r="C51" s="202"/>
      <c r="D51" s="235">
        <f>D11-D34-D38-D45-D49</f>
        <v>-71966.432000000001</v>
      </c>
      <c r="E51" s="235">
        <f>E11-E34-E38-E45-E49</f>
        <v>330971.16799999989</v>
      </c>
      <c r="F51" s="235">
        <f>F11-F34-F38-F45-F49</f>
        <v>796433.56799999985</v>
      </c>
      <c r="G51" s="235">
        <f>G11-G34-G38-G45-G49</f>
        <v>1519637.0879999998</v>
      </c>
      <c r="H51" s="235">
        <f>H11-H34-H38-H45-H49</f>
        <v>664367.29599999986</v>
      </c>
      <c r="I51" s="235">
        <f>SUM(D51:H51)</f>
        <v>3239442.6879999992</v>
      </c>
    </row>
    <row r="52" spans="2:9" ht="14.5" thickTop="1" x14ac:dyDescent="0.3"/>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Z66"/>
  <sheetViews>
    <sheetView zoomScale="70" zoomScaleNormal="70" workbookViewId="0">
      <pane xSplit="4" topLeftCell="E1" activePane="topRight" state="frozen"/>
      <selection activeCell="A13" sqref="A13"/>
      <selection pane="topRight" activeCell="O36" sqref="O36"/>
    </sheetView>
  </sheetViews>
  <sheetFormatPr defaultRowHeight="14" x14ac:dyDescent="0.3"/>
  <cols>
    <col min="1" max="1" width="8.7265625" style="163"/>
    <col min="2" max="2" width="42.26953125" style="163" bestFit="1" customWidth="1"/>
    <col min="3" max="5" width="2.6328125" style="163" customWidth="1"/>
    <col min="6" max="6" width="13.81640625" style="163" bestFit="1" customWidth="1"/>
    <col min="7" max="7" width="10.90625" style="163" bestFit="1" customWidth="1"/>
    <col min="8" max="20" width="12.6328125" style="163" bestFit="1" customWidth="1"/>
    <col min="21" max="26" width="13.81640625" style="163" bestFit="1" customWidth="1"/>
    <col min="27" max="16384" width="8.7265625" style="163"/>
  </cols>
  <sheetData>
    <row r="1" spans="2:26" x14ac:dyDescent="0.3">
      <c r="G1" s="207">
        <v>1</v>
      </c>
      <c r="H1" s="207">
        <v>1</v>
      </c>
      <c r="I1" s="207">
        <v>1</v>
      </c>
      <c r="J1" s="207">
        <v>1</v>
      </c>
      <c r="K1" s="207">
        <f>J1+1</f>
        <v>2</v>
      </c>
      <c r="L1" s="207">
        <v>2</v>
      </c>
      <c r="M1" s="207">
        <v>2</v>
      </c>
      <c r="N1" s="207">
        <v>2</v>
      </c>
      <c r="O1" s="207">
        <f>N1+1</f>
        <v>3</v>
      </c>
      <c r="P1" s="207">
        <v>3</v>
      </c>
      <c r="Q1" s="207">
        <v>3</v>
      </c>
      <c r="R1" s="207">
        <v>3</v>
      </c>
      <c r="S1" s="207">
        <f>R1+1</f>
        <v>4</v>
      </c>
      <c r="T1" s="207">
        <v>4</v>
      </c>
      <c r="U1" s="207">
        <v>4</v>
      </c>
      <c r="V1" s="207">
        <v>4</v>
      </c>
      <c r="W1" s="207">
        <f>V1+1</f>
        <v>5</v>
      </c>
      <c r="X1" s="207">
        <v>5</v>
      </c>
      <c r="Y1" s="207">
        <v>5</v>
      </c>
      <c r="Z1" s="207">
        <v>5</v>
      </c>
    </row>
    <row r="2" spans="2:26" x14ac:dyDescent="0.3">
      <c r="F2" s="163" t="s">
        <v>215</v>
      </c>
      <c r="G2" s="207" t="str">
        <f>"Year "&amp;G1</f>
        <v>Year 1</v>
      </c>
      <c r="H2" s="207" t="str">
        <f t="shared" ref="H2:K2" si="0">"Year "&amp;H1</f>
        <v>Year 1</v>
      </c>
      <c r="I2" s="207" t="str">
        <f t="shared" si="0"/>
        <v>Year 1</v>
      </c>
      <c r="J2" s="207" t="str">
        <f t="shared" si="0"/>
        <v>Year 1</v>
      </c>
      <c r="K2" s="207" t="str">
        <f t="shared" si="0"/>
        <v>Year 2</v>
      </c>
      <c r="L2" s="207" t="str">
        <f t="shared" ref="L2" si="1">"Year "&amp;L1</f>
        <v>Year 2</v>
      </c>
      <c r="M2" s="207" t="str">
        <f t="shared" ref="M2" si="2">"Year "&amp;M1</f>
        <v>Year 2</v>
      </c>
      <c r="N2" s="207" t="str">
        <f t="shared" ref="N2" si="3">"Year "&amp;N1</f>
        <v>Year 2</v>
      </c>
      <c r="O2" s="207" t="str">
        <f t="shared" ref="O2" si="4">"Year "&amp;O1</f>
        <v>Year 3</v>
      </c>
      <c r="P2" s="207" t="str">
        <f t="shared" ref="P2" si="5">"Year "&amp;P1</f>
        <v>Year 3</v>
      </c>
      <c r="Q2" s="207" t="str">
        <f t="shared" ref="Q2" si="6">"Year "&amp;Q1</f>
        <v>Year 3</v>
      </c>
      <c r="R2" s="207" t="str">
        <f t="shared" ref="R2" si="7">"Year "&amp;R1</f>
        <v>Year 3</v>
      </c>
      <c r="S2" s="207" t="str">
        <f t="shared" ref="S2" si="8">"Year "&amp;S1</f>
        <v>Year 4</v>
      </c>
      <c r="T2" s="207" t="str">
        <f t="shared" ref="T2" si="9">"Year "&amp;T1</f>
        <v>Year 4</v>
      </c>
      <c r="U2" s="207" t="str">
        <f t="shared" ref="U2" si="10">"Year "&amp;U1</f>
        <v>Year 4</v>
      </c>
      <c r="V2" s="207" t="str">
        <f t="shared" ref="V2" si="11">"Year "&amp;V1</f>
        <v>Year 4</v>
      </c>
      <c r="W2" s="207" t="str">
        <f t="shared" ref="W2" si="12">"Year "&amp;W1</f>
        <v>Year 5</v>
      </c>
      <c r="X2" s="207" t="str">
        <f t="shared" ref="X2" si="13">"Year "&amp;X1</f>
        <v>Year 5</v>
      </c>
      <c r="Y2" s="207" t="str">
        <f t="shared" ref="Y2" si="14">"Year "&amp;Y1</f>
        <v>Year 5</v>
      </c>
      <c r="Z2" s="207" t="str">
        <f t="shared" ref="Z2" si="15">"Year "&amp;Z1</f>
        <v>Year 5</v>
      </c>
    </row>
    <row r="3" spans="2:26" x14ac:dyDescent="0.3">
      <c r="B3" s="163" t="s">
        <v>213</v>
      </c>
    </row>
    <row r="4" spans="2:26" x14ac:dyDescent="0.3">
      <c r="B4" s="163" t="s">
        <v>214</v>
      </c>
    </row>
    <row r="6" spans="2:26" x14ac:dyDescent="0.3">
      <c r="G6" s="208" t="s">
        <v>6</v>
      </c>
      <c r="H6" s="209"/>
      <c r="I6" s="209"/>
      <c r="J6" s="209"/>
      <c r="K6" s="208" t="s">
        <v>7</v>
      </c>
      <c r="L6" s="209"/>
      <c r="M6" s="209"/>
      <c r="N6" s="209"/>
      <c r="O6" s="208" t="s">
        <v>8</v>
      </c>
      <c r="P6" s="209"/>
      <c r="Q6" s="209"/>
      <c r="R6" s="209"/>
      <c r="S6" s="208" t="s">
        <v>9</v>
      </c>
      <c r="T6" s="209"/>
      <c r="U6" s="209"/>
      <c r="V6" s="209"/>
      <c r="W6" s="208" t="s">
        <v>10</v>
      </c>
      <c r="X6" s="209"/>
      <c r="Y6" s="209"/>
      <c r="Z6" s="209"/>
    </row>
    <row r="7" spans="2:26" x14ac:dyDescent="0.3">
      <c r="F7" s="163" t="s">
        <v>210</v>
      </c>
      <c r="G7" s="201" t="s">
        <v>11</v>
      </c>
      <c r="H7" s="201" t="s">
        <v>12</v>
      </c>
      <c r="I7" s="201" t="s">
        <v>13</v>
      </c>
      <c r="J7" s="201" t="s">
        <v>14</v>
      </c>
      <c r="K7" s="201" t="s">
        <v>11</v>
      </c>
      <c r="L7" s="201" t="s">
        <v>12</v>
      </c>
      <c r="M7" s="201" t="s">
        <v>13</v>
      </c>
      <c r="N7" s="201" t="s">
        <v>14</v>
      </c>
      <c r="O7" s="201" t="s">
        <v>11</v>
      </c>
      <c r="P7" s="201" t="s">
        <v>12</v>
      </c>
      <c r="Q7" s="201" t="s">
        <v>13</v>
      </c>
      <c r="R7" s="201" t="s">
        <v>14</v>
      </c>
      <c r="S7" s="201" t="s">
        <v>11</v>
      </c>
      <c r="T7" s="201" t="s">
        <v>12</v>
      </c>
      <c r="U7" s="201" t="s">
        <v>13</v>
      </c>
      <c r="V7" s="201" t="s">
        <v>14</v>
      </c>
      <c r="W7" s="201" t="s">
        <v>11</v>
      </c>
      <c r="X7" s="201" t="s">
        <v>12</v>
      </c>
      <c r="Y7" s="201" t="s">
        <v>13</v>
      </c>
      <c r="Z7" s="201" t="s">
        <v>14</v>
      </c>
    </row>
    <row r="8" spans="2:26" x14ac:dyDescent="0.3">
      <c r="B8" s="163" t="s">
        <v>216</v>
      </c>
      <c r="G8" s="196">
        <v>5</v>
      </c>
      <c r="H8" s="196">
        <f>G10</f>
        <v>6</v>
      </c>
      <c r="I8" s="196">
        <f t="shared" ref="I8:Z8" si="16">H10</f>
        <v>8</v>
      </c>
      <c r="J8" s="196">
        <f t="shared" si="16"/>
        <v>10</v>
      </c>
      <c r="K8" s="196">
        <f t="shared" si="16"/>
        <v>11</v>
      </c>
      <c r="L8" s="196">
        <f t="shared" si="16"/>
        <v>12</v>
      </c>
      <c r="M8" s="196">
        <f t="shared" si="16"/>
        <v>14</v>
      </c>
      <c r="N8" s="196">
        <f t="shared" si="16"/>
        <v>16</v>
      </c>
      <c r="O8" s="196">
        <f t="shared" si="16"/>
        <v>17</v>
      </c>
      <c r="P8" s="196">
        <f t="shared" si="16"/>
        <v>18</v>
      </c>
      <c r="Q8" s="196">
        <f t="shared" si="16"/>
        <v>20</v>
      </c>
      <c r="R8" s="196">
        <f t="shared" si="16"/>
        <v>22</v>
      </c>
      <c r="S8" s="196">
        <f t="shared" si="16"/>
        <v>23</v>
      </c>
      <c r="T8" s="196">
        <f t="shared" si="16"/>
        <v>24</v>
      </c>
      <c r="U8" s="196">
        <f t="shared" si="16"/>
        <v>26</v>
      </c>
      <c r="V8" s="196">
        <f t="shared" si="16"/>
        <v>28</v>
      </c>
      <c r="W8" s="196">
        <f t="shared" si="16"/>
        <v>29</v>
      </c>
      <c r="X8" s="196">
        <f t="shared" si="16"/>
        <v>30</v>
      </c>
      <c r="Y8" s="196">
        <f t="shared" si="16"/>
        <v>32</v>
      </c>
      <c r="Z8" s="196">
        <f t="shared" si="16"/>
        <v>34</v>
      </c>
    </row>
    <row r="9" spans="2:26" x14ac:dyDescent="0.3">
      <c r="B9" s="163" t="s">
        <v>217</v>
      </c>
      <c r="G9" s="195">
        <f t="shared" ref="G9:Z9" si="17">INDEX(ScheduleTable, MATCH(G$7,ScheduleRow,0),MATCH(G$2,ScheduleColumn,0))</f>
        <v>1</v>
      </c>
      <c r="H9" s="195">
        <f t="shared" si="17"/>
        <v>2</v>
      </c>
      <c r="I9" s="195">
        <f t="shared" si="17"/>
        <v>2</v>
      </c>
      <c r="J9" s="195">
        <f t="shared" si="17"/>
        <v>1</v>
      </c>
      <c r="K9" s="195">
        <f t="shared" si="17"/>
        <v>1</v>
      </c>
      <c r="L9" s="195">
        <f t="shared" si="17"/>
        <v>2</v>
      </c>
      <c r="M9" s="195">
        <f t="shared" si="17"/>
        <v>2</v>
      </c>
      <c r="N9" s="195">
        <f t="shared" si="17"/>
        <v>1</v>
      </c>
      <c r="O9" s="195">
        <f t="shared" si="17"/>
        <v>1</v>
      </c>
      <c r="P9" s="195">
        <f t="shared" si="17"/>
        <v>2</v>
      </c>
      <c r="Q9" s="195">
        <f t="shared" si="17"/>
        <v>2</v>
      </c>
      <c r="R9" s="195">
        <f t="shared" si="17"/>
        <v>1</v>
      </c>
      <c r="S9" s="195">
        <f t="shared" si="17"/>
        <v>1</v>
      </c>
      <c r="T9" s="195">
        <f t="shared" si="17"/>
        <v>2</v>
      </c>
      <c r="U9" s="195">
        <f t="shared" si="17"/>
        <v>2</v>
      </c>
      <c r="V9" s="195">
        <f t="shared" si="17"/>
        <v>1</v>
      </c>
      <c r="W9" s="195">
        <f t="shared" si="17"/>
        <v>1</v>
      </c>
      <c r="X9" s="195">
        <f t="shared" si="17"/>
        <v>2</v>
      </c>
      <c r="Y9" s="195">
        <f t="shared" si="17"/>
        <v>2</v>
      </c>
      <c r="Z9" s="195">
        <f t="shared" si="17"/>
        <v>1</v>
      </c>
    </row>
    <row r="10" spans="2:26" x14ac:dyDescent="0.3">
      <c r="B10" s="163" t="s">
        <v>218</v>
      </c>
      <c r="G10" s="196">
        <f>SUM(G8:G9)</f>
        <v>6</v>
      </c>
      <c r="H10" s="196">
        <f>SUM(H8:H9)</f>
        <v>8</v>
      </c>
      <c r="I10" s="196">
        <f t="shared" ref="I10:Z10" si="18">SUM(I8:I9)</f>
        <v>10</v>
      </c>
      <c r="J10" s="196">
        <f t="shared" si="18"/>
        <v>11</v>
      </c>
      <c r="K10" s="196">
        <f t="shared" si="18"/>
        <v>12</v>
      </c>
      <c r="L10" s="196">
        <f t="shared" si="18"/>
        <v>14</v>
      </c>
      <c r="M10" s="196">
        <f t="shared" si="18"/>
        <v>16</v>
      </c>
      <c r="N10" s="196">
        <f t="shared" si="18"/>
        <v>17</v>
      </c>
      <c r="O10" s="196">
        <f t="shared" si="18"/>
        <v>18</v>
      </c>
      <c r="P10" s="196">
        <f t="shared" si="18"/>
        <v>20</v>
      </c>
      <c r="Q10" s="196">
        <f t="shared" si="18"/>
        <v>22</v>
      </c>
      <c r="R10" s="196">
        <f t="shared" si="18"/>
        <v>23</v>
      </c>
      <c r="S10" s="196">
        <f t="shared" si="18"/>
        <v>24</v>
      </c>
      <c r="T10" s="196">
        <f t="shared" si="18"/>
        <v>26</v>
      </c>
      <c r="U10" s="196">
        <f t="shared" si="18"/>
        <v>28</v>
      </c>
      <c r="V10" s="196">
        <f t="shared" si="18"/>
        <v>29</v>
      </c>
      <c r="W10" s="196">
        <f t="shared" si="18"/>
        <v>30</v>
      </c>
      <c r="X10" s="196">
        <f t="shared" si="18"/>
        <v>32</v>
      </c>
      <c r="Y10" s="196">
        <f t="shared" si="18"/>
        <v>34</v>
      </c>
      <c r="Z10" s="196">
        <f t="shared" si="18"/>
        <v>35</v>
      </c>
    </row>
    <row r="12" spans="2:26" x14ac:dyDescent="0.3">
      <c r="B12" s="163" t="s">
        <v>219</v>
      </c>
    </row>
    <row r="13" spans="2:26" x14ac:dyDescent="0.3">
      <c r="B13" s="218">
        <v>1</v>
      </c>
      <c r="C13" s="212"/>
      <c r="D13" s="212"/>
      <c r="E13" s="212"/>
      <c r="F13" s="212"/>
      <c r="G13" s="217">
        <f>G9</f>
        <v>1</v>
      </c>
      <c r="H13" s="217">
        <f t="shared" ref="H13:Z13" si="19">H9</f>
        <v>2</v>
      </c>
      <c r="I13" s="217">
        <f t="shared" si="19"/>
        <v>2</v>
      </c>
      <c r="J13" s="217">
        <f t="shared" si="19"/>
        <v>1</v>
      </c>
      <c r="K13" s="217">
        <f t="shared" si="19"/>
        <v>1</v>
      </c>
      <c r="L13" s="217">
        <f t="shared" si="19"/>
        <v>2</v>
      </c>
      <c r="M13" s="217">
        <f t="shared" si="19"/>
        <v>2</v>
      </c>
      <c r="N13" s="217">
        <f t="shared" si="19"/>
        <v>1</v>
      </c>
      <c r="O13" s="217">
        <f t="shared" si="19"/>
        <v>1</v>
      </c>
      <c r="P13" s="217">
        <f t="shared" si="19"/>
        <v>2</v>
      </c>
      <c r="Q13" s="217">
        <f t="shared" si="19"/>
        <v>2</v>
      </c>
      <c r="R13" s="217">
        <f t="shared" si="19"/>
        <v>1</v>
      </c>
      <c r="S13" s="217">
        <f t="shared" si="19"/>
        <v>1</v>
      </c>
      <c r="T13" s="217">
        <f t="shared" si="19"/>
        <v>2</v>
      </c>
      <c r="U13" s="217">
        <f t="shared" si="19"/>
        <v>2</v>
      </c>
      <c r="V13" s="217">
        <f t="shared" si="19"/>
        <v>1</v>
      </c>
      <c r="W13" s="217">
        <f t="shared" si="19"/>
        <v>1</v>
      </c>
      <c r="X13" s="217">
        <f t="shared" si="19"/>
        <v>2</v>
      </c>
      <c r="Y13" s="217">
        <f t="shared" si="19"/>
        <v>2</v>
      </c>
      <c r="Z13" s="217">
        <f t="shared" si="19"/>
        <v>1</v>
      </c>
    </row>
    <row r="14" spans="2:26" x14ac:dyDescent="0.3">
      <c r="B14" s="219">
        <v>2</v>
      </c>
      <c r="C14" s="213"/>
      <c r="D14" s="213"/>
      <c r="E14" s="213"/>
      <c r="F14" s="213"/>
      <c r="G14" s="215"/>
      <c r="H14" s="215">
        <f ca="1">OFFSET(H14,-1,-1)</f>
        <v>1</v>
      </c>
      <c r="I14" s="215">
        <f t="shared" ref="I14:Z28" ca="1" si="20">OFFSET(I14,-1,-1)</f>
        <v>2</v>
      </c>
      <c r="J14" s="215">
        <f t="shared" ca="1" si="20"/>
        <v>2</v>
      </c>
      <c r="K14" s="215">
        <f t="shared" ca="1" si="20"/>
        <v>1</v>
      </c>
      <c r="L14" s="215">
        <f t="shared" ca="1" si="20"/>
        <v>1</v>
      </c>
      <c r="M14" s="215">
        <f t="shared" ca="1" si="20"/>
        <v>2</v>
      </c>
      <c r="N14" s="215">
        <f t="shared" ca="1" si="20"/>
        <v>2</v>
      </c>
      <c r="O14" s="215">
        <f t="shared" ca="1" si="20"/>
        <v>1</v>
      </c>
      <c r="P14" s="215">
        <f t="shared" ca="1" si="20"/>
        <v>1</v>
      </c>
      <c r="Q14" s="215">
        <f t="shared" ca="1" si="20"/>
        <v>2</v>
      </c>
      <c r="R14" s="215">
        <f t="shared" ca="1" si="20"/>
        <v>2</v>
      </c>
      <c r="S14" s="215">
        <f t="shared" ca="1" si="20"/>
        <v>1</v>
      </c>
      <c r="T14" s="215">
        <f t="shared" ca="1" si="20"/>
        <v>1</v>
      </c>
      <c r="U14" s="215">
        <f t="shared" ca="1" si="20"/>
        <v>2</v>
      </c>
      <c r="V14" s="215">
        <f t="shared" ca="1" si="20"/>
        <v>2</v>
      </c>
      <c r="W14" s="215">
        <f t="shared" ca="1" si="20"/>
        <v>1</v>
      </c>
      <c r="X14" s="215">
        <f t="shared" ca="1" si="20"/>
        <v>1</v>
      </c>
      <c r="Y14" s="215">
        <f t="shared" ca="1" si="20"/>
        <v>2</v>
      </c>
      <c r="Z14" s="215">
        <f t="shared" ca="1" si="20"/>
        <v>2</v>
      </c>
    </row>
    <row r="15" spans="2:26" x14ac:dyDescent="0.3">
      <c r="B15" s="219">
        <v>3</v>
      </c>
      <c r="C15" s="213"/>
      <c r="D15" s="213"/>
      <c r="E15" s="213"/>
      <c r="F15" s="213"/>
      <c r="G15" s="215"/>
      <c r="H15" s="215">
        <f t="shared" ref="H15:W32" ca="1" si="21">OFFSET(H15,-1,-1)</f>
        <v>0</v>
      </c>
      <c r="I15" s="215">
        <f t="shared" ca="1" si="20"/>
        <v>1</v>
      </c>
      <c r="J15" s="215">
        <f t="shared" ca="1" si="20"/>
        <v>2</v>
      </c>
      <c r="K15" s="215">
        <f t="shared" ca="1" si="20"/>
        <v>2</v>
      </c>
      <c r="L15" s="215">
        <f t="shared" ca="1" si="20"/>
        <v>1</v>
      </c>
      <c r="M15" s="215">
        <f t="shared" ca="1" si="20"/>
        <v>1</v>
      </c>
      <c r="N15" s="215">
        <f t="shared" ca="1" si="20"/>
        <v>2</v>
      </c>
      <c r="O15" s="215">
        <f t="shared" ca="1" si="20"/>
        <v>2</v>
      </c>
      <c r="P15" s="215">
        <f t="shared" ca="1" si="20"/>
        <v>1</v>
      </c>
      <c r="Q15" s="215">
        <f t="shared" ca="1" si="20"/>
        <v>1</v>
      </c>
      <c r="R15" s="215">
        <f t="shared" ca="1" si="20"/>
        <v>2</v>
      </c>
      <c r="S15" s="215">
        <f t="shared" ca="1" si="20"/>
        <v>2</v>
      </c>
      <c r="T15" s="215">
        <f t="shared" ca="1" si="20"/>
        <v>1</v>
      </c>
      <c r="U15" s="215">
        <f t="shared" ca="1" si="20"/>
        <v>1</v>
      </c>
      <c r="V15" s="215">
        <f t="shared" ca="1" si="20"/>
        <v>2</v>
      </c>
      <c r="W15" s="215">
        <f t="shared" ca="1" si="20"/>
        <v>2</v>
      </c>
      <c r="X15" s="215">
        <f t="shared" ca="1" si="20"/>
        <v>1</v>
      </c>
      <c r="Y15" s="215">
        <f t="shared" ca="1" si="20"/>
        <v>1</v>
      </c>
      <c r="Z15" s="215">
        <f t="shared" ca="1" si="20"/>
        <v>2</v>
      </c>
    </row>
    <row r="16" spans="2:26" x14ac:dyDescent="0.3">
      <c r="B16" s="219">
        <v>4</v>
      </c>
      <c r="C16" s="213"/>
      <c r="D16" s="213"/>
      <c r="E16" s="213"/>
      <c r="F16" s="213"/>
      <c r="G16" s="215"/>
      <c r="H16" s="215">
        <f t="shared" ca="1" si="21"/>
        <v>0</v>
      </c>
      <c r="I16" s="215">
        <f t="shared" ca="1" si="20"/>
        <v>0</v>
      </c>
      <c r="J16" s="215">
        <f t="shared" ca="1" si="20"/>
        <v>1</v>
      </c>
      <c r="K16" s="215">
        <f t="shared" ca="1" si="20"/>
        <v>2</v>
      </c>
      <c r="L16" s="215">
        <f t="shared" ca="1" si="20"/>
        <v>2</v>
      </c>
      <c r="M16" s="215">
        <f t="shared" ca="1" si="20"/>
        <v>1</v>
      </c>
      <c r="N16" s="215">
        <f t="shared" ca="1" si="20"/>
        <v>1</v>
      </c>
      <c r="O16" s="215">
        <f t="shared" ca="1" si="20"/>
        <v>2</v>
      </c>
      <c r="P16" s="215">
        <f t="shared" ca="1" si="20"/>
        <v>2</v>
      </c>
      <c r="Q16" s="215">
        <f t="shared" ca="1" si="20"/>
        <v>1</v>
      </c>
      <c r="R16" s="215">
        <f t="shared" ca="1" si="20"/>
        <v>1</v>
      </c>
      <c r="S16" s="215">
        <f t="shared" ca="1" si="20"/>
        <v>2</v>
      </c>
      <c r="T16" s="215">
        <f t="shared" ca="1" si="20"/>
        <v>2</v>
      </c>
      <c r="U16" s="215">
        <f t="shared" ca="1" si="20"/>
        <v>1</v>
      </c>
      <c r="V16" s="215">
        <f t="shared" ca="1" si="20"/>
        <v>1</v>
      </c>
      <c r="W16" s="215">
        <f t="shared" ca="1" si="20"/>
        <v>2</v>
      </c>
      <c r="X16" s="215">
        <f t="shared" ca="1" si="20"/>
        <v>2</v>
      </c>
      <c r="Y16" s="215">
        <f t="shared" ca="1" si="20"/>
        <v>1</v>
      </c>
      <c r="Z16" s="215">
        <f t="shared" ca="1" si="20"/>
        <v>1</v>
      </c>
    </row>
    <row r="17" spans="2:26" x14ac:dyDescent="0.3">
      <c r="B17" s="219">
        <v>5</v>
      </c>
      <c r="C17" s="213"/>
      <c r="D17" s="213"/>
      <c r="E17" s="213"/>
      <c r="F17" s="213"/>
      <c r="G17" s="215"/>
      <c r="H17" s="215">
        <f t="shared" ca="1" si="21"/>
        <v>0</v>
      </c>
      <c r="I17" s="215">
        <f t="shared" ca="1" si="20"/>
        <v>0</v>
      </c>
      <c r="J17" s="215">
        <f t="shared" ca="1" si="20"/>
        <v>0</v>
      </c>
      <c r="K17" s="215">
        <f t="shared" ca="1" si="20"/>
        <v>1</v>
      </c>
      <c r="L17" s="215">
        <f t="shared" ca="1" si="20"/>
        <v>2</v>
      </c>
      <c r="M17" s="215">
        <f t="shared" ca="1" si="20"/>
        <v>2</v>
      </c>
      <c r="N17" s="215">
        <f t="shared" ca="1" si="20"/>
        <v>1</v>
      </c>
      <c r="O17" s="215">
        <f t="shared" ca="1" si="20"/>
        <v>1</v>
      </c>
      <c r="P17" s="215">
        <f t="shared" ca="1" si="20"/>
        <v>2</v>
      </c>
      <c r="Q17" s="215">
        <f t="shared" ca="1" si="20"/>
        <v>2</v>
      </c>
      <c r="R17" s="215">
        <f t="shared" ca="1" si="20"/>
        <v>1</v>
      </c>
      <c r="S17" s="215">
        <f t="shared" ca="1" si="20"/>
        <v>1</v>
      </c>
      <c r="T17" s="215">
        <f t="shared" ca="1" si="20"/>
        <v>2</v>
      </c>
      <c r="U17" s="215">
        <f t="shared" ca="1" si="20"/>
        <v>2</v>
      </c>
      <c r="V17" s="215">
        <f t="shared" ca="1" si="20"/>
        <v>1</v>
      </c>
      <c r="W17" s="215">
        <f t="shared" ca="1" si="20"/>
        <v>1</v>
      </c>
      <c r="X17" s="215">
        <f t="shared" ca="1" si="20"/>
        <v>2</v>
      </c>
      <c r="Y17" s="215">
        <f t="shared" ca="1" si="20"/>
        <v>2</v>
      </c>
      <c r="Z17" s="215">
        <f t="shared" ca="1" si="20"/>
        <v>1</v>
      </c>
    </row>
    <row r="18" spans="2:26" x14ac:dyDescent="0.3">
      <c r="B18" s="219">
        <v>6</v>
      </c>
      <c r="C18" s="213"/>
      <c r="D18" s="213"/>
      <c r="E18" s="213"/>
      <c r="F18" s="213"/>
      <c r="G18" s="215"/>
      <c r="H18" s="215">
        <f t="shared" ca="1" si="21"/>
        <v>0</v>
      </c>
      <c r="I18" s="215">
        <f t="shared" ca="1" si="20"/>
        <v>0</v>
      </c>
      <c r="J18" s="215">
        <f t="shared" ca="1" si="20"/>
        <v>0</v>
      </c>
      <c r="K18" s="215">
        <f t="shared" ca="1" si="20"/>
        <v>0</v>
      </c>
      <c r="L18" s="215">
        <f t="shared" ca="1" si="20"/>
        <v>1</v>
      </c>
      <c r="M18" s="215">
        <f t="shared" ca="1" si="20"/>
        <v>2</v>
      </c>
      <c r="N18" s="215">
        <f t="shared" ca="1" si="20"/>
        <v>2</v>
      </c>
      <c r="O18" s="215">
        <f t="shared" ca="1" si="20"/>
        <v>1</v>
      </c>
      <c r="P18" s="215">
        <f t="shared" ca="1" si="20"/>
        <v>1</v>
      </c>
      <c r="Q18" s="215">
        <f t="shared" ca="1" si="20"/>
        <v>2</v>
      </c>
      <c r="R18" s="215">
        <f t="shared" ca="1" si="20"/>
        <v>2</v>
      </c>
      <c r="S18" s="215">
        <f t="shared" ca="1" si="20"/>
        <v>1</v>
      </c>
      <c r="T18" s="215">
        <f t="shared" ca="1" si="20"/>
        <v>1</v>
      </c>
      <c r="U18" s="215">
        <f t="shared" ca="1" si="20"/>
        <v>2</v>
      </c>
      <c r="V18" s="215">
        <f t="shared" ca="1" si="20"/>
        <v>2</v>
      </c>
      <c r="W18" s="215">
        <f t="shared" ca="1" si="20"/>
        <v>1</v>
      </c>
      <c r="X18" s="215">
        <f t="shared" ca="1" si="20"/>
        <v>1</v>
      </c>
      <c r="Y18" s="215">
        <f t="shared" ca="1" si="20"/>
        <v>2</v>
      </c>
      <c r="Z18" s="215">
        <f t="shared" ca="1" si="20"/>
        <v>2</v>
      </c>
    </row>
    <row r="19" spans="2:26" x14ac:dyDescent="0.3">
      <c r="B19" s="219">
        <v>7</v>
      </c>
      <c r="C19" s="213"/>
      <c r="D19" s="213"/>
      <c r="E19" s="213"/>
      <c r="F19" s="213"/>
      <c r="G19" s="215"/>
      <c r="H19" s="215">
        <f t="shared" ca="1" si="21"/>
        <v>0</v>
      </c>
      <c r="I19" s="215">
        <f t="shared" ca="1" si="20"/>
        <v>0</v>
      </c>
      <c r="J19" s="215">
        <f t="shared" ca="1" si="20"/>
        <v>0</v>
      </c>
      <c r="K19" s="215">
        <f t="shared" ca="1" si="20"/>
        <v>0</v>
      </c>
      <c r="L19" s="215">
        <f t="shared" ca="1" si="20"/>
        <v>0</v>
      </c>
      <c r="M19" s="215">
        <f t="shared" ca="1" si="20"/>
        <v>1</v>
      </c>
      <c r="N19" s="215">
        <f t="shared" ca="1" si="20"/>
        <v>2</v>
      </c>
      <c r="O19" s="215">
        <f t="shared" ca="1" si="20"/>
        <v>2</v>
      </c>
      <c r="P19" s="215">
        <f t="shared" ca="1" si="20"/>
        <v>1</v>
      </c>
      <c r="Q19" s="215">
        <f t="shared" ca="1" si="20"/>
        <v>1</v>
      </c>
      <c r="R19" s="215">
        <f t="shared" ca="1" si="20"/>
        <v>2</v>
      </c>
      <c r="S19" s="215">
        <f t="shared" ca="1" si="20"/>
        <v>2</v>
      </c>
      <c r="T19" s="215">
        <f t="shared" ca="1" si="20"/>
        <v>1</v>
      </c>
      <c r="U19" s="215">
        <f t="shared" ca="1" si="20"/>
        <v>1</v>
      </c>
      <c r="V19" s="215">
        <f t="shared" ca="1" si="20"/>
        <v>2</v>
      </c>
      <c r="W19" s="215">
        <f t="shared" ca="1" si="20"/>
        <v>2</v>
      </c>
      <c r="X19" s="215">
        <f t="shared" ca="1" si="20"/>
        <v>1</v>
      </c>
      <c r="Y19" s="215">
        <f t="shared" ca="1" si="20"/>
        <v>1</v>
      </c>
      <c r="Z19" s="215">
        <f t="shared" ca="1" si="20"/>
        <v>2</v>
      </c>
    </row>
    <row r="20" spans="2:26" x14ac:dyDescent="0.3">
      <c r="B20" s="219">
        <v>8</v>
      </c>
      <c r="C20" s="213"/>
      <c r="D20" s="213"/>
      <c r="E20" s="213"/>
      <c r="F20" s="213"/>
      <c r="G20" s="215"/>
      <c r="H20" s="215">
        <f t="shared" ca="1" si="21"/>
        <v>0</v>
      </c>
      <c r="I20" s="215">
        <f t="shared" ca="1" si="20"/>
        <v>0</v>
      </c>
      <c r="J20" s="215">
        <f t="shared" ca="1" si="20"/>
        <v>0</v>
      </c>
      <c r="K20" s="215">
        <f t="shared" ca="1" si="20"/>
        <v>0</v>
      </c>
      <c r="L20" s="215">
        <f t="shared" ca="1" si="20"/>
        <v>0</v>
      </c>
      <c r="M20" s="215">
        <f t="shared" ca="1" si="20"/>
        <v>0</v>
      </c>
      <c r="N20" s="215">
        <f t="shared" ca="1" si="20"/>
        <v>1</v>
      </c>
      <c r="O20" s="215">
        <f t="shared" ca="1" si="20"/>
        <v>2</v>
      </c>
      <c r="P20" s="215">
        <f t="shared" ca="1" si="20"/>
        <v>2</v>
      </c>
      <c r="Q20" s="215">
        <f t="shared" ca="1" si="20"/>
        <v>1</v>
      </c>
      <c r="R20" s="215">
        <f t="shared" ca="1" si="20"/>
        <v>1</v>
      </c>
      <c r="S20" s="215">
        <f t="shared" ca="1" si="20"/>
        <v>2</v>
      </c>
      <c r="T20" s="215">
        <f t="shared" ca="1" si="20"/>
        <v>2</v>
      </c>
      <c r="U20" s="215">
        <f t="shared" ca="1" si="20"/>
        <v>1</v>
      </c>
      <c r="V20" s="215">
        <f t="shared" ca="1" si="20"/>
        <v>1</v>
      </c>
      <c r="W20" s="215">
        <f t="shared" ca="1" si="20"/>
        <v>2</v>
      </c>
      <c r="X20" s="215">
        <f t="shared" ca="1" si="20"/>
        <v>2</v>
      </c>
      <c r="Y20" s="215">
        <f t="shared" ca="1" si="20"/>
        <v>1</v>
      </c>
      <c r="Z20" s="215">
        <f t="shared" ca="1" si="20"/>
        <v>1</v>
      </c>
    </row>
    <row r="21" spans="2:26" x14ac:dyDescent="0.3">
      <c r="B21" s="219">
        <v>9</v>
      </c>
      <c r="C21" s="213"/>
      <c r="D21" s="213"/>
      <c r="E21" s="213"/>
      <c r="F21" s="213"/>
      <c r="G21" s="215"/>
      <c r="H21" s="215">
        <f t="shared" ca="1" si="21"/>
        <v>0</v>
      </c>
      <c r="I21" s="215">
        <f t="shared" ca="1" si="20"/>
        <v>0</v>
      </c>
      <c r="J21" s="215">
        <f t="shared" ca="1" si="20"/>
        <v>0</v>
      </c>
      <c r="K21" s="215">
        <f t="shared" ca="1" si="20"/>
        <v>0</v>
      </c>
      <c r="L21" s="215">
        <f t="shared" ca="1" si="20"/>
        <v>0</v>
      </c>
      <c r="M21" s="215">
        <f t="shared" ca="1" si="20"/>
        <v>0</v>
      </c>
      <c r="N21" s="215">
        <f t="shared" ca="1" si="20"/>
        <v>0</v>
      </c>
      <c r="O21" s="215">
        <f t="shared" ca="1" si="20"/>
        <v>1</v>
      </c>
      <c r="P21" s="215">
        <f t="shared" ca="1" si="20"/>
        <v>2</v>
      </c>
      <c r="Q21" s="215">
        <f t="shared" ca="1" si="20"/>
        <v>2</v>
      </c>
      <c r="R21" s="215">
        <f t="shared" ca="1" si="20"/>
        <v>1</v>
      </c>
      <c r="S21" s="215">
        <f t="shared" ca="1" si="20"/>
        <v>1</v>
      </c>
      <c r="T21" s="215">
        <f t="shared" ca="1" si="20"/>
        <v>2</v>
      </c>
      <c r="U21" s="215">
        <f t="shared" ca="1" si="20"/>
        <v>2</v>
      </c>
      <c r="V21" s="215">
        <f t="shared" ca="1" si="20"/>
        <v>1</v>
      </c>
      <c r="W21" s="215">
        <f t="shared" ca="1" si="20"/>
        <v>1</v>
      </c>
      <c r="X21" s="215">
        <f t="shared" ca="1" si="20"/>
        <v>2</v>
      </c>
      <c r="Y21" s="215">
        <f t="shared" ca="1" si="20"/>
        <v>2</v>
      </c>
      <c r="Z21" s="215">
        <f t="shared" ca="1" si="20"/>
        <v>1</v>
      </c>
    </row>
    <row r="22" spans="2:26" x14ac:dyDescent="0.3">
      <c r="B22" s="219">
        <v>10</v>
      </c>
      <c r="C22" s="213"/>
      <c r="D22" s="213"/>
      <c r="E22" s="213"/>
      <c r="F22" s="213"/>
      <c r="G22" s="215"/>
      <c r="H22" s="215">
        <f t="shared" ca="1" si="21"/>
        <v>0</v>
      </c>
      <c r="I22" s="215">
        <f t="shared" ca="1" si="20"/>
        <v>0</v>
      </c>
      <c r="J22" s="215">
        <f t="shared" ca="1" si="20"/>
        <v>0</v>
      </c>
      <c r="K22" s="215">
        <f t="shared" ca="1" si="20"/>
        <v>0</v>
      </c>
      <c r="L22" s="215">
        <f t="shared" ca="1" si="20"/>
        <v>0</v>
      </c>
      <c r="M22" s="215">
        <f t="shared" ca="1" si="20"/>
        <v>0</v>
      </c>
      <c r="N22" s="215">
        <f t="shared" ca="1" si="20"/>
        <v>0</v>
      </c>
      <c r="O22" s="215">
        <f t="shared" ca="1" si="20"/>
        <v>0</v>
      </c>
      <c r="P22" s="215">
        <f t="shared" ca="1" si="20"/>
        <v>1</v>
      </c>
      <c r="Q22" s="215">
        <f t="shared" ca="1" si="20"/>
        <v>2</v>
      </c>
      <c r="R22" s="215">
        <f t="shared" ca="1" si="20"/>
        <v>2</v>
      </c>
      <c r="S22" s="215">
        <f t="shared" ca="1" si="20"/>
        <v>1</v>
      </c>
      <c r="T22" s="215">
        <f t="shared" ca="1" si="20"/>
        <v>1</v>
      </c>
      <c r="U22" s="215">
        <f t="shared" ca="1" si="20"/>
        <v>2</v>
      </c>
      <c r="V22" s="215">
        <f t="shared" ca="1" si="20"/>
        <v>2</v>
      </c>
      <c r="W22" s="215">
        <f t="shared" ca="1" si="20"/>
        <v>1</v>
      </c>
      <c r="X22" s="215">
        <f t="shared" ca="1" si="20"/>
        <v>1</v>
      </c>
      <c r="Y22" s="215">
        <f t="shared" ca="1" si="20"/>
        <v>2</v>
      </c>
      <c r="Z22" s="215">
        <f t="shared" ca="1" si="20"/>
        <v>2</v>
      </c>
    </row>
    <row r="23" spans="2:26" x14ac:dyDescent="0.3">
      <c r="B23" s="219">
        <v>11</v>
      </c>
      <c r="C23" s="213"/>
      <c r="D23" s="213"/>
      <c r="E23" s="213"/>
      <c r="F23" s="213"/>
      <c r="G23" s="215"/>
      <c r="H23" s="215">
        <f t="shared" ca="1" si="21"/>
        <v>0</v>
      </c>
      <c r="I23" s="215">
        <f t="shared" ca="1" si="20"/>
        <v>0</v>
      </c>
      <c r="J23" s="215">
        <f t="shared" ca="1" si="20"/>
        <v>0</v>
      </c>
      <c r="K23" s="215">
        <f t="shared" ca="1" si="20"/>
        <v>0</v>
      </c>
      <c r="L23" s="215">
        <f t="shared" ca="1" si="20"/>
        <v>0</v>
      </c>
      <c r="M23" s="215">
        <f t="shared" ca="1" si="20"/>
        <v>0</v>
      </c>
      <c r="N23" s="215">
        <f t="shared" ca="1" si="20"/>
        <v>0</v>
      </c>
      <c r="O23" s="215">
        <f t="shared" ca="1" si="20"/>
        <v>0</v>
      </c>
      <c r="P23" s="215">
        <f t="shared" ca="1" si="20"/>
        <v>0</v>
      </c>
      <c r="Q23" s="215">
        <f t="shared" ca="1" si="20"/>
        <v>1</v>
      </c>
      <c r="R23" s="215">
        <f t="shared" ca="1" si="20"/>
        <v>2</v>
      </c>
      <c r="S23" s="215">
        <f t="shared" ca="1" si="20"/>
        <v>2</v>
      </c>
      <c r="T23" s="215">
        <f t="shared" ca="1" si="20"/>
        <v>1</v>
      </c>
      <c r="U23" s="215">
        <f t="shared" ca="1" si="20"/>
        <v>1</v>
      </c>
      <c r="V23" s="215">
        <f t="shared" ca="1" si="20"/>
        <v>2</v>
      </c>
      <c r="W23" s="215">
        <f t="shared" ca="1" si="20"/>
        <v>2</v>
      </c>
      <c r="X23" s="215">
        <f t="shared" ca="1" si="20"/>
        <v>1</v>
      </c>
      <c r="Y23" s="215">
        <f t="shared" ca="1" si="20"/>
        <v>1</v>
      </c>
      <c r="Z23" s="215">
        <f t="shared" ca="1" si="20"/>
        <v>2</v>
      </c>
    </row>
    <row r="24" spans="2:26" x14ac:dyDescent="0.3">
      <c r="B24" s="219">
        <v>12</v>
      </c>
      <c r="C24" s="213"/>
      <c r="D24" s="213"/>
      <c r="E24" s="213"/>
      <c r="F24" s="213"/>
      <c r="G24" s="215"/>
      <c r="H24" s="215">
        <f t="shared" ca="1" si="21"/>
        <v>0</v>
      </c>
      <c r="I24" s="215">
        <f t="shared" ca="1" si="20"/>
        <v>0</v>
      </c>
      <c r="J24" s="215">
        <f t="shared" ca="1" si="20"/>
        <v>0</v>
      </c>
      <c r="K24" s="215">
        <f t="shared" ca="1" si="20"/>
        <v>0</v>
      </c>
      <c r="L24" s="215">
        <f t="shared" ca="1" si="20"/>
        <v>0</v>
      </c>
      <c r="M24" s="215">
        <f t="shared" ca="1" si="20"/>
        <v>0</v>
      </c>
      <c r="N24" s="215">
        <f t="shared" ca="1" si="20"/>
        <v>0</v>
      </c>
      <c r="O24" s="215">
        <f t="shared" ca="1" si="20"/>
        <v>0</v>
      </c>
      <c r="P24" s="215">
        <f t="shared" ca="1" si="20"/>
        <v>0</v>
      </c>
      <c r="Q24" s="215">
        <f t="shared" ca="1" si="20"/>
        <v>0</v>
      </c>
      <c r="R24" s="215">
        <f t="shared" ca="1" si="20"/>
        <v>1</v>
      </c>
      <c r="S24" s="215">
        <f t="shared" ca="1" si="20"/>
        <v>2</v>
      </c>
      <c r="T24" s="215">
        <f t="shared" ca="1" si="20"/>
        <v>2</v>
      </c>
      <c r="U24" s="215">
        <f t="shared" ca="1" si="20"/>
        <v>1</v>
      </c>
      <c r="V24" s="215">
        <f t="shared" ca="1" si="20"/>
        <v>1</v>
      </c>
      <c r="W24" s="215">
        <f t="shared" ca="1" si="20"/>
        <v>2</v>
      </c>
      <c r="X24" s="215">
        <f t="shared" ca="1" si="20"/>
        <v>2</v>
      </c>
      <c r="Y24" s="215">
        <f t="shared" ca="1" si="20"/>
        <v>1</v>
      </c>
      <c r="Z24" s="215">
        <f t="shared" ca="1" si="20"/>
        <v>1</v>
      </c>
    </row>
    <row r="25" spans="2:26" x14ac:dyDescent="0.3">
      <c r="B25" s="219">
        <v>13</v>
      </c>
      <c r="C25" s="213"/>
      <c r="D25" s="213"/>
      <c r="E25" s="213"/>
      <c r="F25" s="213"/>
      <c r="G25" s="215"/>
      <c r="H25" s="215">
        <f t="shared" ca="1" si="21"/>
        <v>0</v>
      </c>
      <c r="I25" s="215">
        <f t="shared" ca="1" si="20"/>
        <v>0</v>
      </c>
      <c r="J25" s="215">
        <f t="shared" ca="1" si="20"/>
        <v>0</v>
      </c>
      <c r="K25" s="215">
        <f t="shared" ca="1" si="20"/>
        <v>0</v>
      </c>
      <c r="L25" s="215">
        <f t="shared" ca="1" si="20"/>
        <v>0</v>
      </c>
      <c r="M25" s="215">
        <f t="shared" ca="1" si="20"/>
        <v>0</v>
      </c>
      <c r="N25" s="215">
        <f t="shared" ca="1" si="20"/>
        <v>0</v>
      </c>
      <c r="O25" s="215">
        <f t="shared" ca="1" si="20"/>
        <v>0</v>
      </c>
      <c r="P25" s="215">
        <f t="shared" ca="1" si="20"/>
        <v>0</v>
      </c>
      <c r="Q25" s="215">
        <f t="shared" ca="1" si="20"/>
        <v>0</v>
      </c>
      <c r="R25" s="215">
        <f t="shared" ca="1" si="20"/>
        <v>0</v>
      </c>
      <c r="S25" s="215">
        <f t="shared" ca="1" si="20"/>
        <v>1</v>
      </c>
      <c r="T25" s="215">
        <f t="shared" ca="1" si="20"/>
        <v>2</v>
      </c>
      <c r="U25" s="215">
        <f t="shared" ca="1" si="20"/>
        <v>2</v>
      </c>
      <c r="V25" s="215">
        <f t="shared" ca="1" si="20"/>
        <v>1</v>
      </c>
      <c r="W25" s="215">
        <f t="shared" ca="1" si="20"/>
        <v>1</v>
      </c>
      <c r="X25" s="215">
        <f t="shared" ca="1" si="20"/>
        <v>2</v>
      </c>
      <c r="Y25" s="215">
        <f t="shared" ca="1" si="20"/>
        <v>2</v>
      </c>
      <c r="Z25" s="215">
        <f t="shared" ca="1" si="20"/>
        <v>1</v>
      </c>
    </row>
    <row r="26" spans="2:26" x14ac:dyDescent="0.3">
      <c r="B26" s="219">
        <v>14</v>
      </c>
      <c r="C26" s="213"/>
      <c r="D26" s="213"/>
      <c r="E26" s="213"/>
      <c r="F26" s="213"/>
      <c r="G26" s="215"/>
      <c r="H26" s="215">
        <f t="shared" ca="1" si="21"/>
        <v>0</v>
      </c>
      <c r="I26" s="215">
        <f t="shared" ca="1" si="20"/>
        <v>0</v>
      </c>
      <c r="J26" s="215">
        <f t="shared" ca="1" si="20"/>
        <v>0</v>
      </c>
      <c r="K26" s="215">
        <f t="shared" ca="1" si="20"/>
        <v>0</v>
      </c>
      <c r="L26" s="215">
        <f t="shared" ca="1" si="20"/>
        <v>0</v>
      </c>
      <c r="M26" s="215">
        <f t="shared" ca="1" si="20"/>
        <v>0</v>
      </c>
      <c r="N26" s="215">
        <f t="shared" ca="1" si="20"/>
        <v>0</v>
      </c>
      <c r="O26" s="215">
        <f t="shared" ca="1" si="20"/>
        <v>0</v>
      </c>
      <c r="P26" s="215">
        <f t="shared" ca="1" si="20"/>
        <v>0</v>
      </c>
      <c r="Q26" s="215">
        <f t="shared" ca="1" si="20"/>
        <v>0</v>
      </c>
      <c r="R26" s="215">
        <f t="shared" ca="1" si="20"/>
        <v>0</v>
      </c>
      <c r="S26" s="215">
        <f t="shared" ca="1" si="20"/>
        <v>0</v>
      </c>
      <c r="T26" s="215">
        <f t="shared" ca="1" si="20"/>
        <v>1</v>
      </c>
      <c r="U26" s="215">
        <f t="shared" ca="1" si="20"/>
        <v>2</v>
      </c>
      <c r="V26" s="215">
        <f t="shared" ca="1" si="20"/>
        <v>2</v>
      </c>
      <c r="W26" s="215">
        <f t="shared" ca="1" si="20"/>
        <v>1</v>
      </c>
      <c r="X26" s="215">
        <f t="shared" ca="1" si="20"/>
        <v>1</v>
      </c>
      <c r="Y26" s="215">
        <f t="shared" ca="1" si="20"/>
        <v>2</v>
      </c>
      <c r="Z26" s="215">
        <f t="shared" ca="1" si="20"/>
        <v>2</v>
      </c>
    </row>
    <row r="27" spans="2:26" x14ac:dyDescent="0.3">
      <c r="B27" s="219">
        <v>15</v>
      </c>
      <c r="C27" s="213"/>
      <c r="D27" s="213"/>
      <c r="E27" s="213"/>
      <c r="F27" s="213"/>
      <c r="G27" s="215"/>
      <c r="H27" s="215">
        <f t="shared" ca="1" si="21"/>
        <v>0</v>
      </c>
      <c r="I27" s="215">
        <f t="shared" ca="1" si="20"/>
        <v>0</v>
      </c>
      <c r="J27" s="215">
        <f t="shared" ca="1" si="20"/>
        <v>0</v>
      </c>
      <c r="K27" s="215">
        <f t="shared" ca="1" si="20"/>
        <v>0</v>
      </c>
      <c r="L27" s="215">
        <f t="shared" ca="1" si="20"/>
        <v>0</v>
      </c>
      <c r="M27" s="215">
        <f t="shared" ca="1" si="20"/>
        <v>0</v>
      </c>
      <c r="N27" s="215">
        <f t="shared" ca="1" si="20"/>
        <v>0</v>
      </c>
      <c r="O27" s="215">
        <f t="shared" ca="1" si="20"/>
        <v>0</v>
      </c>
      <c r="P27" s="215">
        <f t="shared" ca="1" si="20"/>
        <v>0</v>
      </c>
      <c r="Q27" s="215">
        <f t="shared" ca="1" si="20"/>
        <v>0</v>
      </c>
      <c r="R27" s="215">
        <f t="shared" ca="1" si="20"/>
        <v>0</v>
      </c>
      <c r="S27" s="215">
        <f t="shared" ca="1" si="20"/>
        <v>0</v>
      </c>
      <c r="T27" s="215">
        <f t="shared" ca="1" si="20"/>
        <v>0</v>
      </c>
      <c r="U27" s="215">
        <f t="shared" ca="1" si="20"/>
        <v>1</v>
      </c>
      <c r="V27" s="215">
        <f t="shared" ca="1" si="20"/>
        <v>2</v>
      </c>
      <c r="W27" s="215">
        <f t="shared" ca="1" si="20"/>
        <v>2</v>
      </c>
      <c r="X27" s="215">
        <f t="shared" ca="1" si="20"/>
        <v>1</v>
      </c>
      <c r="Y27" s="215">
        <f t="shared" ca="1" si="20"/>
        <v>1</v>
      </c>
      <c r="Z27" s="215">
        <f t="shared" ca="1" si="20"/>
        <v>2</v>
      </c>
    </row>
    <row r="28" spans="2:26" x14ac:dyDescent="0.3">
      <c r="B28" s="219">
        <v>16</v>
      </c>
      <c r="C28" s="213"/>
      <c r="D28" s="213"/>
      <c r="E28" s="213"/>
      <c r="F28" s="213"/>
      <c r="G28" s="215"/>
      <c r="H28" s="215">
        <f t="shared" ca="1" si="21"/>
        <v>0</v>
      </c>
      <c r="I28" s="215">
        <f t="shared" ca="1" si="20"/>
        <v>0</v>
      </c>
      <c r="J28" s="215">
        <f t="shared" ca="1" si="20"/>
        <v>0</v>
      </c>
      <c r="K28" s="215">
        <f t="shared" ca="1" si="20"/>
        <v>0</v>
      </c>
      <c r="L28" s="215">
        <f t="shared" ref="L28:Z32" ca="1" si="22">OFFSET(L28,-1,-1)</f>
        <v>0</v>
      </c>
      <c r="M28" s="215">
        <f t="shared" ca="1" si="22"/>
        <v>0</v>
      </c>
      <c r="N28" s="215">
        <f t="shared" ca="1" si="22"/>
        <v>0</v>
      </c>
      <c r="O28" s="215">
        <f t="shared" ca="1" si="22"/>
        <v>0</v>
      </c>
      <c r="P28" s="215">
        <f t="shared" ca="1" si="22"/>
        <v>0</v>
      </c>
      <c r="Q28" s="215">
        <f t="shared" ca="1" si="22"/>
        <v>0</v>
      </c>
      <c r="R28" s="215">
        <f t="shared" ca="1" si="22"/>
        <v>0</v>
      </c>
      <c r="S28" s="215">
        <f t="shared" ca="1" si="22"/>
        <v>0</v>
      </c>
      <c r="T28" s="215">
        <f t="shared" ca="1" si="22"/>
        <v>0</v>
      </c>
      <c r="U28" s="215">
        <f t="shared" ca="1" si="22"/>
        <v>0</v>
      </c>
      <c r="V28" s="215">
        <f t="shared" ca="1" si="22"/>
        <v>1</v>
      </c>
      <c r="W28" s="215">
        <f t="shared" ca="1" si="22"/>
        <v>2</v>
      </c>
      <c r="X28" s="215">
        <f t="shared" ca="1" si="22"/>
        <v>2</v>
      </c>
      <c r="Y28" s="215">
        <f t="shared" ca="1" si="22"/>
        <v>1</v>
      </c>
      <c r="Z28" s="215">
        <f t="shared" ca="1" si="22"/>
        <v>1</v>
      </c>
    </row>
    <row r="29" spans="2:26" x14ac:dyDescent="0.3">
      <c r="B29" s="219">
        <v>17</v>
      </c>
      <c r="C29" s="213"/>
      <c r="D29" s="213"/>
      <c r="E29" s="213"/>
      <c r="F29" s="213"/>
      <c r="G29" s="215"/>
      <c r="H29" s="215">
        <f t="shared" ca="1" si="21"/>
        <v>0</v>
      </c>
      <c r="I29" s="215">
        <f t="shared" ca="1" si="21"/>
        <v>0</v>
      </c>
      <c r="J29" s="215">
        <f t="shared" ca="1" si="21"/>
        <v>0</v>
      </c>
      <c r="K29" s="215">
        <f t="shared" ca="1" si="21"/>
        <v>0</v>
      </c>
      <c r="L29" s="215">
        <f t="shared" ca="1" si="21"/>
        <v>0</v>
      </c>
      <c r="M29" s="215">
        <f t="shared" ca="1" si="21"/>
        <v>0</v>
      </c>
      <c r="N29" s="215">
        <f t="shared" ca="1" si="21"/>
        <v>0</v>
      </c>
      <c r="O29" s="215">
        <f t="shared" ca="1" si="21"/>
        <v>0</v>
      </c>
      <c r="P29" s="215">
        <f t="shared" ca="1" si="21"/>
        <v>0</v>
      </c>
      <c r="Q29" s="215">
        <f t="shared" ca="1" si="21"/>
        <v>0</v>
      </c>
      <c r="R29" s="215">
        <f t="shared" ca="1" si="21"/>
        <v>0</v>
      </c>
      <c r="S29" s="215">
        <f t="shared" ca="1" si="21"/>
        <v>0</v>
      </c>
      <c r="T29" s="215">
        <f t="shared" ca="1" si="21"/>
        <v>0</v>
      </c>
      <c r="U29" s="215">
        <f t="shared" ca="1" si="21"/>
        <v>0</v>
      </c>
      <c r="V29" s="215">
        <f t="shared" ca="1" si="21"/>
        <v>0</v>
      </c>
      <c r="W29" s="215">
        <f t="shared" ca="1" si="21"/>
        <v>1</v>
      </c>
      <c r="X29" s="215">
        <f t="shared" ca="1" si="22"/>
        <v>2</v>
      </c>
      <c r="Y29" s="215">
        <f t="shared" ca="1" si="22"/>
        <v>2</v>
      </c>
      <c r="Z29" s="215">
        <f t="shared" ca="1" si="22"/>
        <v>1</v>
      </c>
    </row>
    <row r="30" spans="2:26" x14ac:dyDescent="0.3">
      <c r="B30" s="219">
        <v>18</v>
      </c>
      <c r="C30" s="213"/>
      <c r="D30" s="213"/>
      <c r="E30" s="213"/>
      <c r="F30" s="213"/>
      <c r="G30" s="215"/>
      <c r="H30" s="215">
        <f t="shared" ca="1" si="21"/>
        <v>0</v>
      </c>
      <c r="I30" s="215">
        <f t="shared" ca="1" si="21"/>
        <v>0</v>
      </c>
      <c r="J30" s="215">
        <f t="shared" ca="1" si="21"/>
        <v>0</v>
      </c>
      <c r="K30" s="215">
        <f t="shared" ca="1" si="21"/>
        <v>0</v>
      </c>
      <c r="L30" s="215">
        <f t="shared" ca="1" si="21"/>
        <v>0</v>
      </c>
      <c r="M30" s="215">
        <f t="shared" ca="1" si="21"/>
        <v>0</v>
      </c>
      <c r="N30" s="215">
        <f t="shared" ca="1" si="21"/>
        <v>0</v>
      </c>
      <c r="O30" s="215">
        <f t="shared" ca="1" si="21"/>
        <v>0</v>
      </c>
      <c r="P30" s="215">
        <f t="shared" ca="1" si="21"/>
        <v>0</v>
      </c>
      <c r="Q30" s="215">
        <f t="shared" ca="1" si="21"/>
        <v>0</v>
      </c>
      <c r="R30" s="215">
        <f t="shared" ca="1" si="21"/>
        <v>0</v>
      </c>
      <c r="S30" s="215">
        <f t="shared" ca="1" si="21"/>
        <v>0</v>
      </c>
      <c r="T30" s="215">
        <f t="shared" ca="1" si="21"/>
        <v>0</v>
      </c>
      <c r="U30" s="215">
        <f t="shared" ca="1" si="21"/>
        <v>0</v>
      </c>
      <c r="V30" s="215">
        <f t="shared" ca="1" si="21"/>
        <v>0</v>
      </c>
      <c r="W30" s="215">
        <f t="shared" ca="1" si="21"/>
        <v>0</v>
      </c>
      <c r="X30" s="215">
        <f t="shared" ca="1" si="22"/>
        <v>1</v>
      </c>
      <c r="Y30" s="215">
        <f t="shared" ca="1" si="22"/>
        <v>2</v>
      </c>
      <c r="Z30" s="215">
        <f t="shared" ca="1" si="22"/>
        <v>2</v>
      </c>
    </row>
    <row r="31" spans="2:26" x14ac:dyDescent="0.3">
      <c r="B31" s="219">
        <v>19</v>
      </c>
      <c r="C31" s="213"/>
      <c r="D31" s="213"/>
      <c r="E31" s="213"/>
      <c r="F31" s="213"/>
      <c r="G31" s="215"/>
      <c r="H31" s="215">
        <f t="shared" ca="1" si="21"/>
        <v>0</v>
      </c>
      <c r="I31" s="215">
        <f t="shared" ca="1" si="21"/>
        <v>0</v>
      </c>
      <c r="J31" s="215">
        <f t="shared" ca="1" si="21"/>
        <v>0</v>
      </c>
      <c r="K31" s="215">
        <f t="shared" ca="1" si="21"/>
        <v>0</v>
      </c>
      <c r="L31" s="215">
        <f t="shared" ca="1" si="21"/>
        <v>0</v>
      </c>
      <c r="M31" s="215">
        <f t="shared" ca="1" si="21"/>
        <v>0</v>
      </c>
      <c r="N31" s="215">
        <f t="shared" ca="1" si="21"/>
        <v>0</v>
      </c>
      <c r="O31" s="215">
        <f t="shared" ca="1" si="21"/>
        <v>0</v>
      </c>
      <c r="P31" s="215">
        <f t="shared" ca="1" si="21"/>
        <v>0</v>
      </c>
      <c r="Q31" s="215">
        <f t="shared" ca="1" si="21"/>
        <v>0</v>
      </c>
      <c r="R31" s="215">
        <f t="shared" ca="1" si="21"/>
        <v>0</v>
      </c>
      <c r="S31" s="215">
        <f t="shared" ca="1" si="21"/>
        <v>0</v>
      </c>
      <c r="T31" s="215">
        <f t="shared" ca="1" si="21"/>
        <v>0</v>
      </c>
      <c r="U31" s="215">
        <f t="shared" ca="1" si="21"/>
        <v>0</v>
      </c>
      <c r="V31" s="215">
        <f t="shared" ca="1" si="21"/>
        <v>0</v>
      </c>
      <c r="W31" s="215">
        <f t="shared" ca="1" si="21"/>
        <v>0</v>
      </c>
      <c r="X31" s="215">
        <f t="shared" ca="1" si="22"/>
        <v>0</v>
      </c>
      <c r="Y31" s="215">
        <f t="shared" ca="1" si="22"/>
        <v>1</v>
      </c>
      <c r="Z31" s="215">
        <f t="shared" ca="1" si="22"/>
        <v>2</v>
      </c>
    </row>
    <row r="32" spans="2:26" x14ac:dyDescent="0.3">
      <c r="B32" s="220">
        <v>20</v>
      </c>
      <c r="C32" s="214"/>
      <c r="D32" s="214"/>
      <c r="E32" s="214"/>
      <c r="F32" s="214"/>
      <c r="G32" s="216"/>
      <c r="H32" s="215">
        <f t="shared" ca="1" si="21"/>
        <v>0</v>
      </c>
      <c r="I32" s="215">
        <f t="shared" ca="1" si="21"/>
        <v>0</v>
      </c>
      <c r="J32" s="215">
        <f t="shared" ca="1" si="21"/>
        <v>0</v>
      </c>
      <c r="K32" s="215">
        <f t="shared" ca="1" si="21"/>
        <v>0</v>
      </c>
      <c r="L32" s="215">
        <f t="shared" ca="1" si="21"/>
        <v>0</v>
      </c>
      <c r="M32" s="215">
        <f t="shared" ca="1" si="21"/>
        <v>0</v>
      </c>
      <c r="N32" s="215">
        <f t="shared" ca="1" si="21"/>
        <v>0</v>
      </c>
      <c r="O32" s="215">
        <f t="shared" ca="1" si="21"/>
        <v>0</v>
      </c>
      <c r="P32" s="215">
        <f t="shared" ca="1" si="21"/>
        <v>0</v>
      </c>
      <c r="Q32" s="215">
        <f t="shared" ca="1" si="21"/>
        <v>0</v>
      </c>
      <c r="R32" s="215">
        <f t="shared" ca="1" si="21"/>
        <v>0</v>
      </c>
      <c r="S32" s="215">
        <f t="shared" ca="1" si="21"/>
        <v>0</v>
      </c>
      <c r="T32" s="215">
        <f t="shared" ca="1" si="21"/>
        <v>0</v>
      </c>
      <c r="U32" s="215">
        <f t="shared" ca="1" si="21"/>
        <v>0</v>
      </c>
      <c r="V32" s="215">
        <f t="shared" ca="1" si="21"/>
        <v>0</v>
      </c>
      <c r="W32" s="215">
        <f t="shared" ca="1" si="21"/>
        <v>0</v>
      </c>
      <c r="X32" s="215">
        <f t="shared" ca="1" si="22"/>
        <v>0</v>
      </c>
      <c r="Y32" s="215">
        <f t="shared" ca="1" si="22"/>
        <v>0</v>
      </c>
      <c r="Z32" s="215">
        <f ca="1">OFFSET(Z32,-1,-1)</f>
        <v>1</v>
      </c>
    </row>
    <row r="33" spans="2:26" ht="14.5" thickBot="1" x14ac:dyDescent="0.35">
      <c r="B33" s="211" t="s">
        <v>220</v>
      </c>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row>
    <row r="34" spans="2:26" ht="14.5" thickTop="1" x14ac:dyDescent="0.3"/>
    <row r="35" spans="2:26" x14ac:dyDescent="0.3">
      <c r="B35" s="163" t="s">
        <v>15</v>
      </c>
      <c r="G35" s="221">
        <f t="array" aca="1" ref="G35" ca="1">SUMPRODUCT(TRANSPOSE(G$13:G$32),IS_NewStore_Trend!$G8:$Z8)</f>
        <v>445315</v>
      </c>
      <c r="H35" s="221">
        <f t="array" aca="1" ref="H35" ca="1">SUMPRODUCT(TRANSPOSE(H$13:H$32),IS_NewStore_Trend!$G8:$Z8)</f>
        <v>1339284.8625</v>
      </c>
      <c r="I35" s="221">
        <f t="array" aca="1" ref="I35" ca="1">SUMPRODUCT(TRANSPOSE(I$13:I$32),IS_NewStore_Trend!$G8:$Z8)</f>
        <v>2239959.4989687502</v>
      </c>
      <c r="J35" s="221">
        <f t="array" aca="1" ref="J35" ca="1">SUMPRODUCT(TRANSPOSE(J$13:J$32),IS_NewStore_Trend!$G8:$Z8)</f>
        <v>2702074.1952110161</v>
      </c>
      <c r="K35" s="221">
        <f t="array" aca="1" ref="K35" ca="1">SUMPRODUCT(TRANSPOSE(K$13:K$32),IS_NewStore_Trend!$G8:$Z8)</f>
        <v>3167654.7516750987</v>
      </c>
      <c r="L35" s="221">
        <f t="array" aca="1" ref="L35" ca="1">SUMPRODUCT(TRANSPOSE(L$13:L$32),IS_NewStore_Trend!$G8:$Z8)</f>
        <v>4082042.1623126627</v>
      </c>
      <c r="M35" s="221">
        <f t="array" aca="1" ref="M35" ca="1">SUMPRODUCT(TRANSPOSE(M$13:M$32),IS_NewStore_Trend!$G8:$Z8)</f>
        <v>5003287.4785300083</v>
      </c>
      <c r="N35" s="221">
        <f t="array" aca="1" ref="N35" ca="1">SUMPRODUCT(TRANSPOSE(N$13:N$32),IS_NewStore_Trend!$G8:$Z8)</f>
        <v>5486127.1346189836</v>
      </c>
      <c r="O35" s="221">
        <f t="array" aca="1" ref="O35" ca="1">SUMPRODUCT(TRANSPOSE(O$13:O$32),IS_NewStore_Trend!$G8:$Z8)</f>
        <v>5972588.0881286254</v>
      </c>
      <c r="P35" s="221">
        <f t="array" aca="1" ref="P35" ca="1">SUMPRODUCT(TRANSPOSE(P$13:P$32),IS_NewStore_Trend!$G8:$Z8)</f>
        <v>6908012.4987895908</v>
      </c>
      <c r="Q35" s="221">
        <f t="array" aca="1" ref="Q35" ca="1">SUMPRODUCT(TRANSPOSE(Q$13:Q$32),IS_NewStore_Trend!$G8:$Z8)</f>
        <v>7850452.592530515</v>
      </c>
      <c r="R35" s="221">
        <f t="array" aca="1" ref="R35" ca="1">SUMPRODUCT(TRANSPOSE(R$13:R$32),IS_NewStore_Trend!$G8:$Z8)</f>
        <v>8354645.9869744945</v>
      </c>
      <c r="S35" s="221">
        <f t="array" aca="1" ref="S35" ca="1">SUMPRODUCT(TRANSPOSE(S$13:S$32),IS_NewStore_Trend!$G8:$Z8)</f>
        <v>8862620.8318768013</v>
      </c>
      <c r="T35" s="221">
        <f t="array" aca="1" ref="T35" ca="1">SUMPRODUCT(TRANSPOSE(T$13:T$32),IS_NewStore_Trend!$G8:$Z8)</f>
        <v>9819720.4881158788</v>
      </c>
      <c r="U35" s="221">
        <f t="array" aca="1" ref="U35" ca="1">SUMPRODUCT(TRANSPOSE(U$13:U$32),IS_NewStore_Trend!$G8:$Z8)</f>
        <v>10783998.391776748</v>
      </c>
      <c r="V35" s="221">
        <f t="array" aca="1" ref="V35" ca="1">SUMPRODUCT(TRANSPOSE(V$13:V$32),IS_NewStore_Trend!$G8:$Z8)</f>
        <v>11310193.379715078</v>
      </c>
      <c r="W35" s="221">
        <f t="array" aca="1" ref="W35" ca="1">SUMPRODUCT(TRANSPOSE(W$13:W$32),IS_NewStore_Trend!$G8:$Z8)</f>
        <v>11840334.830062939</v>
      </c>
      <c r="X35" s="221">
        <f t="array" aca="1" ref="X35" ca="1">SUMPRODUCT(TRANSPOSE(X$13:X$32),IS_NewStore_Trend!$G8:$Z8)</f>
        <v>12819767.341288412</v>
      </c>
      <c r="Y35" s="221">
        <f t="array" aca="1" ref="Y35" ca="1">SUMPRODUCT(TRANSPOSE(Y$13:Y$32),IS_NewStore_Trend!$G8:$Z8)</f>
        <v>13806545.596348077</v>
      </c>
      <c r="Z35" s="221">
        <f t="array" aca="1" ref="Z35" ca="1">SUMPRODUCT(TRANSPOSE(Z$13:Z$32),IS_NewStore_Trend!$G8:$Z8)</f>
        <v>14355409.688320689</v>
      </c>
    </row>
    <row r="36" spans="2:26" x14ac:dyDescent="0.3">
      <c r="G36" s="210"/>
      <c r="H36" s="210"/>
      <c r="I36" s="210"/>
      <c r="J36" s="210"/>
      <c r="K36" s="210"/>
      <c r="L36" s="210"/>
      <c r="M36" s="210"/>
      <c r="N36" s="210"/>
      <c r="O36" s="210"/>
      <c r="P36" s="210"/>
      <c r="Q36" s="210"/>
      <c r="R36" s="210"/>
      <c r="S36" s="210"/>
      <c r="T36" s="210"/>
      <c r="U36" s="210"/>
      <c r="V36" s="210"/>
      <c r="W36" s="210"/>
      <c r="X36" s="210"/>
      <c r="Y36" s="210"/>
      <c r="Z36" s="210"/>
    </row>
    <row r="37" spans="2:26" x14ac:dyDescent="0.3">
      <c r="B37" s="163" t="s">
        <v>66</v>
      </c>
      <c r="G37" s="221">
        <f t="array" aca="1" ref="G37" ca="1">SUMPRODUCT(TRANSPOSE(G$13:G$32),IS_NewStore_Trend!$G10:$Z10)</f>
        <v>22165</v>
      </c>
      <c r="H37" s="221">
        <f t="array" aca="1" ref="H37" ca="1">SUMPRODUCT(TRANSPOSE(H$13:H$32),IS_NewStore_Trend!$G10:$Z10)</f>
        <v>66661.237500000003</v>
      </c>
      <c r="I37" s="221">
        <f t="array" aca="1" ref="I37" ca="1">SUMPRODUCT(TRANSPOSE(I$13:I$32),IS_NewStore_Trend!$G10:$Z10)</f>
        <v>111491.19678125001</v>
      </c>
      <c r="J37" s="221">
        <f t="array" aca="1" ref="J37" ca="1">SUMPRODUCT(TRANSPOSE(J$13:J$32),IS_NewStore_Trend!$G10:$Z10)</f>
        <v>134492.38075710938</v>
      </c>
      <c r="K37" s="221">
        <f t="array" aca="1" ref="K37" ca="1">SUMPRODUCT(TRANSPOSE(K$13:K$32),IS_NewStore_Trend!$G10:$Z10)</f>
        <v>157666.0736127877</v>
      </c>
      <c r="L37" s="221">
        <f t="array" aca="1" ref="L37" ca="1">SUMPRODUCT(TRANSPOSE(L$13:L$32),IS_NewStore_Trend!$G10:$Z10)</f>
        <v>203178.56916488361</v>
      </c>
      <c r="M37" s="221">
        <f t="array" aca="1" ref="M37" ca="1">SUMPRODUCT(TRANSPOSE(M$13:M$32),IS_NewStore_Trend!$G10:$Z10)</f>
        <v>249032.40843362026</v>
      </c>
      <c r="N37" s="221">
        <f t="array" aca="1" ref="N37" ca="1">SUMPRODUCT(TRANSPOSE(N$13:N$32),IS_NewStore_Trend!$G10:$Z10)</f>
        <v>273065.15149687242</v>
      </c>
      <c r="O37" s="221">
        <f t="array" aca="1" ref="O37" ca="1">SUMPRODUCT(TRANSPOSE(O$13:O$32),IS_NewStore_Trend!$G10:$Z10)</f>
        <v>297278.14013309899</v>
      </c>
      <c r="P37" s="221">
        <f t="array" aca="1" ref="P37" ca="1">SUMPRODUCT(TRANSPOSE(P$13:P$32),IS_NewStore_Trend!$G10:$Z10)</f>
        <v>343837.72618409729</v>
      </c>
      <c r="Q37" s="221">
        <f t="array" aca="1" ref="Q37" ca="1">SUMPRODUCT(TRANSPOSE(Q$13:Q$32),IS_NewStore_Trend!$G10:$Z10)</f>
        <v>390746.50913047808</v>
      </c>
      <c r="R37" s="221">
        <f t="array" aca="1" ref="R37" ca="1">SUMPRODUCT(TRANSPOSE(R$13:R$32),IS_NewStore_Trend!$G10:$Z10)</f>
        <v>415842.1079489566</v>
      </c>
      <c r="S37" s="221">
        <f t="array" aca="1" ref="S37" ca="1">SUMPRODUCT(TRANSPOSE(S$13:S$32),IS_NewStore_Trend!$G10:$Z10)</f>
        <v>441125.92375857383</v>
      </c>
      <c r="T37" s="221">
        <f t="array" aca="1" ref="T37" ca="1">SUMPRODUCT(TRANSPOSE(T$13:T$32),IS_NewStore_Trend!$G10:$Z10)</f>
        <v>488764.36818676325</v>
      </c>
      <c r="U37" s="221">
        <f t="array" aca="1" ref="U37" ca="1">SUMPRODUCT(TRANSPOSE(U$13:U$32),IS_NewStore_Trend!$G10:$Z10)</f>
        <v>536760.10094816401</v>
      </c>
      <c r="V37" s="221">
        <f t="array" aca="1" ref="V37" ca="1">SUMPRODUCT(TRANSPOSE(V$13:V$32),IS_NewStore_Trend!$G10:$Z10)</f>
        <v>562950.8017052752</v>
      </c>
      <c r="W37" s="221">
        <f t="array" aca="1" ref="W37" ca="1">SUMPRODUCT(TRANSPOSE(W$13:W$32),IS_NewStore_Trend!$G10:$Z10)</f>
        <v>589337.93271806475</v>
      </c>
      <c r="X37" s="221">
        <f t="array" aca="1" ref="X37" ca="1">SUMPRODUCT(TRANSPOSE(X$13:X$32),IS_NewStore_Trend!$G10:$Z10)</f>
        <v>638087.96721345047</v>
      </c>
      <c r="Y37" s="221">
        <f t="array" aca="1" ref="Y37" ca="1">SUMPRODUCT(TRANSPOSE(Y$13:Y$32),IS_NewStore_Trend!$G10:$Z10)</f>
        <v>687203.62696755142</v>
      </c>
      <c r="Z37" s="221">
        <f t="array" aca="1" ref="Z37" ca="1">SUMPRODUCT(TRANSPOSE(Z$13:Z$32),IS_NewStore_Trend!$G10:$Z10)</f>
        <v>714522.65416980779</v>
      </c>
    </row>
    <row r="38" spans="2:26" x14ac:dyDescent="0.3">
      <c r="B38" s="163" t="s">
        <v>69</v>
      </c>
      <c r="G38" s="221">
        <f t="array" aca="1" ref="G38" ca="1">SUMPRODUCT(TRANSPOSE(G$13:G$32),IS_NewStore_Trend!$G11:$Z11)</f>
        <v>102265.28</v>
      </c>
      <c r="H38" s="221">
        <f t="array" aca="1" ref="H38" ca="1">SUMPRODUCT(TRANSPOSE(H$13:H$32),IS_NewStore_Trend!$G11:$Z11)</f>
        <v>307562.8296</v>
      </c>
      <c r="I38" s="221">
        <f t="array" aca="1" ref="I38" ca="1">SUMPRODUCT(TRANSPOSE(I$13:I$32),IS_NewStore_Trend!$G11:$Z11)</f>
        <v>514400.11082200002</v>
      </c>
      <c r="J38" s="221">
        <f t="array" aca="1" ref="J38" ca="1">SUMPRODUCT(TRANSPOSE(J$13:J$32),IS_NewStore_Trend!$G11:$Z11)</f>
        <v>620523.3916531651</v>
      </c>
      <c r="K38" s="221">
        <f t="array" aca="1" ref="K38" ca="1">SUMPRODUCT(TRANSPOSE(K$13:K$32),IS_NewStore_Trend!$G11:$Z11)</f>
        <v>727442.59709056385</v>
      </c>
      <c r="L38" s="221">
        <f t="array" aca="1" ref="L38" ca="1">SUMPRODUCT(TRANSPOSE(L$13:L$32),IS_NewStore_Trend!$G11:$Z11)</f>
        <v>937428.97656874312</v>
      </c>
      <c r="M38" s="221">
        <f t="array" aca="1" ref="M38" ca="1">SUMPRODUCT(TRANSPOSE(M$13:M$32),IS_NewStore_Trend!$G11:$Z11)</f>
        <v>1148990.2538930087</v>
      </c>
      <c r="N38" s="221">
        <f t="array" aca="1" ref="N38" ca="1">SUMPRODUCT(TRANSPOSE(N$13:N$32),IS_NewStore_Trend!$G11:$Z11)</f>
        <v>1259872.9607972065</v>
      </c>
      <c r="O38" s="221">
        <f t="array" aca="1" ref="O38" ca="1">SUMPRODUCT(TRANSPOSE(O$13:O$32),IS_NewStore_Trend!$G11:$Z11)</f>
        <v>1371587.2880031855</v>
      </c>
      <c r="P38" s="221">
        <f t="array" aca="1" ref="P38" ca="1">SUMPRODUCT(TRANSPOSE(P$13:P$32),IS_NewStore_Trend!$G11:$Z11)</f>
        <v>1586404.7526632096</v>
      </c>
      <c r="Q38" s="221">
        <f t="array" aca="1" ref="Q38" ca="1">SUMPRODUCT(TRANSPOSE(Q$13:Q$32),IS_NewStore_Trend!$G11:$Z11)</f>
        <v>1802833.3483081837</v>
      </c>
      <c r="R38" s="221">
        <f t="array" aca="1" ref="R38" ca="1">SUMPRODUCT(TRANSPOSE(R$13:R$32),IS_NewStore_Trend!$G11:$Z11)</f>
        <v>1918619.8784204952</v>
      </c>
      <c r="S38" s="221">
        <f t="array" aca="1" ref="S38" ca="1">SUMPRODUCT(TRANSPOSE(S$13:S$32),IS_NewStore_Trend!$G11:$Z11)</f>
        <v>2035274.8075086488</v>
      </c>
      <c r="T38" s="221">
        <f t="array" aca="1" ref="T38" ca="1">SUMPRODUCT(TRANSPOSE(T$13:T$32),IS_NewStore_Trend!$G11:$Z11)</f>
        <v>2255069.9285649639</v>
      </c>
      <c r="U38" s="221">
        <f t="array" aca="1" ref="U38" ca="1">SUMPRODUCT(TRANSPOSE(U$13:U$32),IS_NewStore_Trend!$G11:$Z11)</f>
        <v>2476513.5130292014</v>
      </c>
      <c r="V38" s="221">
        <f t="array" aca="1" ref="V38" ca="1">SUMPRODUCT(TRANSPOSE(V$13:V$32),IS_NewStore_Trend!$G11:$Z11)</f>
        <v>2597352.6443769205</v>
      </c>
      <c r="W38" s="221">
        <f t="array" aca="1" ref="W38" ca="1">SUMPRODUCT(TRANSPOSE(W$13:W$32),IS_NewStore_Trend!$G11:$Z11)</f>
        <v>2719098.069209747</v>
      </c>
      <c r="X38" s="221">
        <f t="array" aca="1" ref="X38" ca="1">SUMPRODUCT(TRANSPOSE(X$13:X$32),IS_NewStore_Trend!$G11:$Z11)</f>
        <v>2944021.8647288205</v>
      </c>
      <c r="Y38" s="221">
        <f t="array" aca="1" ref="Y38" ca="1">SUMPRODUCT(TRANSPOSE(Y$13:Y$32),IS_NewStore_Trend!$G11:$Z11)</f>
        <v>3170632.5887142876</v>
      </c>
      <c r="Z38" s="221">
        <f t="array" aca="1" ref="Z38" ca="1">SUMPRODUCT(TRANSPOSE(Z$13:Z$32),IS_NewStore_Trend!$G11:$Z11)</f>
        <v>3296677.6131296447</v>
      </c>
    </row>
    <row r="39" spans="2:26" x14ac:dyDescent="0.3">
      <c r="B39" s="199" t="s">
        <v>199</v>
      </c>
      <c r="C39" s="199"/>
      <c r="D39" s="199"/>
      <c r="E39" s="199"/>
      <c r="F39" s="199"/>
      <c r="G39" s="222">
        <f t="array" aca="1" ref="G39" ca="1">SUMPRODUCT(TRANSPOSE(G$13:G$32),IS_NewStore_Trend!$G12:$Z12)</f>
        <v>124430.28</v>
      </c>
      <c r="H39" s="222">
        <f t="array" aca="1" ref="H39" ca="1">SUMPRODUCT(TRANSPOSE(H$13:H$32),IS_NewStore_Trend!$G12:$Z12)</f>
        <v>374224.06709999999</v>
      </c>
      <c r="I39" s="222">
        <f t="array" aca="1" ref="I39" ca="1">SUMPRODUCT(TRANSPOSE(I$13:I$32),IS_NewStore_Trend!$G12:$Z12)</f>
        <v>625891.30760325002</v>
      </c>
      <c r="J39" s="222">
        <f t="array" aca="1" ref="J39" ca="1">SUMPRODUCT(TRANSPOSE(J$13:J$32),IS_NewStore_Trend!$G12:$Z12)</f>
        <v>755015.77241027448</v>
      </c>
      <c r="K39" s="222">
        <f t="array" aca="1" ref="K39" ca="1">SUMPRODUCT(TRANSPOSE(K$13:K$32),IS_NewStore_Trend!$G12:$Z12)</f>
        <v>885108.6707033515</v>
      </c>
      <c r="L39" s="222">
        <f t="array" aca="1" ref="L39" ca="1">SUMPRODUCT(TRANSPOSE(L$13:L$32),IS_NewStore_Trend!$G12:$Z12)</f>
        <v>1140607.5457336265</v>
      </c>
      <c r="M39" s="222">
        <f t="array" aca="1" ref="M39" ca="1">SUMPRODUCT(TRANSPOSE(M$13:M$32),IS_NewStore_Trend!$G12:$Z12)</f>
        <v>1398022.6623266288</v>
      </c>
      <c r="N39" s="222">
        <f t="array" aca="1" ref="N39" ca="1">SUMPRODUCT(TRANSPOSE(N$13:N$32),IS_NewStore_Trend!$G12:$Z12)</f>
        <v>1532938.1122940788</v>
      </c>
      <c r="O39" s="222">
        <f t="array" aca="1" ref="O39" ca="1">SUMPRODUCT(TRANSPOSE(O$13:O$32),IS_NewStore_Trend!$G12:$Z12)</f>
        <v>1668865.4281362842</v>
      </c>
      <c r="P39" s="222">
        <f t="array" aca="1" ref="P39" ca="1">SUMPRODUCT(TRANSPOSE(P$13:P$32),IS_NewStore_Trend!$G12:$Z12)</f>
        <v>1930242.4788473062</v>
      </c>
      <c r="Q39" s="222">
        <f t="array" aca="1" ref="Q39" ca="1">SUMPRODUCT(TRANSPOSE(Q$13:Q$32),IS_NewStore_Trend!$G12:$Z12)</f>
        <v>2193579.8574386616</v>
      </c>
      <c r="R39" s="222">
        <f t="array" aca="1" ref="R39" ca="1">SUMPRODUCT(TRANSPOSE(R$13:R$32),IS_NewStore_Trend!$G12:$Z12)</f>
        <v>2334461.986369452</v>
      </c>
      <c r="S39" s="222">
        <f t="array" aca="1" ref="S39" ca="1">SUMPRODUCT(TRANSPOSE(S$13:S$32),IS_NewStore_Trend!$G12:$Z12)</f>
        <v>2476400.7312672227</v>
      </c>
      <c r="T39" s="222">
        <f t="array" aca="1" ref="T39" ca="1">SUMPRODUCT(TRANSPOSE(T$13:T$32),IS_NewStore_Trend!$G12:$Z12)</f>
        <v>2743834.2967517264</v>
      </c>
      <c r="U39" s="222">
        <f t="array" aca="1" ref="U39" ca="1">SUMPRODUCT(TRANSPOSE(U$13:U$32),IS_NewStore_Trend!$G12:$Z12)</f>
        <v>3013273.6139773652</v>
      </c>
      <c r="V39" s="222">
        <f t="array" aca="1" ref="V39" ca="1">SUMPRODUCT(TRANSPOSE(V$13:V$32),IS_NewStore_Trend!$G12:$Z12)</f>
        <v>3160303.4460821957</v>
      </c>
      <c r="W39" s="222">
        <f t="array" aca="1" ref="W39" ca="1">SUMPRODUCT(TRANSPOSE(W$13:W$32),IS_NewStore_Trend!$G12:$Z12)</f>
        <v>3308436.001927813</v>
      </c>
      <c r="X39" s="222">
        <f t="array" aca="1" ref="X39" ca="1">SUMPRODUCT(TRANSPOSE(X$13:X$32),IS_NewStore_Trend!$G12:$Z12)</f>
        <v>3582109.8319422705</v>
      </c>
      <c r="Y39" s="222">
        <f t="array" aca="1" ref="Y39" ca="1">SUMPRODUCT(TRANSPOSE(Y$13:Y$32),IS_NewStore_Trend!$G12:$Z12)</f>
        <v>3857836.2156818383</v>
      </c>
      <c r="Z39" s="222">
        <f t="array" aca="1" ref="Z39" ca="1">SUMPRODUCT(TRANSPOSE(Z$13:Z$32),IS_NewStore_Trend!$G12:$Z12)</f>
        <v>4011200.2672994523</v>
      </c>
    </row>
    <row r="40" spans="2:26" x14ac:dyDescent="0.3">
      <c r="G40" s="221"/>
      <c r="H40" s="221"/>
      <c r="I40" s="221"/>
      <c r="J40" s="221"/>
      <c r="K40" s="221"/>
      <c r="L40" s="221"/>
      <c r="M40" s="221"/>
      <c r="N40" s="221"/>
      <c r="O40" s="221"/>
      <c r="P40" s="221"/>
      <c r="Q40" s="221"/>
      <c r="R40" s="221"/>
      <c r="S40" s="221"/>
      <c r="T40" s="221"/>
      <c r="U40" s="221"/>
      <c r="V40" s="221"/>
      <c r="W40" s="221"/>
      <c r="X40" s="221"/>
      <c r="Y40" s="221"/>
      <c r="Z40" s="221"/>
    </row>
    <row r="41" spans="2:26" x14ac:dyDescent="0.3">
      <c r="B41" s="163" t="s">
        <v>1</v>
      </c>
      <c r="G41" s="221">
        <f t="array" aca="1" ref="G41" ca="1">SUMPRODUCT(TRANSPOSE(G$13:G$32),IS_NewStore_Trend!$G14:$Z14)</f>
        <v>9581.131559999998</v>
      </c>
      <c r="H41" s="221">
        <f t="array" aca="1" ref="H41" ca="1">SUMPRODUCT(TRANSPOSE(H$13:H$32),IS_NewStore_Trend!$G14:$Z14)</f>
        <v>28815.253166699993</v>
      </c>
      <c r="I41" s="221">
        <f t="array" aca="1" ref="I41" ca="1">SUMPRODUCT(TRANSPOSE(I$13:I$32),IS_NewStore_Trend!$G14:$Z14)</f>
        <v>48193.630685450247</v>
      </c>
      <c r="J41" s="221">
        <f t="array" aca="1" ref="J41" ca="1">SUMPRODUCT(TRANSPOSE(J$13:J$32),IS_NewStore_Trend!$G14:$Z14)</f>
        <v>58136.214475591121</v>
      </c>
      <c r="K41" s="221">
        <f t="array" aca="1" ref="K41" ca="1">SUMPRODUCT(TRANSPOSE(K$13:K$32),IS_NewStore_Trend!$G14:$Z14)</f>
        <v>68153.367644158061</v>
      </c>
      <c r="L41" s="221">
        <f t="array" aca="1" ref="L41" ca="1">SUMPRODUCT(TRANSPOSE(L$13:L$32),IS_NewStore_Trend!$G14:$Z14)</f>
        <v>87826.781021489238</v>
      </c>
      <c r="M41" s="221">
        <f t="array" aca="1" ref="M41" ca="1">SUMPRODUCT(TRANSPOSE(M$13:M$32),IS_NewStore_Trend!$G14:$Z14)</f>
        <v>107647.74499915043</v>
      </c>
      <c r="N41" s="221">
        <f t="array" aca="1" ref="N41" ca="1">SUMPRODUCT(TRANSPOSE(N$13:N$32),IS_NewStore_Trend!$G14:$Z14)</f>
        <v>118036.23464664406</v>
      </c>
      <c r="O41" s="221">
        <f t="array" aca="1" ref="O41" ca="1">SUMPRODUCT(TRANSPOSE(O$13:O$32),IS_NewStore_Trend!$G14:$Z14)</f>
        <v>128502.6379664939</v>
      </c>
      <c r="P41" s="221">
        <f t="array" aca="1" ref="P41" ca="1">SUMPRODUCT(TRANSPOSE(P$13:P$32),IS_NewStore_Trend!$G14:$Z14)</f>
        <v>148628.67087124259</v>
      </c>
      <c r="Q41" s="221">
        <f t="array" aca="1" ref="Q41" ca="1">SUMPRODUCT(TRANSPOSE(Q$13:Q$32),IS_NewStore_Trend!$G14:$Z14)</f>
        <v>168905.64902277695</v>
      </c>
      <c r="R41" s="221">
        <f t="array" aca="1" ref="R41" ca="1">SUMPRODUCT(TRANSPOSE(R$13:R$32),IS_NewStore_Trend!$G14:$Z14)</f>
        <v>179753.57295044779</v>
      </c>
      <c r="S41" s="221">
        <f t="array" aca="1" ref="S41" ca="1">SUMPRODUCT(TRANSPOSE(S$13:S$32),IS_NewStore_Trend!$G14:$Z14)</f>
        <v>190682.85630757618</v>
      </c>
      <c r="T41" s="221">
        <f t="array" aca="1" ref="T41" ca="1">SUMPRODUCT(TRANSPOSE(T$13:T$32),IS_NewStore_Trend!$G14:$Z14)</f>
        <v>211275.24084988298</v>
      </c>
      <c r="U41" s="221">
        <f t="array" aca="1" ref="U41" ca="1">SUMPRODUCT(TRANSPOSE(U$13:U$32),IS_NewStore_Trend!$G14:$Z14)</f>
        <v>232022.06827625714</v>
      </c>
      <c r="V41" s="221">
        <f t="array" aca="1" ref="V41" ca="1">SUMPRODUCT(TRANSPOSE(V$13:V$32),IS_NewStore_Trend!$G14:$Z14)</f>
        <v>243343.36534832907</v>
      </c>
      <c r="W41" s="221">
        <f t="array" aca="1" ref="W41" ca="1">SUMPRODUCT(TRANSPOSE(W$13:W$32),IS_NewStore_Trend!$G14:$Z14)</f>
        <v>254749.57214844157</v>
      </c>
      <c r="X41" s="221">
        <f t="array" aca="1" ref="X41" ca="1">SUMPRODUCT(TRANSPOSE(X$13:X$32),IS_NewStore_Trend!$G14:$Z14)</f>
        <v>275822.45705955487</v>
      </c>
      <c r="Y41" s="221">
        <f t="array" aca="1" ref="Y41" ca="1">SUMPRODUCT(TRANSPOSE(Y$13:Y$32),IS_NewStore_Trend!$G14:$Z14)</f>
        <v>297053.38860750158</v>
      </c>
      <c r="Z41" s="221">
        <f t="array" aca="1" ref="Z41" ca="1">SUMPRODUCT(TRANSPOSE(Z$13:Z$32),IS_NewStore_Trend!$G14:$Z14)</f>
        <v>308862.42058205791</v>
      </c>
    </row>
    <row r="42" spans="2:26" x14ac:dyDescent="0.3">
      <c r="B42" s="163" t="s">
        <v>0</v>
      </c>
      <c r="G42" s="221">
        <f t="array" ref="G42">SUMPRODUCT(TRANSPOSE(G$13:G$32),IS_NewStore_Trend!$G15:$Z15)</f>
        <v>5750</v>
      </c>
      <c r="H42" s="221">
        <f t="array" aca="1" ref="H42" ca="1">SUMPRODUCT(TRANSPOSE(H$13:H$32),IS_NewStore_Trend!$G15:$Z15)</f>
        <v>17250</v>
      </c>
      <c r="I42" s="221">
        <f t="array" aca="1" ref="I42" ca="1">SUMPRODUCT(TRANSPOSE(I$13:I$32),IS_NewStore_Trend!$G15:$Z15)</f>
        <v>28750</v>
      </c>
      <c r="J42" s="221">
        <f t="array" aca="1" ref="J42" ca="1">SUMPRODUCT(TRANSPOSE(J$13:J$32),IS_NewStore_Trend!$G15:$Z15)</f>
        <v>34500</v>
      </c>
      <c r="K42" s="221">
        <f t="array" aca="1" ref="K42" ca="1">SUMPRODUCT(TRANSPOSE(K$13:K$32),IS_NewStore_Trend!$G15:$Z15)</f>
        <v>40250</v>
      </c>
      <c r="L42" s="221">
        <f t="array" aca="1" ref="L42" ca="1">SUMPRODUCT(TRANSPOSE(L$13:L$32),IS_NewStore_Trend!$G15:$Z15)</f>
        <v>51750</v>
      </c>
      <c r="M42" s="221">
        <f t="array" aca="1" ref="M42" ca="1">SUMPRODUCT(TRANSPOSE(M$13:M$32),IS_NewStore_Trend!$G15:$Z15)</f>
        <v>63250</v>
      </c>
      <c r="N42" s="221">
        <f t="array" aca="1" ref="N42" ca="1">SUMPRODUCT(TRANSPOSE(N$13:N$32),IS_NewStore_Trend!$G15:$Z15)</f>
        <v>69000</v>
      </c>
      <c r="O42" s="221">
        <f t="array" aca="1" ref="O42" ca="1">SUMPRODUCT(TRANSPOSE(O$13:O$32),IS_NewStore_Trend!$G15:$Z15)</f>
        <v>74750</v>
      </c>
      <c r="P42" s="221">
        <f t="array" aca="1" ref="P42" ca="1">SUMPRODUCT(TRANSPOSE(P$13:P$32),IS_NewStore_Trend!$G15:$Z15)</f>
        <v>86250</v>
      </c>
      <c r="Q42" s="221">
        <f t="array" aca="1" ref="Q42" ca="1">SUMPRODUCT(TRANSPOSE(Q$13:Q$32),IS_NewStore_Trend!$G15:$Z15)</f>
        <v>97750</v>
      </c>
      <c r="R42" s="221">
        <f t="array" aca="1" ref="R42" ca="1">SUMPRODUCT(TRANSPOSE(R$13:R$32),IS_NewStore_Trend!$G15:$Z15)</f>
        <v>103500</v>
      </c>
      <c r="S42" s="221">
        <f t="array" aca="1" ref="S42" ca="1">SUMPRODUCT(TRANSPOSE(S$13:S$32),IS_NewStore_Trend!$G15:$Z15)</f>
        <v>109250</v>
      </c>
      <c r="T42" s="221">
        <f t="array" aca="1" ref="T42" ca="1">SUMPRODUCT(TRANSPOSE(T$13:T$32),IS_NewStore_Trend!$G15:$Z15)</f>
        <v>120750</v>
      </c>
      <c r="U42" s="221">
        <f t="array" aca="1" ref="U42" ca="1">SUMPRODUCT(TRANSPOSE(U$13:U$32),IS_NewStore_Trend!$G15:$Z15)</f>
        <v>132250</v>
      </c>
      <c r="V42" s="221">
        <f t="array" aca="1" ref="V42" ca="1">SUMPRODUCT(TRANSPOSE(V$13:V$32),IS_NewStore_Trend!$G15:$Z15)</f>
        <v>138000</v>
      </c>
      <c r="W42" s="221">
        <f t="array" aca="1" ref="W42" ca="1">SUMPRODUCT(TRANSPOSE(W$13:W$32),IS_NewStore_Trend!$G15:$Z15)</f>
        <v>143750</v>
      </c>
      <c r="X42" s="221">
        <f t="array" aca="1" ref="X42" ca="1">SUMPRODUCT(TRANSPOSE(X$13:X$32),IS_NewStore_Trend!$G15:$Z15)</f>
        <v>155250</v>
      </c>
      <c r="Y42" s="221">
        <f t="array" aca="1" ref="Y42" ca="1">SUMPRODUCT(TRANSPOSE(Y$13:Y$32),IS_NewStore_Trend!$G15:$Z15)</f>
        <v>166750</v>
      </c>
      <c r="Z42" s="221">
        <f t="array" aca="1" ref="Z42" ca="1">SUMPRODUCT(TRANSPOSE(Z$13:Z$32),IS_NewStore_Trend!$G15:$Z15)</f>
        <v>172500</v>
      </c>
    </row>
    <row r="43" spans="2:26" x14ac:dyDescent="0.3">
      <c r="B43" s="163" t="s">
        <v>2</v>
      </c>
      <c r="G43" s="221">
        <f t="array" aca="1" ref="G43" ca="1">SUMPRODUCT(TRANSPOSE(G$13:G$32),IS_NewStore_Trend!$G16:$Z16)</f>
        <v>2799.6812999999997</v>
      </c>
      <c r="H43" s="221">
        <f t="array" aca="1" ref="H43" ca="1">SUMPRODUCT(TRANSPOSE(H$13:H$32),IS_NewStore_Trend!$G16:$Z16)</f>
        <v>8420.041509749999</v>
      </c>
      <c r="I43" s="221">
        <f t="array" aca="1" ref="I43" ca="1">SUMPRODUCT(TRANSPOSE(I$13:I$32),IS_NewStore_Trend!$G16:$Z16)</f>
        <v>14082.554421073124</v>
      </c>
      <c r="J43" s="221">
        <f t="array" aca="1" ref="J43" ca="1">SUMPRODUCT(TRANSPOSE(J$13:J$32),IS_NewStore_Trend!$G16:$Z16)</f>
        <v>16987.854879231174</v>
      </c>
      <c r="K43" s="221">
        <f t="array" aca="1" ref="K43" ca="1">SUMPRODUCT(TRANSPOSE(K$13:K$32),IS_NewStore_Trend!$G16:$Z16)</f>
        <v>19914.945090825408</v>
      </c>
      <c r="L43" s="221">
        <f t="array" aca="1" ref="L43" ca="1">SUMPRODUCT(TRANSPOSE(L$13:L$32),IS_NewStore_Trend!$G16:$Z16)</f>
        <v>25663.669779006599</v>
      </c>
      <c r="M43" s="221">
        <f t="array" aca="1" ref="M43" ca="1">SUMPRODUCT(TRANSPOSE(M$13:M$32),IS_NewStore_Trend!$G16:$Z16)</f>
        <v>31455.509902349149</v>
      </c>
      <c r="N43" s="221">
        <f t="array" aca="1" ref="N43" ca="1">SUMPRODUCT(TRANSPOSE(N$13:N$32),IS_NewStore_Trend!$G16:$Z16)</f>
        <v>34491.107526616775</v>
      </c>
      <c r="O43" s="221">
        <f t="array" aca="1" ref="O43" ca="1">SUMPRODUCT(TRANSPOSE(O$13:O$32),IS_NewStore_Trend!$G16:$Z16)</f>
        <v>37549.472133066403</v>
      </c>
      <c r="P43" s="221">
        <f t="array" aca="1" ref="P43" ca="1">SUMPRODUCT(TRANSPOSE(P$13:P$32),IS_NewStore_Trend!$G16:$Z16)</f>
        <v>43430.455774064401</v>
      </c>
      <c r="Q43" s="221">
        <f t="array" aca="1" ref="Q43" ca="1">SUMPRODUCT(TRANSPOSE(Q$13:Q$32),IS_NewStore_Trend!$G16:$Z16)</f>
        <v>49355.546792369889</v>
      </c>
      <c r="R43" s="221">
        <f t="array" aca="1" ref="R43" ca="1">SUMPRODUCT(TRANSPOSE(R$13:R$32),IS_NewStore_Trend!$G16:$Z16)</f>
        <v>52525.394693312672</v>
      </c>
      <c r="S43" s="221">
        <f t="array" aca="1" ref="S43" ca="1">SUMPRODUCT(TRANSPOSE(S$13:S$32),IS_NewStore_Trend!$G16:$Z16)</f>
        <v>55719.016453512522</v>
      </c>
      <c r="T43" s="221">
        <f t="array" aca="1" ref="T43" ca="1">SUMPRODUCT(TRANSPOSE(T$13:T$32),IS_NewStore_Trend!$G16:$Z16)</f>
        <v>61736.271676913864</v>
      </c>
      <c r="U43" s="221">
        <f t="array" aca="1" ref="U43" ca="1">SUMPRODUCT(TRANSPOSE(U$13:U$32),IS_NewStore_Trend!$G16:$Z16)</f>
        <v>67798.656314490727</v>
      </c>
      <c r="V43" s="221">
        <f t="array" aca="1" ref="V43" ca="1">SUMPRODUCT(TRANSPOSE(V$13:V$32),IS_NewStore_Trend!$G16:$Z16)</f>
        <v>71106.827536849421</v>
      </c>
      <c r="W43" s="221">
        <f t="array" aca="1" ref="W43" ca="1">SUMPRODUCT(TRANSPOSE(W$13:W$32),IS_NewStore_Trend!$G16:$Z16)</f>
        <v>74439.810043375794</v>
      </c>
      <c r="X43" s="221">
        <f t="array" aca="1" ref="X43" ca="1">SUMPRODUCT(TRANSPOSE(X$13:X$32),IS_NewStore_Trend!$G16:$Z16)</f>
        <v>80597.471218701117</v>
      </c>
      <c r="Y43" s="221">
        <f t="array" aca="1" ref="Y43" ca="1">SUMPRODUCT(TRANSPOSE(Y$13:Y$32),IS_NewStore_Trend!$G16:$Z16)</f>
        <v>86801.314852841388</v>
      </c>
      <c r="Z43" s="221">
        <f t="array" aca="1" ref="Z43" ca="1">SUMPRODUCT(TRANSPOSE(Z$13:Z$32),IS_NewStore_Trend!$G16:$Z16)</f>
        <v>90252.006014237704</v>
      </c>
    </row>
    <row r="44" spans="2:26" x14ac:dyDescent="0.3">
      <c r="B44" s="163" t="s">
        <v>3</v>
      </c>
      <c r="G44" s="221">
        <f t="array" aca="1" ref="G44" ca="1">SUMPRODUCT(TRANSPOSE(G$13:G$32),IS_NewStore_Trend!$G17:$Z17)</f>
        <v>2799.6812999999997</v>
      </c>
      <c r="H44" s="221">
        <f t="array" aca="1" ref="H44" ca="1">SUMPRODUCT(TRANSPOSE(H$13:H$32),IS_NewStore_Trend!$G17:$Z17)</f>
        <v>8420.041509749999</v>
      </c>
      <c r="I44" s="221">
        <f t="array" aca="1" ref="I44" ca="1">SUMPRODUCT(TRANSPOSE(I$13:I$32),IS_NewStore_Trend!$G17:$Z17)</f>
        <v>14082.554421073124</v>
      </c>
      <c r="J44" s="221">
        <f t="array" aca="1" ref="J44" ca="1">SUMPRODUCT(TRANSPOSE(J$13:J$32),IS_NewStore_Trend!$G17:$Z17)</f>
        <v>16987.854879231174</v>
      </c>
      <c r="K44" s="221">
        <f t="array" aca="1" ref="K44" ca="1">SUMPRODUCT(TRANSPOSE(K$13:K$32),IS_NewStore_Trend!$G17:$Z17)</f>
        <v>19914.945090825408</v>
      </c>
      <c r="L44" s="221">
        <f t="array" aca="1" ref="L44" ca="1">SUMPRODUCT(TRANSPOSE(L$13:L$32),IS_NewStore_Trend!$G17:$Z17)</f>
        <v>25663.669779006599</v>
      </c>
      <c r="M44" s="221">
        <f t="array" aca="1" ref="M44" ca="1">SUMPRODUCT(TRANSPOSE(M$13:M$32),IS_NewStore_Trend!$G17:$Z17)</f>
        <v>31455.509902349149</v>
      </c>
      <c r="N44" s="221">
        <f t="array" aca="1" ref="N44" ca="1">SUMPRODUCT(TRANSPOSE(N$13:N$32),IS_NewStore_Trend!$G17:$Z17)</f>
        <v>34491.107526616775</v>
      </c>
      <c r="O44" s="221">
        <f t="array" aca="1" ref="O44" ca="1">SUMPRODUCT(TRANSPOSE(O$13:O$32),IS_NewStore_Trend!$G17:$Z17)</f>
        <v>37549.472133066403</v>
      </c>
      <c r="P44" s="221">
        <f t="array" aca="1" ref="P44" ca="1">SUMPRODUCT(TRANSPOSE(P$13:P$32),IS_NewStore_Trend!$G17:$Z17)</f>
        <v>43430.455774064401</v>
      </c>
      <c r="Q44" s="221">
        <f t="array" aca="1" ref="Q44" ca="1">SUMPRODUCT(TRANSPOSE(Q$13:Q$32),IS_NewStore_Trend!$G17:$Z17)</f>
        <v>49355.546792369889</v>
      </c>
      <c r="R44" s="221">
        <f t="array" aca="1" ref="R44" ca="1">SUMPRODUCT(TRANSPOSE(R$13:R$32),IS_NewStore_Trend!$G17:$Z17)</f>
        <v>52525.394693312672</v>
      </c>
      <c r="S44" s="221">
        <f t="array" aca="1" ref="S44" ca="1">SUMPRODUCT(TRANSPOSE(S$13:S$32),IS_NewStore_Trend!$G17:$Z17)</f>
        <v>55719.016453512522</v>
      </c>
      <c r="T44" s="221">
        <f t="array" aca="1" ref="T44" ca="1">SUMPRODUCT(TRANSPOSE(T$13:T$32),IS_NewStore_Trend!$G17:$Z17)</f>
        <v>61736.271676913864</v>
      </c>
      <c r="U44" s="221">
        <f t="array" aca="1" ref="U44" ca="1">SUMPRODUCT(TRANSPOSE(U$13:U$32),IS_NewStore_Trend!$G17:$Z17)</f>
        <v>67798.656314490727</v>
      </c>
      <c r="V44" s="221">
        <f t="array" aca="1" ref="V44" ca="1">SUMPRODUCT(TRANSPOSE(V$13:V$32),IS_NewStore_Trend!$G17:$Z17)</f>
        <v>71106.827536849421</v>
      </c>
      <c r="W44" s="221">
        <f t="array" aca="1" ref="W44" ca="1">SUMPRODUCT(TRANSPOSE(W$13:W$32),IS_NewStore_Trend!$G17:$Z17)</f>
        <v>74439.810043375794</v>
      </c>
      <c r="X44" s="221">
        <f t="array" aca="1" ref="X44" ca="1">SUMPRODUCT(TRANSPOSE(X$13:X$32),IS_NewStore_Trend!$G17:$Z17)</f>
        <v>80597.471218701117</v>
      </c>
      <c r="Y44" s="221">
        <f t="array" aca="1" ref="Y44" ca="1">SUMPRODUCT(TRANSPOSE(Y$13:Y$32),IS_NewStore_Trend!$G17:$Z17)</f>
        <v>86801.314852841388</v>
      </c>
      <c r="Z44" s="221">
        <f t="array" aca="1" ref="Z44" ca="1">SUMPRODUCT(TRANSPOSE(Z$13:Z$32),IS_NewStore_Trend!$G17:$Z17)</f>
        <v>90252.006014237704</v>
      </c>
    </row>
    <row r="45" spans="2:26" x14ac:dyDescent="0.3">
      <c r="B45" s="163" t="s">
        <v>16</v>
      </c>
      <c r="G45" s="221">
        <f t="array" aca="1" ref="G45" ca="1">SUMPRODUCT(TRANSPOSE(G$13:G$32),IS_NewStore_Trend!$G18:$Z18)</f>
        <v>2799.6812999999997</v>
      </c>
      <c r="H45" s="221">
        <f t="array" aca="1" ref="H45" ca="1">SUMPRODUCT(TRANSPOSE(H$13:H$32),IS_NewStore_Trend!$G18:$Z18)</f>
        <v>8420.041509749999</v>
      </c>
      <c r="I45" s="221">
        <f t="array" aca="1" ref="I45" ca="1">SUMPRODUCT(TRANSPOSE(I$13:I$32),IS_NewStore_Trend!$G18:$Z18)</f>
        <v>14082.554421073124</v>
      </c>
      <c r="J45" s="221">
        <f t="array" aca="1" ref="J45" ca="1">SUMPRODUCT(TRANSPOSE(J$13:J$32),IS_NewStore_Trend!$G18:$Z18)</f>
        <v>16987.854879231174</v>
      </c>
      <c r="K45" s="221">
        <f t="array" aca="1" ref="K45" ca="1">SUMPRODUCT(TRANSPOSE(K$13:K$32),IS_NewStore_Trend!$G18:$Z18)</f>
        <v>19914.945090825408</v>
      </c>
      <c r="L45" s="221">
        <f t="array" aca="1" ref="L45" ca="1">SUMPRODUCT(TRANSPOSE(L$13:L$32),IS_NewStore_Trend!$G18:$Z18)</f>
        <v>25663.669779006599</v>
      </c>
      <c r="M45" s="221">
        <f t="array" aca="1" ref="M45" ca="1">SUMPRODUCT(TRANSPOSE(M$13:M$32),IS_NewStore_Trend!$G18:$Z18)</f>
        <v>31455.509902349149</v>
      </c>
      <c r="N45" s="221">
        <f t="array" aca="1" ref="N45" ca="1">SUMPRODUCT(TRANSPOSE(N$13:N$32),IS_NewStore_Trend!$G18:$Z18)</f>
        <v>34491.107526616775</v>
      </c>
      <c r="O45" s="221">
        <f t="array" aca="1" ref="O45" ca="1">SUMPRODUCT(TRANSPOSE(O$13:O$32),IS_NewStore_Trend!$G18:$Z18)</f>
        <v>37549.472133066403</v>
      </c>
      <c r="P45" s="221">
        <f t="array" aca="1" ref="P45" ca="1">SUMPRODUCT(TRANSPOSE(P$13:P$32),IS_NewStore_Trend!$G18:$Z18)</f>
        <v>43430.455774064401</v>
      </c>
      <c r="Q45" s="221">
        <f t="array" aca="1" ref="Q45" ca="1">SUMPRODUCT(TRANSPOSE(Q$13:Q$32),IS_NewStore_Trend!$G18:$Z18)</f>
        <v>49355.546792369889</v>
      </c>
      <c r="R45" s="221">
        <f t="array" aca="1" ref="R45" ca="1">SUMPRODUCT(TRANSPOSE(R$13:R$32),IS_NewStore_Trend!$G18:$Z18)</f>
        <v>52525.394693312672</v>
      </c>
      <c r="S45" s="221">
        <f t="array" aca="1" ref="S45" ca="1">SUMPRODUCT(TRANSPOSE(S$13:S$32),IS_NewStore_Trend!$G18:$Z18)</f>
        <v>55719.016453512522</v>
      </c>
      <c r="T45" s="221">
        <f t="array" aca="1" ref="T45" ca="1">SUMPRODUCT(TRANSPOSE(T$13:T$32),IS_NewStore_Trend!$G18:$Z18)</f>
        <v>61736.271676913864</v>
      </c>
      <c r="U45" s="221">
        <f t="array" aca="1" ref="U45" ca="1">SUMPRODUCT(TRANSPOSE(U$13:U$32),IS_NewStore_Trend!$G18:$Z18)</f>
        <v>67798.656314490727</v>
      </c>
      <c r="V45" s="221">
        <f t="array" aca="1" ref="V45" ca="1">SUMPRODUCT(TRANSPOSE(V$13:V$32),IS_NewStore_Trend!$G18:$Z18)</f>
        <v>71106.827536849421</v>
      </c>
      <c r="W45" s="221">
        <f t="array" aca="1" ref="W45" ca="1">SUMPRODUCT(TRANSPOSE(W$13:W$32),IS_NewStore_Trend!$G18:$Z18)</f>
        <v>74439.810043375794</v>
      </c>
      <c r="X45" s="221">
        <f t="array" aca="1" ref="X45" ca="1">SUMPRODUCT(TRANSPOSE(X$13:X$32),IS_NewStore_Trend!$G18:$Z18)</f>
        <v>80597.471218701117</v>
      </c>
      <c r="Y45" s="221">
        <f t="array" aca="1" ref="Y45" ca="1">SUMPRODUCT(TRANSPOSE(Y$13:Y$32),IS_NewStore_Trend!$G18:$Z18)</f>
        <v>86801.314852841388</v>
      </c>
      <c r="Z45" s="221">
        <f t="array" aca="1" ref="Z45" ca="1">SUMPRODUCT(TRANSPOSE(Z$13:Z$32),IS_NewStore_Trend!$G18:$Z18)</f>
        <v>90252.006014237704</v>
      </c>
    </row>
    <row r="46" spans="2:26" x14ac:dyDescent="0.3">
      <c r="B46" s="163" t="s">
        <v>4</v>
      </c>
      <c r="G46" s="221">
        <f t="array" aca="1" ref="G46" ca="1">SUMPRODUCT(TRANSPOSE(G$13:G$32),IS_NewStore_Trend!$G19:$Z19)</f>
        <v>5599.3625999999995</v>
      </c>
      <c r="H46" s="221">
        <f t="array" aca="1" ref="H46" ca="1">SUMPRODUCT(TRANSPOSE(H$13:H$32),IS_NewStore_Trend!$G19:$Z19)</f>
        <v>16840.083019499998</v>
      </c>
      <c r="I46" s="221">
        <f t="array" aca="1" ref="I46" ca="1">SUMPRODUCT(TRANSPOSE(I$13:I$32),IS_NewStore_Trend!$G19:$Z19)</f>
        <v>28165.108842146248</v>
      </c>
      <c r="J46" s="221">
        <f t="array" aca="1" ref="J46" ca="1">SUMPRODUCT(TRANSPOSE(J$13:J$32),IS_NewStore_Trend!$G19:$Z19)</f>
        <v>33975.709758462348</v>
      </c>
      <c r="K46" s="221">
        <f t="array" aca="1" ref="K46" ca="1">SUMPRODUCT(TRANSPOSE(K$13:K$32),IS_NewStore_Trend!$G19:$Z19)</f>
        <v>39829.890181650815</v>
      </c>
      <c r="L46" s="221">
        <f t="array" aca="1" ref="L46" ca="1">SUMPRODUCT(TRANSPOSE(L$13:L$32),IS_NewStore_Trend!$G19:$Z19)</f>
        <v>51327.339558013198</v>
      </c>
      <c r="M46" s="221">
        <f t="array" aca="1" ref="M46" ca="1">SUMPRODUCT(TRANSPOSE(M$13:M$32),IS_NewStore_Trend!$G19:$Z19)</f>
        <v>62911.019804698299</v>
      </c>
      <c r="N46" s="221">
        <f t="array" aca="1" ref="N46" ca="1">SUMPRODUCT(TRANSPOSE(N$13:N$32),IS_NewStore_Trend!$G19:$Z19)</f>
        <v>68982.215053233551</v>
      </c>
      <c r="O46" s="221">
        <f t="array" aca="1" ref="O46" ca="1">SUMPRODUCT(TRANSPOSE(O$13:O$32),IS_NewStore_Trend!$G19:$Z19)</f>
        <v>75098.944266132807</v>
      </c>
      <c r="P46" s="221">
        <f t="array" aca="1" ref="P46" ca="1">SUMPRODUCT(TRANSPOSE(P$13:P$32),IS_NewStore_Trend!$G19:$Z19)</f>
        <v>86860.911548128803</v>
      </c>
      <c r="Q46" s="221">
        <f t="array" aca="1" ref="Q46" ca="1">SUMPRODUCT(TRANSPOSE(Q$13:Q$32),IS_NewStore_Trend!$G19:$Z19)</f>
        <v>98711.093584739778</v>
      </c>
      <c r="R46" s="221">
        <f t="array" aca="1" ref="R46" ca="1">SUMPRODUCT(TRANSPOSE(R$13:R$32),IS_NewStore_Trend!$G19:$Z19)</f>
        <v>105050.78938662534</v>
      </c>
      <c r="S46" s="221">
        <f t="array" aca="1" ref="S46" ca="1">SUMPRODUCT(TRANSPOSE(S$13:S$32),IS_NewStore_Trend!$G19:$Z19)</f>
        <v>111438.03290702504</v>
      </c>
      <c r="T46" s="221">
        <f t="array" aca="1" ref="T46" ca="1">SUMPRODUCT(TRANSPOSE(T$13:T$32),IS_NewStore_Trend!$G19:$Z19)</f>
        <v>123472.54335382773</v>
      </c>
      <c r="U46" s="221">
        <f t="array" aca="1" ref="U46" ca="1">SUMPRODUCT(TRANSPOSE(U$13:U$32),IS_NewStore_Trend!$G19:$Z19)</f>
        <v>135597.31262898145</v>
      </c>
      <c r="V46" s="221">
        <f t="array" aca="1" ref="V46" ca="1">SUMPRODUCT(TRANSPOSE(V$13:V$32),IS_NewStore_Trend!$G19:$Z19)</f>
        <v>142213.65507369884</v>
      </c>
      <c r="W46" s="221">
        <f t="array" aca="1" ref="W46" ca="1">SUMPRODUCT(TRANSPOSE(W$13:W$32),IS_NewStore_Trend!$G19:$Z19)</f>
        <v>148879.62008675159</v>
      </c>
      <c r="X46" s="221">
        <f t="array" aca="1" ref="X46" ca="1">SUMPRODUCT(TRANSPOSE(X$13:X$32),IS_NewStore_Trend!$G19:$Z19)</f>
        <v>161194.94243740223</v>
      </c>
      <c r="Y46" s="221">
        <f t="array" aca="1" ref="Y46" ca="1">SUMPRODUCT(TRANSPOSE(Y$13:Y$32),IS_NewStore_Trend!$G19:$Z19)</f>
        <v>173602.62970568278</v>
      </c>
      <c r="Z46" s="221">
        <f t="array" aca="1" ref="Z46" ca="1">SUMPRODUCT(TRANSPOSE(Z$13:Z$32),IS_NewStore_Trend!$G19:$Z19)</f>
        <v>180504.01202847541</v>
      </c>
    </row>
    <row r="47" spans="2:26" x14ac:dyDescent="0.3">
      <c r="B47" s="176" t="s">
        <v>200</v>
      </c>
      <c r="C47" s="176"/>
      <c r="D47" s="176"/>
      <c r="E47" s="176"/>
      <c r="F47" s="176"/>
      <c r="G47" s="223">
        <f t="array" aca="1" ref="G47" ca="1">SUMPRODUCT(TRANSPOSE(G$13:G$32),IS_NewStore_Trend!$G20:$Z20)</f>
        <v>29329.538059999999</v>
      </c>
      <c r="H47" s="223">
        <f t="array" aca="1" ref="H47" ca="1">SUMPRODUCT(TRANSPOSE(H$13:H$32),IS_NewStore_Trend!$G20:$Z20)</f>
        <v>88165.460715449997</v>
      </c>
      <c r="I47" s="223">
        <f t="array" aca="1" ref="I47" ca="1">SUMPRODUCT(TRANSPOSE(I$13:I$32),IS_NewStore_Trend!$G20:$Z20)</f>
        <v>147356.40279081586</v>
      </c>
      <c r="J47" s="223">
        <f t="array" aca="1" ref="J47" ca="1">SUMPRODUCT(TRANSPOSE(J$13:J$32),IS_NewStore_Trend!$G20:$Z20)</f>
        <v>177575.48887174699</v>
      </c>
      <c r="K47" s="223">
        <f t="array" aca="1" ref="K47" ca="1">SUMPRODUCT(TRANSPOSE(K$13:K$32),IS_NewStore_Trend!$G20:$Z20)</f>
        <v>207978.09309828511</v>
      </c>
      <c r="L47" s="223">
        <f t="array" aca="1" ref="L47" ca="1">SUMPRODUCT(TRANSPOSE(L$13:L$32),IS_NewStore_Trend!$G20:$Z20)</f>
        <v>267895.12991652224</v>
      </c>
      <c r="M47" s="223">
        <f t="array" aca="1" ref="M47" ca="1">SUMPRODUCT(TRANSPOSE(M$13:M$32),IS_NewStore_Trend!$G20:$Z20)</f>
        <v>328175.29451089614</v>
      </c>
      <c r="N47" s="223">
        <f t="array" aca="1" ref="N47" ca="1">SUMPRODUCT(TRANSPOSE(N$13:N$32),IS_NewStore_Trend!$G20:$Z20)</f>
        <v>359491.77227972791</v>
      </c>
      <c r="O47" s="223">
        <f t="array" aca="1" ref="O47" ca="1">SUMPRODUCT(TRANSPOSE(O$13:O$32),IS_NewStore_Trend!$G20:$Z20)</f>
        <v>390999.9986318259</v>
      </c>
      <c r="P47" s="223">
        <f t="array" aca="1" ref="P47" ca="1">SUMPRODUCT(TRANSPOSE(P$13:P$32),IS_NewStore_Trend!$G20:$Z20)</f>
        <v>452030.94974156469</v>
      </c>
      <c r="Q47" s="223">
        <f t="array" aca="1" ref="Q47" ca="1">SUMPRODUCT(TRANSPOSE(Q$13:Q$32),IS_NewStore_Trend!$G20:$Z20)</f>
        <v>513433.38298462634</v>
      </c>
      <c r="R47" s="223">
        <f t="array" aca="1" ref="R47" ca="1">SUMPRODUCT(TRANSPOSE(R$13:R$32),IS_NewStore_Trend!$G20:$Z20)</f>
        <v>545880.54641701106</v>
      </c>
      <c r="S47" s="223">
        <f t="array" aca="1" ref="S47" ca="1">SUMPRODUCT(TRANSPOSE(S$13:S$32),IS_NewStore_Trend!$G20:$Z20)</f>
        <v>578527.93857513869</v>
      </c>
      <c r="T47" s="223">
        <f t="array" aca="1" ref="T47" ca="1">SUMPRODUCT(TRANSPOSE(T$13:T$32),IS_NewStore_Trend!$G20:$Z20)</f>
        <v>640706.59923445235</v>
      </c>
      <c r="U47" s="223">
        <f t="array" aca="1" ref="U47" ca="1">SUMPRODUCT(TRANSPOSE(U$13:U$32),IS_NewStore_Trend!$G20:$Z20)</f>
        <v>703265.3498487107</v>
      </c>
      <c r="V47" s="223">
        <f t="array" aca="1" ref="V47" ca="1">SUMPRODUCT(TRANSPOSE(V$13:V$32),IS_NewStore_Trend!$G20:$Z20)</f>
        <v>736877.50303257606</v>
      </c>
      <c r="W47" s="223">
        <f t="array" aca="1" ref="W47" ca="1">SUMPRODUCT(TRANSPOSE(W$13:W$32),IS_NewStore_Trend!$G20:$Z20)</f>
        <v>770698.62236532045</v>
      </c>
      <c r="X47" s="223">
        <f t="array" aca="1" ref="X47" ca="1">SUMPRODUCT(TRANSPOSE(X$13:X$32),IS_NewStore_Trend!$G20:$Z20)</f>
        <v>834059.81315306039</v>
      </c>
      <c r="Y47" s="223">
        <f t="array" aca="1" ref="Y47" ca="1">SUMPRODUCT(TRANSPOSE(Y$13:Y$32),IS_NewStore_Trend!$G20:$Z20)</f>
        <v>897809.96287170833</v>
      </c>
      <c r="Z47" s="223">
        <f t="array" aca="1" ref="Z47" ca="1">SUMPRODUCT(TRANSPOSE(Z$13:Z$32),IS_NewStore_Trend!$G20:$Z20)</f>
        <v>932622.45065324614</v>
      </c>
    </row>
    <row r="48" spans="2:26" x14ac:dyDescent="0.3">
      <c r="B48" s="199" t="s">
        <v>201</v>
      </c>
      <c r="C48" s="199"/>
      <c r="D48" s="199"/>
      <c r="E48" s="199"/>
      <c r="F48" s="199"/>
      <c r="G48" s="222">
        <f t="array" aca="1" ref="G48" ca="1">SUMPRODUCT(TRANSPOSE(G$13:G$32),IS_NewStore_Trend!$G21:$Z21)</f>
        <v>153759.81805999999</v>
      </c>
      <c r="H48" s="222">
        <f t="array" aca="1" ref="H48" ca="1">SUMPRODUCT(TRANSPOSE(H$13:H$32),IS_NewStore_Trend!$G21:$Z21)</f>
        <v>462389.52781544998</v>
      </c>
      <c r="I48" s="222">
        <f t="array" aca="1" ref="I48" ca="1">SUMPRODUCT(TRANSPOSE(I$13:I$32),IS_NewStore_Trend!$G21:$Z21)</f>
        <v>773247.71039406594</v>
      </c>
      <c r="J48" s="222">
        <f t="array" aca="1" ref="J48" ca="1">SUMPRODUCT(TRANSPOSE(J$13:J$32),IS_NewStore_Trend!$G21:$Z21)</f>
        <v>932591.26128202141</v>
      </c>
      <c r="K48" s="222">
        <f t="array" aca="1" ref="K48" ca="1">SUMPRODUCT(TRANSPOSE(K$13:K$32),IS_NewStore_Trend!$G21:$Z21)</f>
        <v>1093086.7638016366</v>
      </c>
      <c r="L48" s="222">
        <f t="array" aca="1" ref="L48" ca="1">SUMPRODUCT(TRANSPOSE(L$13:L$32),IS_NewStore_Trend!$G21:$Z21)</f>
        <v>1408502.6756501491</v>
      </c>
      <c r="M48" s="222">
        <f t="array" aca="1" ref="M48" ca="1">SUMPRODUCT(TRANSPOSE(M$13:M$32),IS_NewStore_Trend!$G21:$Z21)</f>
        <v>1726197.9568375254</v>
      </c>
      <c r="N48" s="222">
        <f t="array" aca="1" ref="N48" ca="1">SUMPRODUCT(TRANSPOSE(N$13:N$32),IS_NewStore_Trend!$G21:$Z21)</f>
        <v>1892429.8845738065</v>
      </c>
      <c r="O48" s="222">
        <f t="array" aca="1" ref="O48" ca="1">SUMPRODUCT(TRANSPOSE(O$13:O$32),IS_NewStore_Trend!$G21:$Z21)</f>
        <v>2059865.4267681106</v>
      </c>
      <c r="P48" s="222">
        <f t="array" aca="1" ref="P48" ca="1">SUMPRODUCT(TRANSPOSE(P$13:P$32),IS_NewStore_Trend!$G21:$Z21)</f>
        <v>2382273.4285888714</v>
      </c>
      <c r="Q48" s="222">
        <f t="array" aca="1" ref="Q48" ca="1">SUMPRODUCT(TRANSPOSE(Q$13:Q$32),IS_NewStore_Trend!$G21:$Z21)</f>
        <v>2707013.2404232882</v>
      </c>
      <c r="R48" s="222">
        <f t="array" aca="1" ref="R48" ca="1">SUMPRODUCT(TRANSPOSE(R$13:R$32),IS_NewStore_Trend!$G21:$Z21)</f>
        <v>2880342.5327864629</v>
      </c>
      <c r="S48" s="222">
        <f t="array" aca="1" ref="S48" ca="1">SUMPRODUCT(TRANSPOSE(S$13:S$32),IS_NewStore_Trend!$G21:$Z21)</f>
        <v>3054928.6698423615</v>
      </c>
      <c r="T48" s="222">
        <f t="array" aca="1" ref="T48" ca="1">SUMPRODUCT(TRANSPOSE(T$13:T$32),IS_NewStore_Trend!$G21:$Z21)</f>
        <v>3384540.8959861794</v>
      </c>
      <c r="U48" s="222">
        <f t="array" aca="1" ref="U48" ca="1">SUMPRODUCT(TRANSPOSE(U$13:U$32),IS_NewStore_Trend!$G21:$Z21)</f>
        <v>3716538.9638260766</v>
      </c>
      <c r="V48" s="222">
        <f t="array" aca="1" ref="V48" ca="1">SUMPRODUCT(TRANSPOSE(V$13:V$32),IS_NewStore_Trend!$G21:$Z21)</f>
        <v>3897180.9491147716</v>
      </c>
      <c r="W48" s="222">
        <f t="array" aca="1" ref="W48" ca="1">SUMPRODUCT(TRANSPOSE(W$13:W$32),IS_NewStore_Trend!$G21:$Z21)</f>
        <v>4079134.6242931327</v>
      </c>
      <c r="X48" s="222">
        <f t="array" aca="1" ref="X48" ca="1">SUMPRODUCT(TRANSPOSE(X$13:X$32),IS_NewStore_Trend!$G21:$Z21)</f>
        <v>4416169.6450953316</v>
      </c>
      <c r="Y48" s="222">
        <f t="array" aca="1" ref="Y48" ca="1">SUMPRODUCT(TRANSPOSE(Y$13:Y$32),IS_NewStore_Trend!$G21:$Z21)</f>
        <v>4755646.1785535477</v>
      </c>
      <c r="Z48" s="222">
        <f t="array" aca="1" ref="Z48" ca="1">SUMPRODUCT(TRANSPOSE(Z$13:Z$32),IS_NewStore_Trend!$G21:$Z21)</f>
        <v>4943822.7179526985</v>
      </c>
    </row>
    <row r="49" spans="2:26" x14ac:dyDescent="0.3">
      <c r="G49" s="221"/>
      <c r="H49" s="221"/>
      <c r="I49" s="221"/>
      <c r="J49" s="221"/>
      <c r="K49" s="221"/>
      <c r="L49" s="221"/>
      <c r="M49" s="221"/>
      <c r="N49" s="221"/>
      <c r="O49" s="221"/>
      <c r="P49" s="221"/>
      <c r="Q49" s="221"/>
      <c r="R49" s="221"/>
      <c r="S49" s="221"/>
      <c r="T49" s="221"/>
      <c r="U49" s="221"/>
      <c r="V49" s="221"/>
      <c r="W49" s="221"/>
      <c r="X49" s="221"/>
      <c r="Y49" s="221"/>
      <c r="Z49" s="221"/>
    </row>
    <row r="50" spans="2:26" x14ac:dyDescent="0.3">
      <c r="B50" s="163" t="s">
        <v>71</v>
      </c>
      <c r="G50" s="221">
        <f t="array" aca="1" ref="G50" ca="1">SUMPRODUCT(TRANSPOSE(G$13:G$32),IS_NewStore_Trend!$G23:$Z23)</f>
        <v>115781.90000000001</v>
      </c>
      <c r="H50" s="221">
        <f t="array" aca="1" ref="H50" ca="1">SUMPRODUCT(TRANSPOSE(H$13:H$32),IS_NewStore_Trend!$G23:$Z23)</f>
        <v>348214.06425000005</v>
      </c>
      <c r="I50" s="221">
        <f t="array" aca="1" ref="I50" ca="1">SUMPRODUCT(TRANSPOSE(I$13:I$32),IS_NewStore_Trend!$G23:$Z23)</f>
        <v>582389.46973187511</v>
      </c>
      <c r="J50" s="221">
        <f t="array" aca="1" ref="J50" ca="1">SUMPRODUCT(TRANSPOSE(J$13:J$32),IS_NewStore_Trend!$G23:$Z23)</f>
        <v>702539.29075486411</v>
      </c>
      <c r="K50" s="221">
        <f t="array" aca="1" ref="K50" ca="1">SUMPRODUCT(TRANSPOSE(K$13:K$32),IS_NewStore_Trend!$G23:$Z23)</f>
        <v>823590.23543552577</v>
      </c>
      <c r="L50" s="221">
        <f t="array" aca="1" ref="L50" ca="1">SUMPRODUCT(TRANSPOSE(L$13:L$32),IS_NewStore_Trend!$G23:$Z23)</f>
        <v>1061330.9622012922</v>
      </c>
      <c r="M50" s="221">
        <f t="array" aca="1" ref="M50" ca="1">SUMPRODUCT(TRANSPOSE(M$13:M$32),IS_NewStore_Trend!$G23:$Z23)</f>
        <v>1300854.744417802</v>
      </c>
      <c r="N50" s="221">
        <f t="array" aca="1" ref="N50" ca="1">SUMPRODUCT(TRANSPOSE(N$13:N$32),IS_NewStore_Trend!$G23:$Z23)</f>
        <v>1426393.0550009357</v>
      </c>
      <c r="O50" s="221">
        <f t="array" aca="1" ref="O50" ca="1">SUMPRODUCT(TRANSPOSE(O$13:O$32),IS_NewStore_Trend!$G23:$Z23)</f>
        <v>1552872.9029134426</v>
      </c>
      <c r="P50" s="221">
        <f t="array" aca="1" ref="P50" ca="1">SUMPRODUCT(TRANSPOSE(P$13:P$32),IS_NewStore_Trend!$G23:$Z23)</f>
        <v>1796083.2496852935</v>
      </c>
      <c r="Q50" s="221">
        <f t="array" aca="1" ref="Q50" ca="1">SUMPRODUCT(TRANSPOSE(Q$13:Q$32),IS_NewStore_Trend!$G23:$Z23)</f>
        <v>2041117.6740579335</v>
      </c>
      <c r="R50" s="221">
        <f t="array" aca="1" ref="R50" ca="1">SUMPRODUCT(TRANSPOSE(R$13:R$32),IS_NewStore_Trend!$G23:$Z23)</f>
        <v>2172207.9566133684</v>
      </c>
      <c r="S50" s="221">
        <f t="array" aca="1" ref="S50" ca="1">SUMPRODUCT(TRANSPOSE(S$13:S$32),IS_NewStore_Trend!$G23:$Z23)</f>
        <v>2304281.4162879689</v>
      </c>
      <c r="T50" s="221">
        <f t="array" aca="1" ref="T50" ca="1">SUMPRODUCT(TRANSPOSE(T$13:T$32),IS_NewStore_Trend!$G23:$Z23)</f>
        <v>2553127.3269101284</v>
      </c>
      <c r="U50" s="221">
        <f t="array" aca="1" ref="U50" ca="1">SUMPRODUCT(TRANSPOSE(U$13:U$32),IS_NewStore_Trend!$G23:$Z23)</f>
        <v>2803839.5818619546</v>
      </c>
      <c r="V50" s="221">
        <f t="array" aca="1" ref="V50" ca="1">SUMPRODUCT(TRANSPOSE(V$13:V$32),IS_NewStore_Trend!$G23:$Z23)</f>
        <v>2940650.2787259198</v>
      </c>
      <c r="W50" s="221">
        <f t="array" aca="1" ref="W50" ca="1">SUMPRODUCT(TRANSPOSE(W$13:W$32),IS_NewStore_Trend!$G23:$Z23)</f>
        <v>3078487.0558163645</v>
      </c>
      <c r="X50" s="221">
        <f t="array" aca="1" ref="X50" ca="1">SUMPRODUCT(TRANSPOSE(X$13:X$32),IS_NewStore_Trend!$G23:$Z23)</f>
        <v>3333139.5087349871</v>
      </c>
      <c r="Y50" s="221">
        <f t="array" aca="1" ref="Y50" ca="1">SUMPRODUCT(TRANSPOSE(Y$13:Y$32),IS_NewStore_Trend!$G23:$Z23)</f>
        <v>3589701.8550504996</v>
      </c>
      <c r="Z50" s="221">
        <f t="array" aca="1" ref="Z50" ca="1">SUMPRODUCT(TRANSPOSE(Z$13:Z$32),IS_NewStore_Trend!$G23:$Z23)</f>
        <v>3732406.5189633789</v>
      </c>
    </row>
    <row r="51" spans="2:26" x14ac:dyDescent="0.3">
      <c r="B51" s="163" t="s">
        <v>72</v>
      </c>
      <c r="G51" s="221">
        <f t="array" aca="1" ref="G51" ca="1">SUMPRODUCT(TRANSPOSE(G$13:G$32),IS_NewStore_Trend!$G24:$Z24)</f>
        <v>13359.449999999999</v>
      </c>
      <c r="H51" s="221">
        <f t="array" aca="1" ref="H51" ca="1">SUMPRODUCT(TRANSPOSE(H$13:H$32),IS_NewStore_Trend!$G24:$Z24)</f>
        <v>40178.545874999996</v>
      </c>
      <c r="I51" s="221">
        <f t="array" aca="1" ref="I51" ca="1">SUMPRODUCT(TRANSPOSE(I$13:I$32),IS_NewStore_Trend!$G24:$Z24)</f>
        <v>67198.784969062501</v>
      </c>
      <c r="J51" s="221">
        <f t="array" aca="1" ref="J51" ca="1">SUMPRODUCT(TRANSPOSE(J$13:J$32),IS_NewStore_Trend!$G24:$Z24)</f>
        <v>81062.225856330479</v>
      </c>
      <c r="K51" s="221">
        <f t="array" aca="1" ref="K51" ca="1">SUMPRODUCT(TRANSPOSE(K$13:K$32),IS_NewStore_Trend!$G24:$Z24)</f>
        <v>95029.64255025296</v>
      </c>
      <c r="L51" s="221">
        <f t="array" aca="1" ref="L51" ca="1">SUMPRODUCT(TRANSPOSE(L$13:L$32),IS_NewStore_Trend!$G24:$Z24)</f>
        <v>122461.26486937985</v>
      </c>
      <c r="M51" s="221">
        <f t="array" aca="1" ref="M51" ca="1">SUMPRODUCT(TRANSPOSE(M$13:M$32),IS_NewStore_Trend!$G24:$Z24)</f>
        <v>150098.62435590022</v>
      </c>
      <c r="N51" s="221">
        <f t="array" aca="1" ref="N51" ca="1">SUMPRODUCT(TRANSPOSE(N$13:N$32),IS_NewStore_Trend!$G24:$Z24)</f>
        <v>164583.81403856946</v>
      </c>
      <c r="O51" s="221">
        <f t="array" aca="1" ref="O51" ca="1">SUMPRODUCT(TRANSPOSE(O$13:O$32),IS_NewStore_Trend!$G24:$Z24)</f>
        <v>179177.64264385877</v>
      </c>
      <c r="P51" s="221">
        <f t="array" aca="1" ref="P51" ca="1">SUMPRODUCT(TRANSPOSE(P$13:P$32),IS_NewStore_Trend!$G24:$Z24)</f>
        <v>207240.37496368773</v>
      </c>
      <c r="Q51" s="221">
        <f t="array" aca="1" ref="Q51" ca="1">SUMPRODUCT(TRANSPOSE(Q$13:Q$32),IS_NewStore_Trend!$G24:$Z24)</f>
        <v>235513.57777591539</v>
      </c>
      <c r="R51" s="221">
        <f t="array" aca="1" ref="R51" ca="1">SUMPRODUCT(TRANSPOSE(R$13:R$32),IS_NewStore_Trend!$G24:$Z24)</f>
        <v>250639.37960923472</v>
      </c>
      <c r="S51" s="221">
        <f t="array" aca="1" ref="S51" ca="1">SUMPRODUCT(TRANSPOSE(S$13:S$32),IS_NewStore_Trend!$G24:$Z24)</f>
        <v>265878.62495630409</v>
      </c>
      <c r="T51" s="221">
        <f t="array" aca="1" ref="T51" ca="1">SUMPRODUCT(TRANSPOSE(T$13:T$32),IS_NewStore_Trend!$G24:$Z24)</f>
        <v>294591.61464347638</v>
      </c>
      <c r="U51" s="221">
        <f t="array" aca="1" ref="U51" ca="1">SUMPRODUCT(TRANSPOSE(U$13:U$32),IS_NewStore_Trend!$G24:$Z24)</f>
        <v>323519.95175330242</v>
      </c>
      <c r="V51" s="221">
        <f t="array" aca="1" ref="V51" ca="1">SUMPRODUCT(TRANSPOSE(V$13:V$32),IS_NewStore_Trend!$G24:$Z24)</f>
        <v>339305.80139145209</v>
      </c>
      <c r="W51" s="221">
        <f t="array" aca="1" ref="W51" ca="1">SUMPRODUCT(TRANSPOSE(W$13:W$32),IS_NewStore_Trend!$G24:$Z24)</f>
        <v>355210.04490188818</v>
      </c>
      <c r="X51" s="221">
        <f t="array" aca="1" ref="X51" ca="1">SUMPRODUCT(TRANSPOSE(X$13:X$32),IS_NewStore_Trend!$G24:$Z24)</f>
        <v>384593.02023865236</v>
      </c>
      <c r="Y51" s="221">
        <f t="array" aca="1" ref="Y51" ca="1">SUMPRODUCT(TRANSPOSE(Y$13:Y$32),IS_NewStore_Trend!$G24:$Z24)</f>
        <v>414196.3678904422</v>
      </c>
      <c r="Z51" s="221">
        <f t="array" aca="1" ref="Z51" ca="1">SUMPRODUCT(TRANSPOSE(Z$13:Z$32),IS_NewStore_Trend!$G24:$Z24)</f>
        <v>430662.29064962047</v>
      </c>
    </row>
    <row r="52" spans="2:26" x14ac:dyDescent="0.3">
      <c r="B52" s="199" t="s">
        <v>202</v>
      </c>
      <c r="C52" s="199"/>
      <c r="D52" s="199"/>
      <c r="E52" s="199"/>
      <c r="F52" s="199"/>
      <c r="G52" s="222">
        <f t="array" aca="1" ref="G52" ca="1">SUMPRODUCT(TRANSPOSE(G$13:G$32),IS_NewStore_Trend!$G25:$Z25)</f>
        <v>129141.35</v>
      </c>
      <c r="H52" s="222">
        <f t="array" aca="1" ref="H52" ca="1">SUMPRODUCT(TRANSPOSE(H$13:H$32),IS_NewStore_Trend!$G25:$Z25)</f>
        <v>388392.61012500001</v>
      </c>
      <c r="I52" s="222">
        <f t="array" aca="1" ref="I52" ca="1">SUMPRODUCT(TRANSPOSE(I$13:I$32),IS_NewStore_Trend!$G25:$Z25)</f>
        <v>649588.25470093754</v>
      </c>
      <c r="J52" s="222">
        <f t="array" aca="1" ref="J52" ca="1">SUMPRODUCT(TRANSPOSE(J$13:J$32),IS_NewStore_Trend!$G25:$Z25)</f>
        <v>783601.5166111947</v>
      </c>
      <c r="K52" s="222">
        <f t="array" aca="1" ref="K52" ca="1">SUMPRODUCT(TRANSPOSE(K$13:K$32),IS_NewStore_Trend!$G25:$Z25)</f>
        <v>918619.87798577873</v>
      </c>
      <c r="L52" s="222">
        <f t="array" aca="1" ref="L52" ca="1">SUMPRODUCT(TRANSPOSE(L$13:L$32),IS_NewStore_Trend!$G25:$Z25)</f>
        <v>1183792.2270706722</v>
      </c>
      <c r="M52" s="222">
        <f t="array" aca="1" ref="M52" ca="1">SUMPRODUCT(TRANSPOSE(M$13:M$32),IS_NewStore_Trend!$G25:$Z25)</f>
        <v>1450953.3687737023</v>
      </c>
      <c r="N52" s="222">
        <f t="array" aca="1" ref="N52" ca="1">SUMPRODUCT(TRANSPOSE(N$13:N$32),IS_NewStore_Trend!$G25:$Z25)</f>
        <v>1590976.8690395053</v>
      </c>
      <c r="O52" s="222">
        <f t="array" aca="1" ref="O52" ca="1">SUMPRODUCT(TRANSPOSE(O$13:O$32),IS_NewStore_Trend!$G25:$Z25)</f>
        <v>1732050.5455573017</v>
      </c>
      <c r="P52" s="222">
        <f t="array" aca="1" ref="P52" ca="1">SUMPRODUCT(TRANSPOSE(P$13:P$32),IS_NewStore_Trend!$G25:$Z25)</f>
        <v>2003323.6246489815</v>
      </c>
      <c r="Q52" s="222">
        <f t="array" aca="1" ref="Q52" ca="1">SUMPRODUCT(TRANSPOSE(Q$13:Q$32),IS_NewStore_Trend!$G25:$Z25)</f>
        <v>2276631.2518338491</v>
      </c>
      <c r="R52" s="222">
        <f t="array" aca="1" ref="R52" ca="1">SUMPRODUCT(TRANSPOSE(R$13:R$32),IS_NewStore_Trend!$G25:$Z25)</f>
        <v>2422847.336222603</v>
      </c>
      <c r="S52" s="222">
        <f t="array" aca="1" ref="S52" ca="1">SUMPRODUCT(TRANSPOSE(S$13:S$32),IS_NewStore_Trend!$G25:$Z25)</f>
        <v>2570160.0412442731</v>
      </c>
      <c r="T52" s="222">
        <f t="array" aca="1" ref="T52" ca="1">SUMPRODUCT(TRANSPOSE(T$13:T$32),IS_NewStore_Trend!$G25:$Z25)</f>
        <v>2847718.9415536053</v>
      </c>
      <c r="U52" s="222">
        <f t="array" aca="1" ref="U52" ca="1">SUMPRODUCT(TRANSPOSE(U$13:U$32),IS_NewStore_Trend!$G25:$Z25)</f>
        <v>3127359.5336152576</v>
      </c>
      <c r="V52" s="222">
        <f t="array" aca="1" ref="V52" ca="1">SUMPRODUCT(TRANSPOSE(V$13:V$32),IS_NewStore_Trend!$G25:$Z25)</f>
        <v>3279956.0801173723</v>
      </c>
      <c r="W52" s="222">
        <f t="array" aca="1" ref="W52" ca="1">SUMPRODUCT(TRANSPOSE(W$13:W$32),IS_NewStore_Trend!$G25:$Z25)</f>
        <v>3433697.1007182528</v>
      </c>
      <c r="X52" s="222">
        <f t="array" aca="1" ref="X52" ca="1">SUMPRODUCT(TRANSPOSE(X$13:X$32),IS_NewStore_Trend!$G25:$Z25)</f>
        <v>3717732.5289736399</v>
      </c>
      <c r="Y52" s="222">
        <f t="array" aca="1" ref="Y52" ca="1">SUMPRODUCT(TRANSPOSE(Y$13:Y$32),IS_NewStore_Trend!$G25:$Z25)</f>
        <v>4003898.2229409432</v>
      </c>
      <c r="Z52" s="222">
        <f t="array" aca="1" ref="Z52" ca="1">SUMPRODUCT(TRANSPOSE(Z$13:Z$32),IS_NewStore_Trend!$G25:$Z25)</f>
        <v>4163068.8096130001</v>
      </c>
    </row>
    <row r="53" spans="2:26" x14ac:dyDescent="0.3">
      <c r="G53" s="221"/>
      <c r="H53" s="221"/>
      <c r="I53" s="221"/>
      <c r="J53" s="221"/>
      <c r="K53" s="221"/>
      <c r="L53" s="221"/>
      <c r="M53" s="221"/>
      <c r="N53" s="221"/>
      <c r="O53" s="221"/>
      <c r="P53" s="221"/>
      <c r="Q53" s="221"/>
      <c r="R53" s="221"/>
      <c r="S53" s="221"/>
      <c r="T53" s="221"/>
      <c r="U53" s="221"/>
      <c r="V53" s="221"/>
      <c r="W53" s="221"/>
      <c r="X53" s="221"/>
      <c r="Y53" s="221"/>
      <c r="Z53" s="221"/>
    </row>
    <row r="54" spans="2:26" x14ac:dyDescent="0.3">
      <c r="B54" s="163" t="s">
        <v>73</v>
      </c>
      <c r="G54" s="221">
        <f t="array" aca="1" ref="G54" ca="1">SUMPRODUCT(TRANSPOSE(G$13:G$32),IS_NewStore_Trend!$G27:$Z27)</f>
        <v>6679.7249999999995</v>
      </c>
      <c r="H54" s="221">
        <f t="array" aca="1" ref="H54" ca="1">SUMPRODUCT(TRANSPOSE(H$13:H$32),IS_NewStore_Trend!$G27:$Z27)</f>
        <v>20089.272937499998</v>
      </c>
      <c r="I54" s="221">
        <f t="array" aca="1" ref="I54" ca="1">SUMPRODUCT(TRANSPOSE(I$13:I$32),IS_NewStore_Trend!$G27:$Z27)</f>
        <v>33599.39248453125</v>
      </c>
      <c r="J54" s="221">
        <f t="array" aca="1" ref="J54" ca="1">SUMPRODUCT(TRANSPOSE(J$13:J$32),IS_NewStore_Trend!$G27:$Z27)</f>
        <v>40531.112928165239</v>
      </c>
      <c r="K54" s="221">
        <f t="array" aca="1" ref="K54" ca="1">SUMPRODUCT(TRANSPOSE(K$13:K$32),IS_NewStore_Trend!$G27:$Z27)</f>
        <v>47514.82127512648</v>
      </c>
      <c r="L54" s="221">
        <f t="array" aca="1" ref="L54" ca="1">SUMPRODUCT(TRANSPOSE(L$13:L$32),IS_NewStore_Trend!$G27:$Z27)</f>
        <v>61230.632434689927</v>
      </c>
      <c r="M54" s="221">
        <f t="array" aca="1" ref="M54" ca="1">SUMPRODUCT(TRANSPOSE(M$13:M$32),IS_NewStore_Trend!$G27:$Z27)</f>
        <v>75049.312177950109</v>
      </c>
      <c r="N54" s="221">
        <f t="array" aca="1" ref="N54" ca="1">SUMPRODUCT(TRANSPOSE(N$13:N$32),IS_NewStore_Trend!$G27:$Z27)</f>
        <v>82291.907019284728</v>
      </c>
      <c r="O54" s="221">
        <f t="array" aca="1" ref="O54" ca="1">SUMPRODUCT(TRANSPOSE(O$13:O$32),IS_NewStore_Trend!$G27:$Z27)</f>
        <v>89588.821321929383</v>
      </c>
      <c r="P54" s="221">
        <f t="array" aca="1" ref="P54" ca="1">SUMPRODUCT(TRANSPOSE(P$13:P$32),IS_NewStore_Trend!$G27:$Z27)</f>
        <v>103620.18748184387</v>
      </c>
      <c r="Q54" s="221">
        <f t="array" aca="1" ref="Q54" ca="1">SUMPRODUCT(TRANSPOSE(Q$13:Q$32),IS_NewStore_Trend!$G27:$Z27)</f>
        <v>117756.78888795769</v>
      </c>
      <c r="R54" s="221">
        <f t="array" aca="1" ref="R54" ca="1">SUMPRODUCT(TRANSPOSE(R$13:R$32),IS_NewStore_Trend!$G27:$Z27)</f>
        <v>125319.68980461736</v>
      </c>
      <c r="S54" s="221">
        <f t="array" aca="1" ref="S54" ca="1">SUMPRODUCT(TRANSPOSE(S$13:S$32),IS_NewStore_Trend!$G27:$Z27)</f>
        <v>132939.31247815205</v>
      </c>
      <c r="T54" s="221">
        <f t="array" aca="1" ref="T54" ca="1">SUMPRODUCT(TRANSPOSE(T$13:T$32),IS_NewStore_Trend!$G27:$Z27)</f>
        <v>147295.80732173819</v>
      </c>
      <c r="U54" s="221">
        <f t="array" aca="1" ref="U54" ca="1">SUMPRODUCT(TRANSPOSE(U$13:U$32),IS_NewStore_Trend!$G27:$Z27)</f>
        <v>161759.97587665121</v>
      </c>
      <c r="V54" s="221">
        <f t="array" aca="1" ref="V54" ca="1">SUMPRODUCT(TRANSPOSE(V$13:V$32),IS_NewStore_Trend!$G27:$Z27)</f>
        <v>169652.90069572604</v>
      </c>
      <c r="W54" s="221">
        <f t="array" aca="1" ref="W54" ca="1">SUMPRODUCT(TRANSPOSE(W$13:W$32),IS_NewStore_Trend!$G27:$Z27)</f>
        <v>177605.02245094409</v>
      </c>
      <c r="X54" s="221">
        <f t="array" aca="1" ref="X54" ca="1">SUMPRODUCT(TRANSPOSE(X$13:X$32),IS_NewStore_Trend!$G27:$Z27)</f>
        <v>192296.51011932618</v>
      </c>
      <c r="Y54" s="221">
        <f t="array" aca="1" ref="Y54" ca="1">SUMPRODUCT(TRANSPOSE(Y$13:Y$32),IS_NewStore_Trend!$G27:$Z27)</f>
        <v>207098.1839452211</v>
      </c>
      <c r="Z54" s="221">
        <f t="array" aca="1" ref="Z54" ca="1">SUMPRODUCT(TRANSPOSE(Z$13:Z$32),IS_NewStore_Trend!$G27:$Z27)</f>
        <v>215331.14532481023</v>
      </c>
    </row>
    <row r="55" spans="2:26" x14ac:dyDescent="0.3">
      <c r="B55" s="163" t="s">
        <v>74</v>
      </c>
      <c r="G55" s="221">
        <f t="array" aca="1" ref="G55" ca="1">SUMPRODUCT(TRANSPOSE(G$13:G$32),IS_NewStore_Trend!$G28:$Z28)</f>
        <v>8906.3000000000011</v>
      </c>
      <c r="H55" s="221">
        <f t="array" aca="1" ref="H55" ca="1">SUMPRODUCT(TRANSPOSE(H$13:H$32),IS_NewStore_Trend!$G28:$Z28)</f>
        <v>26785.697250000005</v>
      </c>
      <c r="I55" s="221">
        <f t="array" aca="1" ref="I55" ca="1">SUMPRODUCT(TRANSPOSE(I$13:I$32),IS_NewStore_Trend!$G28:$Z28)</f>
        <v>44799.189979375005</v>
      </c>
      <c r="J55" s="221">
        <f t="array" aca="1" ref="J55" ca="1">SUMPRODUCT(TRANSPOSE(J$13:J$32),IS_NewStore_Trend!$G28:$Z28)</f>
        <v>54041.483904220317</v>
      </c>
      <c r="K55" s="221">
        <f t="array" aca="1" ref="K55" ca="1">SUMPRODUCT(TRANSPOSE(K$13:K$32),IS_NewStore_Trend!$G28:$Z28)</f>
        <v>63353.095033501981</v>
      </c>
      <c r="L55" s="221">
        <f t="array" aca="1" ref="L55" ca="1">SUMPRODUCT(TRANSPOSE(L$13:L$32),IS_NewStore_Trend!$G28:$Z28)</f>
        <v>81640.843246253251</v>
      </c>
      <c r="M55" s="221">
        <f t="array" aca="1" ref="M55" ca="1">SUMPRODUCT(TRANSPOSE(M$13:M$32),IS_NewStore_Trend!$G28:$Z28)</f>
        <v>100065.74957060014</v>
      </c>
      <c r="N55" s="221">
        <f t="array" aca="1" ref="N55" ca="1">SUMPRODUCT(TRANSPOSE(N$13:N$32),IS_NewStore_Trend!$G28:$Z28)</f>
        <v>109722.54269237966</v>
      </c>
      <c r="O55" s="221">
        <f t="array" aca="1" ref="O55" ca="1">SUMPRODUCT(TRANSPOSE(O$13:O$32),IS_NewStore_Trend!$G28:$Z28)</f>
        <v>119451.76176257254</v>
      </c>
      <c r="P55" s="221">
        <f t="array" aca="1" ref="P55" ca="1">SUMPRODUCT(TRANSPOSE(P$13:P$32),IS_NewStore_Trend!$G28:$Z28)</f>
        <v>138160.24997579181</v>
      </c>
      <c r="Q55" s="221">
        <f t="array" aca="1" ref="Q55" ca="1">SUMPRODUCT(TRANSPOSE(Q$13:Q$32),IS_NewStore_Trend!$G28:$Z28)</f>
        <v>157009.05185061024</v>
      </c>
      <c r="R55" s="221">
        <f t="array" aca="1" ref="R55" ca="1">SUMPRODUCT(TRANSPOSE(R$13:R$32),IS_NewStore_Trend!$G28:$Z28)</f>
        <v>167092.91973948988</v>
      </c>
      <c r="S55" s="221">
        <f t="array" aca="1" ref="S55" ca="1">SUMPRODUCT(TRANSPOSE(S$13:S$32),IS_NewStore_Trend!$G28:$Z28)</f>
        <v>177252.41663753605</v>
      </c>
      <c r="T55" s="221">
        <f t="array" aca="1" ref="T55" ca="1">SUMPRODUCT(TRANSPOSE(T$13:T$32),IS_NewStore_Trend!$G28:$Z28)</f>
        <v>196394.40976231761</v>
      </c>
      <c r="U55" s="221">
        <f t="array" aca="1" ref="U55" ca="1">SUMPRODUCT(TRANSPOSE(U$13:U$32),IS_NewStore_Trend!$G28:$Z28)</f>
        <v>215679.96783553498</v>
      </c>
      <c r="V55" s="221">
        <f t="array" aca="1" ref="V55" ca="1">SUMPRODUCT(TRANSPOSE(V$13:V$32),IS_NewStore_Trend!$G28:$Z28)</f>
        <v>226203.8675943015</v>
      </c>
      <c r="W55" s="221">
        <f t="array" aca="1" ref="W55" ca="1">SUMPRODUCT(TRANSPOSE(W$13:W$32),IS_NewStore_Trend!$G28:$Z28)</f>
        <v>236806.69660125877</v>
      </c>
      <c r="X55" s="221">
        <f t="array" aca="1" ref="X55" ca="1">SUMPRODUCT(TRANSPOSE(X$13:X$32),IS_NewStore_Trend!$G28:$Z28)</f>
        <v>256395.34682576827</v>
      </c>
      <c r="Y55" s="221">
        <f t="array" aca="1" ref="Y55" ca="1">SUMPRODUCT(TRANSPOSE(Y$13:Y$32),IS_NewStore_Trend!$G28:$Z28)</f>
        <v>276130.91192696156</v>
      </c>
      <c r="Z55" s="221">
        <f t="array" aca="1" ref="Z55" ca="1">SUMPRODUCT(TRANSPOSE(Z$13:Z$32),IS_NewStore_Trend!$G28:$Z28)</f>
        <v>287108.19376641372</v>
      </c>
    </row>
    <row r="56" spans="2:26" x14ac:dyDescent="0.3">
      <c r="B56" s="163" t="s">
        <v>75</v>
      </c>
      <c r="G56" s="221">
        <f t="array" aca="1" ref="G56" ca="1">SUMPRODUCT(TRANSPOSE(G$13:G$32),IS_NewStore_Trend!$G29:$Z29)</f>
        <v>3117.2049999999999</v>
      </c>
      <c r="H56" s="221">
        <f t="array" aca="1" ref="H56" ca="1">SUMPRODUCT(TRANSPOSE(H$13:H$32),IS_NewStore_Trend!$G29:$Z29)</f>
        <v>9374.9940375000006</v>
      </c>
      <c r="I56" s="221">
        <f t="array" aca="1" ref="I56" ca="1">SUMPRODUCT(TRANSPOSE(I$13:I$32),IS_NewStore_Trend!$G29:$Z29)</f>
        <v>15679.716492781252</v>
      </c>
      <c r="J56" s="221">
        <f t="array" aca="1" ref="J56" ca="1">SUMPRODUCT(TRANSPOSE(J$13:J$32),IS_NewStore_Trend!$G29:$Z29)</f>
        <v>18914.51936647711</v>
      </c>
      <c r="K56" s="221">
        <f t="array" aca="1" ref="K56" ca="1">SUMPRODUCT(TRANSPOSE(K$13:K$32),IS_NewStore_Trend!$G29:$Z29)</f>
        <v>22173.583261725693</v>
      </c>
      <c r="L56" s="221">
        <f t="array" aca="1" ref="L56" ca="1">SUMPRODUCT(TRANSPOSE(L$13:L$32),IS_NewStore_Trend!$G29:$Z29)</f>
        <v>28574.295136188637</v>
      </c>
      <c r="M56" s="221">
        <f t="array" aca="1" ref="M56" ca="1">SUMPRODUCT(TRANSPOSE(M$13:M$32),IS_NewStore_Trend!$G29:$Z29)</f>
        <v>35023.01234971005</v>
      </c>
      <c r="N56" s="221">
        <f t="array" aca="1" ref="N56" ca="1">SUMPRODUCT(TRANSPOSE(N$13:N$32),IS_NewStore_Trend!$G29:$Z29)</f>
        <v>38402.889942332884</v>
      </c>
      <c r="O56" s="221">
        <f t="array" aca="1" ref="O56" ca="1">SUMPRODUCT(TRANSPOSE(O$13:O$32),IS_NewStore_Trend!$G29:$Z29)</f>
        <v>41808.116616900377</v>
      </c>
      <c r="P56" s="221">
        <f t="array" aca="1" ref="P56" ca="1">SUMPRODUCT(TRANSPOSE(P$13:P$32),IS_NewStore_Trend!$G29:$Z29)</f>
        <v>48356.087491527142</v>
      </c>
      <c r="Q56" s="221">
        <f t="array" aca="1" ref="Q56" ca="1">SUMPRODUCT(TRANSPOSE(Q$13:Q$32),IS_NewStore_Trend!$G29:$Z29)</f>
        <v>54953.168147713593</v>
      </c>
      <c r="R56" s="221">
        <f t="array" aca="1" ref="R56" ca="1">SUMPRODUCT(TRANSPOSE(R$13:R$32),IS_NewStore_Trend!$G29:$Z29)</f>
        <v>58482.521908821451</v>
      </c>
      <c r="S56" s="221">
        <f t="array" aca="1" ref="S56" ca="1">SUMPRODUCT(TRANSPOSE(S$13:S$32),IS_NewStore_Trend!$G29:$Z29)</f>
        <v>62038.345823137613</v>
      </c>
      <c r="T56" s="221">
        <f t="array" aca="1" ref="T56" ca="1">SUMPRODUCT(TRANSPOSE(T$13:T$32),IS_NewStore_Trend!$G29:$Z29)</f>
        <v>68738.043416811153</v>
      </c>
      <c r="U56" s="221">
        <f t="array" aca="1" ref="U56" ca="1">SUMPRODUCT(TRANSPOSE(U$13:U$32),IS_NewStore_Trend!$G29:$Z29)</f>
        <v>75487.988742437243</v>
      </c>
      <c r="V56" s="221">
        <f t="array" aca="1" ref="V56" ca="1">SUMPRODUCT(TRANSPOSE(V$13:V$32),IS_NewStore_Trend!$G29:$Z29)</f>
        <v>79171.353658005522</v>
      </c>
      <c r="W56" s="221">
        <f t="array" aca="1" ref="W56" ca="1">SUMPRODUCT(TRANSPOSE(W$13:W$32),IS_NewStore_Trend!$G29:$Z29)</f>
        <v>82882.34381044058</v>
      </c>
      <c r="X56" s="221">
        <f t="array" aca="1" ref="X56" ca="1">SUMPRODUCT(TRANSPOSE(X$13:X$32),IS_NewStore_Trend!$G29:$Z29)</f>
        <v>89738.371389018896</v>
      </c>
      <c r="Y56" s="221">
        <f t="array" aca="1" ref="Y56" ca="1">SUMPRODUCT(TRANSPOSE(Y$13:Y$32),IS_NewStore_Trend!$G29:$Z29)</f>
        <v>96645.819174436532</v>
      </c>
      <c r="Z56" s="221">
        <f t="array" aca="1" ref="Z56" ca="1">SUMPRODUCT(TRANSPOSE(Z$13:Z$32),IS_NewStore_Trend!$G29:$Z29)</f>
        <v>100487.86781824482</v>
      </c>
    </row>
    <row r="57" spans="2:26" x14ac:dyDescent="0.3">
      <c r="B57" s="163" t="s">
        <v>76</v>
      </c>
      <c r="G57" s="221">
        <f t="array" ref="G57">SUMPRODUCT(TRANSPOSE(G$13:G$32),IS_NewStore_Trend!$G30:$Z30)</f>
        <v>4000</v>
      </c>
      <c r="H57" s="221">
        <f t="array" aca="1" ref="H57" ca="1">SUMPRODUCT(TRANSPOSE(H$13:H$32),IS_NewStore_Trend!$G30:$Z30)</f>
        <v>12000</v>
      </c>
      <c r="I57" s="221">
        <f t="array" aca="1" ref="I57" ca="1">SUMPRODUCT(TRANSPOSE(I$13:I$32),IS_NewStore_Trend!$G30:$Z30)</f>
        <v>20000</v>
      </c>
      <c r="J57" s="221">
        <f t="array" aca="1" ref="J57" ca="1">SUMPRODUCT(TRANSPOSE(J$13:J$32),IS_NewStore_Trend!$G30:$Z30)</f>
        <v>24000</v>
      </c>
      <c r="K57" s="221">
        <f t="array" aca="1" ref="K57" ca="1">SUMPRODUCT(TRANSPOSE(K$13:K$32),IS_NewStore_Trend!$G30:$Z30)</f>
        <v>28000</v>
      </c>
      <c r="L57" s="221">
        <f t="array" aca="1" ref="L57" ca="1">SUMPRODUCT(TRANSPOSE(L$13:L$32),IS_NewStore_Trend!$G30:$Z30)</f>
        <v>36000</v>
      </c>
      <c r="M57" s="221">
        <f t="array" aca="1" ref="M57" ca="1">SUMPRODUCT(TRANSPOSE(M$13:M$32),IS_NewStore_Trend!$G30:$Z30)</f>
        <v>44000</v>
      </c>
      <c r="N57" s="221">
        <f t="array" aca="1" ref="N57" ca="1">SUMPRODUCT(TRANSPOSE(N$13:N$32),IS_NewStore_Trend!$G30:$Z30)</f>
        <v>48000</v>
      </c>
      <c r="O57" s="221">
        <f t="array" aca="1" ref="O57" ca="1">SUMPRODUCT(TRANSPOSE(O$13:O$32),IS_NewStore_Trend!$G30:$Z30)</f>
        <v>52000</v>
      </c>
      <c r="P57" s="221">
        <f t="array" aca="1" ref="P57" ca="1">SUMPRODUCT(TRANSPOSE(P$13:P$32),IS_NewStore_Trend!$G30:$Z30)</f>
        <v>60000</v>
      </c>
      <c r="Q57" s="221">
        <f t="array" aca="1" ref="Q57" ca="1">SUMPRODUCT(TRANSPOSE(Q$13:Q$32),IS_NewStore_Trend!$G30:$Z30)</f>
        <v>68000</v>
      </c>
      <c r="R57" s="221">
        <f t="array" aca="1" ref="R57" ca="1">SUMPRODUCT(TRANSPOSE(R$13:R$32),IS_NewStore_Trend!$G30:$Z30)</f>
        <v>72000</v>
      </c>
      <c r="S57" s="221">
        <f t="array" aca="1" ref="S57" ca="1">SUMPRODUCT(TRANSPOSE(S$13:S$32),IS_NewStore_Trend!$G30:$Z30)</f>
        <v>76000</v>
      </c>
      <c r="T57" s="221">
        <f t="array" aca="1" ref="T57" ca="1">SUMPRODUCT(TRANSPOSE(T$13:T$32),IS_NewStore_Trend!$G30:$Z30)</f>
        <v>84000</v>
      </c>
      <c r="U57" s="221">
        <f t="array" aca="1" ref="U57" ca="1">SUMPRODUCT(TRANSPOSE(U$13:U$32),IS_NewStore_Trend!$G30:$Z30)</f>
        <v>92000</v>
      </c>
      <c r="V57" s="221">
        <f t="array" aca="1" ref="V57" ca="1">SUMPRODUCT(TRANSPOSE(V$13:V$32),IS_NewStore_Trend!$G30:$Z30)</f>
        <v>96000</v>
      </c>
      <c r="W57" s="221">
        <f t="array" aca="1" ref="W57" ca="1">SUMPRODUCT(TRANSPOSE(W$13:W$32),IS_NewStore_Trend!$G30:$Z30)</f>
        <v>100000</v>
      </c>
      <c r="X57" s="221">
        <f t="array" aca="1" ref="X57" ca="1">SUMPRODUCT(TRANSPOSE(X$13:X$32),IS_NewStore_Trend!$G30:$Z30)</f>
        <v>108000</v>
      </c>
      <c r="Y57" s="221">
        <f t="array" aca="1" ref="Y57" ca="1">SUMPRODUCT(TRANSPOSE(Y$13:Y$32),IS_NewStore_Trend!$G30:$Z30)</f>
        <v>116000</v>
      </c>
      <c r="Z57" s="221">
        <f t="array" aca="1" ref="Z57" ca="1">SUMPRODUCT(TRANSPOSE(Z$13:Z$32),IS_NewStore_Trend!$G30:$Z30)</f>
        <v>120000</v>
      </c>
    </row>
    <row r="58" spans="2:26" x14ac:dyDescent="0.3">
      <c r="B58" s="163" t="s">
        <v>43</v>
      </c>
      <c r="G58" s="221">
        <f t="array" ref="G58">SUMPRODUCT(TRANSPOSE(G$13:G$32),IS_NewStore_Trend!$G31:$Z31)</f>
        <v>20750</v>
      </c>
      <c r="H58" s="221">
        <f t="array" aca="1" ref="H58" ca="1">SUMPRODUCT(TRANSPOSE(H$13:H$32),IS_NewStore_Trend!$G31:$Z31)</f>
        <v>62250</v>
      </c>
      <c r="I58" s="221">
        <f t="array" aca="1" ref="I58" ca="1">SUMPRODUCT(TRANSPOSE(I$13:I$32),IS_NewStore_Trend!$G31:$Z31)</f>
        <v>103750</v>
      </c>
      <c r="J58" s="221">
        <f t="array" aca="1" ref="J58" ca="1">SUMPRODUCT(TRANSPOSE(J$13:J$32),IS_NewStore_Trend!$G31:$Z31)</f>
        <v>124500</v>
      </c>
      <c r="K58" s="221">
        <f t="array" aca="1" ref="K58" ca="1">SUMPRODUCT(TRANSPOSE(K$13:K$32),IS_NewStore_Trend!$G31:$Z31)</f>
        <v>145250</v>
      </c>
      <c r="L58" s="221">
        <f t="array" aca="1" ref="L58" ca="1">SUMPRODUCT(TRANSPOSE(L$13:L$32),IS_NewStore_Trend!$G31:$Z31)</f>
        <v>186750</v>
      </c>
      <c r="M58" s="221">
        <f t="array" aca="1" ref="M58" ca="1">SUMPRODUCT(TRANSPOSE(M$13:M$32),IS_NewStore_Trend!$G31:$Z31)</f>
        <v>228250</v>
      </c>
      <c r="N58" s="221">
        <f t="array" aca="1" ref="N58" ca="1">SUMPRODUCT(TRANSPOSE(N$13:N$32),IS_NewStore_Trend!$G31:$Z31)</f>
        <v>249000</v>
      </c>
      <c r="O58" s="221">
        <f t="array" aca="1" ref="O58" ca="1">SUMPRODUCT(TRANSPOSE(O$13:O$32),IS_NewStore_Trend!$G31:$Z31)</f>
        <v>269750</v>
      </c>
      <c r="P58" s="221">
        <f t="array" aca="1" ref="P58" ca="1">SUMPRODUCT(TRANSPOSE(P$13:P$32),IS_NewStore_Trend!$G31:$Z31)</f>
        <v>311250</v>
      </c>
      <c r="Q58" s="221">
        <f t="array" aca="1" ref="Q58" ca="1">SUMPRODUCT(TRANSPOSE(Q$13:Q$32),IS_NewStore_Trend!$G31:$Z31)</f>
        <v>352750</v>
      </c>
      <c r="R58" s="221">
        <f t="array" aca="1" ref="R58" ca="1">SUMPRODUCT(TRANSPOSE(R$13:R$32),IS_NewStore_Trend!$G31:$Z31)</f>
        <v>373500</v>
      </c>
      <c r="S58" s="221">
        <f t="array" aca="1" ref="S58" ca="1">SUMPRODUCT(TRANSPOSE(S$13:S$32),IS_NewStore_Trend!$G31:$Z31)</f>
        <v>394250</v>
      </c>
      <c r="T58" s="221">
        <f t="array" aca="1" ref="T58" ca="1">SUMPRODUCT(TRANSPOSE(T$13:T$32),IS_NewStore_Trend!$G31:$Z31)</f>
        <v>435750</v>
      </c>
      <c r="U58" s="221">
        <f t="array" aca="1" ref="U58" ca="1">SUMPRODUCT(TRANSPOSE(U$13:U$32),IS_NewStore_Trend!$G31:$Z31)</f>
        <v>477250</v>
      </c>
      <c r="V58" s="221">
        <f t="array" aca="1" ref="V58" ca="1">SUMPRODUCT(TRANSPOSE(V$13:V$32),IS_NewStore_Trend!$G31:$Z31)</f>
        <v>498000</v>
      </c>
      <c r="W58" s="221">
        <f t="array" aca="1" ref="W58" ca="1">SUMPRODUCT(TRANSPOSE(W$13:W$32),IS_NewStore_Trend!$G31:$Z31)</f>
        <v>518750</v>
      </c>
      <c r="X58" s="221">
        <f t="array" aca="1" ref="X58" ca="1">SUMPRODUCT(TRANSPOSE(X$13:X$32),IS_NewStore_Trend!$G31:$Z31)</f>
        <v>560250</v>
      </c>
      <c r="Y58" s="221">
        <f t="array" aca="1" ref="Y58" ca="1">SUMPRODUCT(TRANSPOSE(Y$13:Y$32),IS_NewStore_Trend!$G31:$Z31)</f>
        <v>601750</v>
      </c>
      <c r="Z58" s="221">
        <f t="array" aca="1" ref="Z58" ca="1">SUMPRODUCT(TRANSPOSE(Z$13:Z$32),IS_NewStore_Trend!$G31:$Z31)</f>
        <v>622500</v>
      </c>
    </row>
    <row r="59" spans="2:26" x14ac:dyDescent="0.3">
      <c r="B59" s="199" t="s">
        <v>203</v>
      </c>
      <c r="C59" s="199"/>
      <c r="D59" s="199"/>
      <c r="E59" s="199"/>
      <c r="F59" s="199"/>
      <c r="G59" s="222">
        <f t="array" aca="1" ref="G59" ca="1">SUMPRODUCT(TRANSPOSE(G$13:G$32),IS_NewStore_Trend!$G32:$Z32)</f>
        <v>43453.23</v>
      </c>
      <c r="H59" s="222">
        <f t="array" aca="1" ref="H59" ca="1">SUMPRODUCT(TRANSPOSE(H$13:H$32),IS_NewStore_Trend!$G32:$Z32)</f>
        <v>130499.964225</v>
      </c>
      <c r="I59" s="222">
        <f t="array" aca="1" ref="I59" ca="1">SUMPRODUCT(TRANSPOSE(I$13:I$32),IS_NewStore_Trend!$G32:$Z32)</f>
        <v>217828.2989566875</v>
      </c>
      <c r="J59" s="222">
        <f t="array" aca="1" ref="J59" ca="1">SUMPRODUCT(TRANSPOSE(J$13:J$32),IS_NewStore_Trend!$G32:$Z32)</f>
        <v>261987.11619886267</v>
      </c>
      <c r="K59" s="222">
        <f t="array" aca="1" ref="K59" ca="1">SUMPRODUCT(TRANSPOSE(K$13:K$32),IS_NewStore_Trend!$G32:$Z32)</f>
        <v>306291.49957035412</v>
      </c>
      <c r="L59" s="222">
        <f t="array" aca="1" ref="L59" ca="1">SUMPRODUCT(TRANSPOSE(L$13:L$32),IS_NewStore_Trend!$G32:$Z32)</f>
        <v>394195.77081713185</v>
      </c>
      <c r="M59" s="222">
        <f t="array" aca="1" ref="M59" ca="1">SUMPRODUCT(TRANSPOSE(M$13:M$32),IS_NewStore_Trend!$G32:$Z32)</f>
        <v>482388.07409826032</v>
      </c>
      <c r="N59" s="222">
        <f t="array" aca="1" ref="N59" ca="1">SUMPRODUCT(TRANSPOSE(N$13:N$32),IS_NewStore_Trend!$G32:$Z32)</f>
        <v>527417.33965399733</v>
      </c>
      <c r="O59" s="222">
        <f t="array" aca="1" ref="O59" ca="1">SUMPRODUCT(TRANSPOSE(O$13:O$32),IS_NewStore_Trend!$G32:$Z32)</f>
        <v>572598.69970140222</v>
      </c>
      <c r="P59" s="222">
        <f t="array" aca="1" ref="P59" ca="1">SUMPRODUCT(TRANSPOSE(P$13:P$32),IS_NewStore_Trend!$G32:$Z32)</f>
        <v>661386.52494916285</v>
      </c>
      <c r="Q59" s="222">
        <f t="array" aca="1" ref="Q59" ca="1">SUMPRODUCT(TRANSPOSE(Q$13:Q$32),IS_NewStore_Trend!$G32:$Z32)</f>
        <v>750469.00888628163</v>
      </c>
      <c r="R59" s="222">
        <f t="array" aca="1" ref="R59" ca="1">SUMPRODUCT(TRANSPOSE(R$13:R$32),IS_NewStore_Trend!$G32:$Z32)</f>
        <v>796395.13145292876</v>
      </c>
      <c r="S59" s="222">
        <f t="array" aca="1" ref="S59" ca="1">SUMPRODUCT(TRANSPOSE(S$13:S$32),IS_NewStore_Trend!$G32:$Z32)</f>
        <v>842480.07493882556</v>
      </c>
      <c r="T59" s="222">
        <f t="array" aca="1" ref="T59" ca="1">SUMPRODUCT(TRANSPOSE(T$13:T$32),IS_NewStore_Trend!$G32:$Z32)</f>
        <v>932178.26050086692</v>
      </c>
      <c r="U59" s="222">
        <f t="array" aca="1" ref="U59" ca="1">SUMPRODUCT(TRANSPOSE(U$13:U$32),IS_NewStore_Trend!$G32:$Z32)</f>
        <v>1022177.9324546235</v>
      </c>
      <c r="V59" s="222">
        <f t="array" aca="1" ref="V59" ca="1">SUMPRODUCT(TRANSPOSE(V$13:V$32),IS_NewStore_Trend!$G32:$Z32)</f>
        <v>1069028.1219480331</v>
      </c>
      <c r="W59" s="222">
        <f t="array" aca="1" ref="W59" ca="1">SUMPRODUCT(TRANSPOSE(W$13:W$32),IS_NewStore_Trend!$G32:$Z32)</f>
        <v>1116044.0628626433</v>
      </c>
      <c r="X59" s="222">
        <f t="array" aca="1" ref="X59" ca="1">SUMPRODUCT(TRANSPOSE(X$13:X$32),IS_NewStore_Trend!$G32:$Z32)</f>
        <v>1206680.2283341133</v>
      </c>
      <c r="Y59" s="222">
        <f t="array" aca="1" ref="Y59" ca="1">SUMPRODUCT(TRANSPOSE(Y$13:Y$32),IS_NewStore_Trend!$G32:$Z32)</f>
        <v>1297624.9150466195</v>
      </c>
      <c r="Z59" s="222">
        <f t="array" aca="1" ref="Z59" ca="1">SUMPRODUCT(TRANSPOSE(Z$13:Z$32),IS_NewStore_Trend!$G32:$Z32)</f>
        <v>1345427.2069094689</v>
      </c>
    </row>
    <row r="60" spans="2:26" x14ac:dyDescent="0.3">
      <c r="G60" s="221"/>
      <c r="H60" s="221"/>
      <c r="I60" s="221"/>
      <c r="J60" s="221"/>
      <c r="K60" s="221"/>
      <c r="L60" s="221"/>
      <c r="M60" s="221"/>
      <c r="N60" s="221"/>
      <c r="O60" s="221"/>
      <c r="P60" s="221"/>
      <c r="Q60" s="221"/>
      <c r="R60" s="221"/>
      <c r="S60" s="221"/>
      <c r="T60" s="221"/>
      <c r="U60" s="221"/>
      <c r="V60" s="221"/>
      <c r="W60" s="221"/>
      <c r="X60" s="221"/>
      <c r="Y60" s="221"/>
      <c r="Z60" s="221"/>
    </row>
    <row r="61" spans="2:26" x14ac:dyDescent="0.3">
      <c r="B61" s="163" t="s">
        <v>42</v>
      </c>
      <c r="G61" s="221">
        <f t="array" ref="G61">SUMPRODUCT(TRANSPOSE(G$13:G$32),IS_NewStore_Trend!$G34:$Z34)</f>
        <v>25000</v>
      </c>
      <c r="H61" s="221">
        <f t="array" aca="1" ref="H61" ca="1">SUMPRODUCT(TRANSPOSE(H$13:H$32),IS_NewStore_Trend!$G34:$Z34)</f>
        <v>75000</v>
      </c>
      <c r="I61" s="221">
        <f t="array" aca="1" ref="I61" ca="1">SUMPRODUCT(TRANSPOSE(I$13:I$32),IS_NewStore_Trend!$G34:$Z34)</f>
        <v>125000</v>
      </c>
      <c r="J61" s="221">
        <f t="array" aca="1" ref="J61" ca="1">SUMPRODUCT(TRANSPOSE(J$13:J$32),IS_NewStore_Trend!$G34:$Z34)</f>
        <v>150000</v>
      </c>
      <c r="K61" s="221">
        <f t="array" aca="1" ref="K61" ca="1">SUMPRODUCT(TRANSPOSE(K$13:K$32),IS_NewStore_Trend!$G34:$Z34)</f>
        <v>175000</v>
      </c>
      <c r="L61" s="221">
        <f t="array" aca="1" ref="L61" ca="1">SUMPRODUCT(TRANSPOSE(L$13:L$32),IS_NewStore_Trend!$G34:$Z34)</f>
        <v>225000</v>
      </c>
      <c r="M61" s="221">
        <f t="array" aca="1" ref="M61" ca="1">SUMPRODUCT(TRANSPOSE(M$13:M$32),IS_NewStore_Trend!$G34:$Z34)</f>
        <v>275000</v>
      </c>
      <c r="N61" s="221">
        <f t="array" aca="1" ref="N61" ca="1">SUMPRODUCT(TRANSPOSE(N$13:N$32),IS_NewStore_Trend!$G34:$Z34)</f>
        <v>300000</v>
      </c>
      <c r="O61" s="221">
        <f t="array" aca="1" ref="O61" ca="1">SUMPRODUCT(TRANSPOSE(O$13:O$32),IS_NewStore_Trend!$G34:$Z34)</f>
        <v>325000</v>
      </c>
      <c r="P61" s="221">
        <f t="array" aca="1" ref="P61" ca="1">SUMPRODUCT(TRANSPOSE(P$13:P$32),IS_NewStore_Trend!$G34:$Z34)</f>
        <v>375000</v>
      </c>
      <c r="Q61" s="221">
        <f t="array" aca="1" ref="Q61" ca="1">SUMPRODUCT(TRANSPOSE(Q$13:Q$32),IS_NewStore_Trend!$G34:$Z34)</f>
        <v>425000</v>
      </c>
      <c r="R61" s="221">
        <f t="array" aca="1" ref="R61" ca="1">SUMPRODUCT(TRANSPOSE(R$13:R$32),IS_NewStore_Trend!$G34:$Z34)</f>
        <v>450000</v>
      </c>
      <c r="S61" s="221">
        <f t="array" aca="1" ref="S61" ca="1">SUMPRODUCT(TRANSPOSE(S$13:S$32),IS_NewStore_Trend!$G34:$Z34)</f>
        <v>475000</v>
      </c>
      <c r="T61" s="221">
        <f t="array" aca="1" ref="T61" ca="1">SUMPRODUCT(TRANSPOSE(T$13:T$32),IS_NewStore_Trend!$G34:$Z34)</f>
        <v>525000</v>
      </c>
      <c r="U61" s="221">
        <f t="array" aca="1" ref="U61" ca="1">SUMPRODUCT(TRANSPOSE(U$13:U$32),IS_NewStore_Trend!$G34:$Z34)</f>
        <v>575000</v>
      </c>
      <c r="V61" s="221">
        <f t="array" aca="1" ref="V61" ca="1">SUMPRODUCT(TRANSPOSE(V$13:V$32),IS_NewStore_Trend!$G34:$Z34)</f>
        <v>600000</v>
      </c>
      <c r="W61" s="221">
        <f t="array" aca="1" ref="W61" ca="1">SUMPRODUCT(TRANSPOSE(W$13:W$32),IS_NewStore_Trend!$G34:$Z34)</f>
        <v>625000</v>
      </c>
      <c r="X61" s="221">
        <f t="array" aca="1" ref="X61" ca="1">SUMPRODUCT(TRANSPOSE(X$13:X$32),IS_NewStore_Trend!$G34:$Z34)</f>
        <v>675000</v>
      </c>
      <c r="Y61" s="221">
        <f t="array" aca="1" ref="Y61" ca="1">SUMPRODUCT(TRANSPOSE(Y$13:Y$32),IS_NewStore_Trend!$G34:$Z34)</f>
        <v>725000</v>
      </c>
      <c r="Z61" s="221">
        <f t="array" aca="1" ref="Z61" ca="1">SUMPRODUCT(TRANSPOSE(Z$13:Z$32),IS_NewStore_Trend!$G34:$Z34)</f>
        <v>750000</v>
      </c>
    </row>
    <row r="62" spans="2:26" x14ac:dyDescent="0.3">
      <c r="B62" s="163" t="s">
        <v>77</v>
      </c>
      <c r="G62" s="221">
        <f t="array" ref="G62">SUMPRODUCT(TRANSPOSE(G$13:G$32),IS_NewStore_Trend!$G35:$Z35)</f>
        <v>7500</v>
      </c>
      <c r="H62" s="221">
        <f t="array" aca="1" ref="H62" ca="1">SUMPRODUCT(TRANSPOSE(H$13:H$32),IS_NewStore_Trend!$G35:$Z35)</f>
        <v>22500</v>
      </c>
      <c r="I62" s="221">
        <f t="array" aca="1" ref="I62" ca="1">SUMPRODUCT(TRANSPOSE(I$13:I$32),IS_NewStore_Trend!$G35:$Z35)</f>
        <v>37500</v>
      </c>
      <c r="J62" s="221">
        <f t="array" aca="1" ref="J62" ca="1">SUMPRODUCT(TRANSPOSE(J$13:J$32),IS_NewStore_Trend!$G35:$Z35)</f>
        <v>45000</v>
      </c>
      <c r="K62" s="221">
        <f t="array" aca="1" ref="K62" ca="1">SUMPRODUCT(TRANSPOSE(K$13:K$32),IS_NewStore_Trend!$G35:$Z35)</f>
        <v>52500</v>
      </c>
      <c r="L62" s="221">
        <f t="array" aca="1" ref="L62" ca="1">SUMPRODUCT(TRANSPOSE(L$13:L$32),IS_NewStore_Trend!$G35:$Z35)</f>
        <v>67500</v>
      </c>
      <c r="M62" s="221">
        <f t="array" aca="1" ref="M62" ca="1">SUMPRODUCT(TRANSPOSE(M$13:M$32),IS_NewStore_Trend!$G35:$Z35)</f>
        <v>82500</v>
      </c>
      <c r="N62" s="221">
        <f t="array" aca="1" ref="N62" ca="1">SUMPRODUCT(TRANSPOSE(N$13:N$32),IS_NewStore_Trend!$G35:$Z35)</f>
        <v>90000</v>
      </c>
      <c r="O62" s="221">
        <f t="array" aca="1" ref="O62" ca="1">SUMPRODUCT(TRANSPOSE(O$13:O$32),IS_NewStore_Trend!$G35:$Z35)</f>
        <v>97500</v>
      </c>
      <c r="P62" s="221">
        <f t="array" aca="1" ref="P62" ca="1">SUMPRODUCT(TRANSPOSE(P$13:P$32),IS_NewStore_Trend!$G35:$Z35)</f>
        <v>112500</v>
      </c>
      <c r="Q62" s="221">
        <f t="array" aca="1" ref="Q62" ca="1">SUMPRODUCT(TRANSPOSE(Q$13:Q$32),IS_NewStore_Trend!$G35:$Z35)</f>
        <v>127500</v>
      </c>
      <c r="R62" s="221">
        <f t="array" aca="1" ref="R62" ca="1">SUMPRODUCT(TRANSPOSE(R$13:R$32),IS_NewStore_Trend!$G35:$Z35)</f>
        <v>135000</v>
      </c>
      <c r="S62" s="221">
        <f t="array" aca="1" ref="S62" ca="1">SUMPRODUCT(TRANSPOSE(S$13:S$32),IS_NewStore_Trend!$G35:$Z35)</f>
        <v>142500</v>
      </c>
      <c r="T62" s="221">
        <f t="array" aca="1" ref="T62" ca="1">SUMPRODUCT(TRANSPOSE(T$13:T$32),IS_NewStore_Trend!$G35:$Z35)</f>
        <v>157500</v>
      </c>
      <c r="U62" s="221">
        <f t="array" aca="1" ref="U62" ca="1">SUMPRODUCT(TRANSPOSE(U$13:U$32),IS_NewStore_Trend!$G35:$Z35)</f>
        <v>172500</v>
      </c>
      <c r="V62" s="221">
        <f t="array" aca="1" ref="V62" ca="1">SUMPRODUCT(TRANSPOSE(V$13:V$32),IS_NewStore_Trend!$G35:$Z35)</f>
        <v>180000</v>
      </c>
      <c r="W62" s="221">
        <f t="array" aca="1" ref="W62" ca="1">SUMPRODUCT(TRANSPOSE(W$13:W$32),IS_NewStore_Trend!$G35:$Z35)</f>
        <v>187500</v>
      </c>
      <c r="X62" s="221">
        <f t="array" aca="1" ref="X62" ca="1">SUMPRODUCT(TRANSPOSE(X$13:X$32),IS_NewStore_Trend!$G35:$Z35)</f>
        <v>202500</v>
      </c>
      <c r="Y62" s="221">
        <f t="array" aca="1" ref="Y62" ca="1">SUMPRODUCT(TRANSPOSE(Y$13:Y$32),IS_NewStore_Trend!$G35:$Z35)</f>
        <v>217500</v>
      </c>
      <c r="Z62" s="221">
        <f t="array" aca="1" ref="Z62" ca="1">SUMPRODUCT(TRANSPOSE(Z$13:Z$32),IS_NewStore_Trend!$G35:$Z35)</f>
        <v>225000</v>
      </c>
    </row>
    <row r="63" spans="2:26" x14ac:dyDescent="0.3">
      <c r="B63" s="199" t="s">
        <v>204</v>
      </c>
      <c r="C63" s="199"/>
      <c r="D63" s="199"/>
      <c r="E63" s="199"/>
      <c r="F63" s="199"/>
      <c r="G63" s="222">
        <f t="array" ref="G63">SUMPRODUCT(TRANSPOSE(G$13:G$32),IS_NewStore_Trend!$G36:$Z36)</f>
        <v>32500</v>
      </c>
      <c r="H63" s="222">
        <f t="array" aca="1" ref="H63" ca="1">SUMPRODUCT(TRANSPOSE(H$13:H$32),IS_NewStore_Trend!$G36:$Z36)</f>
        <v>97500</v>
      </c>
      <c r="I63" s="222">
        <f t="array" aca="1" ref="I63" ca="1">SUMPRODUCT(TRANSPOSE(I$13:I$32),IS_NewStore_Trend!$G36:$Z36)</f>
        <v>162500</v>
      </c>
      <c r="J63" s="222">
        <f t="array" aca="1" ref="J63" ca="1">SUMPRODUCT(TRANSPOSE(J$13:J$32),IS_NewStore_Trend!$G36:$Z36)</f>
        <v>195000</v>
      </c>
      <c r="K63" s="222">
        <f t="array" aca="1" ref="K63" ca="1">SUMPRODUCT(TRANSPOSE(K$13:K$32),IS_NewStore_Trend!$G36:$Z36)</f>
        <v>227500</v>
      </c>
      <c r="L63" s="222">
        <f t="array" aca="1" ref="L63" ca="1">SUMPRODUCT(TRANSPOSE(L$13:L$32),IS_NewStore_Trend!$G36:$Z36)</f>
        <v>292500</v>
      </c>
      <c r="M63" s="222">
        <f t="array" aca="1" ref="M63" ca="1">SUMPRODUCT(TRANSPOSE(M$13:M$32),IS_NewStore_Trend!$G36:$Z36)</f>
        <v>357500</v>
      </c>
      <c r="N63" s="222">
        <f t="array" aca="1" ref="N63" ca="1">SUMPRODUCT(TRANSPOSE(N$13:N$32),IS_NewStore_Trend!$G36:$Z36)</f>
        <v>390000</v>
      </c>
      <c r="O63" s="222">
        <f t="array" aca="1" ref="O63" ca="1">SUMPRODUCT(TRANSPOSE(O$13:O$32),IS_NewStore_Trend!$G36:$Z36)</f>
        <v>422500</v>
      </c>
      <c r="P63" s="222">
        <f t="array" aca="1" ref="P63" ca="1">SUMPRODUCT(TRANSPOSE(P$13:P$32),IS_NewStore_Trend!$G36:$Z36)</f>
        <v>487500</v>
      </c>
      <c r="Q63" s="222">
        <f t="array" aca="1" ref="Q63" ca="1">SUMPRODUCT(TRANSPOSE(Q$13:Q$32),IS_NewStore_Trend!$G36:$Z36)</f>
        <v>552500</v>
      </c>
      <c r="R63" s="222">
        <f t="array" aca="1" ref="R63" ca="1">SUMPRODUCT(TRANSPOSE(R$13:R$32),IS_NewStore_Trend!$G36:$Z36)</f>
        <v>585000</v>
      </c>
      <c r="S63" s="222">
        <f t="array" aca="1" ref="S63" ca="1">SUMPRODUCT(TRANSPOSE(S$13:S$32),IS_NewStore_Trend!$G36:$Z36)</f>
        <v>617500</v>
      </c>
      <c r="T63" s="222">
        <f t="array" aca="1" ref="T63" ca="1">SUMPRODUCT(TRANSPOSE(T$13:T$32),IS_NewStore_Trend!$G36:$Z36)</f>
        <v>682500</v>
      </c>
      <c r="U63" s="222">
        <f t="array" aca="1" ref="U63" ca="1">SUMPRODUCT(TRANSPOSE(U$13:U$32),IS_NewStore_Trend!$G36:$Z36)</f>
        <v>747500</v>
      </c>
      <c r="V63" s="222">
        <f t="array" aca="1" ref="V63" ca="1">SUMPRODUCT(TRANSPOSE(V$13:V$32),IS_NewStore_Trend!$G36:$Z36)</f>
        <v>780000</v>
      </c>
      <c r="W63" s="222">
        <f t="array" aca="1" ref="W63" ca="1">SUMPRODUCT(TRANSPOSE(W$13:W$32),IS_NewStore_Trend!$G36:$Z36)</f>
        <v>812500</v>
      </c>
      <c r="X63" s="222">
        <f t="array" aca="1" ref="X63" ca="1">SUMPRODUCT(TRANSPOSE(X$13:X$32),IS_NewStore_Trend!$G36:$Z36)</f>
        <v>877500</v>
      </c>
      <c r="Y63" s="222">
        <f t="array" aca="1" ref="Y63" ca="1">SUMPRODUCT(TRANSPOSE(Y$13:Y$32),IS_NewStore_Trend!$G36:$Z36)</f>
        <v>942500</v>
      </c>
      <c r="Z63" s="222">
        <f t="array" aca="1" ref="Z63" ca="1">SUMPRODUCT(TRANSPOSE(Z$13:Z$32),IS_NewStore_Trend!$G36:$Z36)</f>
        <v>975000</v>
      </c>
    </row>
    <row r="64" spans="2:26" x14ac:dyDescent="0.3">
      <c r="G64" s="221"/>
      <c r="H64" s="221"/>
      <c r="I64" s="221"/>
      <c r="J64" s="221"/>
      <c r="K64" s="221"/>
      <c r="L64" s="221"/>
      <c r="M64" s="221"/>
      <c r="N64" s="221"/>
      <c r="O64" s="221"/>
      <c r="P64" s="221"/>
      <c r="Q64" s="221"/>
      <c r="R64" s="221"/>
      <c r="S64" s="221"/>
      <c r="T64" s="221"/>
      <c r="U64" s="221"/>
      <c r="V64" s="221"/>
      <c r="W64" s="221"/>
      <c r="X64" s="221"/>
      <c r="Y64" s="221"/>
      <c r="Z64" s="221"/>
    </row>
    <row r="65" spans="2:26" ht="14.5" thickBot="1" x14ac:dyDescent="0.35">
      <c r="B65" s="202" t="s">
        <v>205</v>
      </c>
      <c r="C65" s="202"/>
      <c r="D65" s="202"/>
      <c r="E65" s="202"/>
      <c r="F65" s="202"/>
      <c r="G65" s="224">
        <f t="array" aca="1" ref="G65" ca="1">SUMPRODUCT(TRANSPOSE(G$13:G$32),IS_NewStore_Trend!$G38:$Z38)</f>
        <v>86460.601940000022</v>
      </c>
      <c r="H65" s="224">
        <f t="array" aca="1" ref="H65" ca="1">SUMPRODUCT(TRANSPOSE(H$13:H$32),IS_NewStore_Trend!$G38:$Z38)</f>
        <v>260502.76033455005</v>
      </c>
      <c r="I65" s="224">
        <f t="array" aca="1" ref="I65" ca="1">SUMPRODUCT(TRANSPOSE(I$13:I$32),IS_NewStore_Trend!$G38:$Z38)</f>
        <v>436795.23491705919</v>
      </c>
      <c r="J65" s="224">
        <f t="array" aca="1" ref="J65" ca="1">SUMPRODUCT(TRANSPOSE(J$13:J$32),IS_NewStore_Trend!$G38:$Z38)</f>
        <v>528894.3011189372</v>
      </c>
      <c r="K65" s="224">
        <f t="array" aca="1" ref="K65" ca="1">SUMPRODUCT(TRANSPOSE(K$13:K$32),IS_NewStore_Trend!$G38:$Z38)</f>
        <v>622156.61031732929</v>
      </c>
      <c r="L65" s="224">
        <f t="array" aca="1" ref="L65" ca="1">SUMPRODUCT(TRANSPOSE(L$13:L$32),IS_NewStore_Trend!$G38:$Z38)</f>
        <v>803051.48877470929</v>
      </c>
      <c r="M65" s="224">
        <f t="array" aca="1" ref="M65" ca="1">SUMPRODUCT(TRANSPOSE(M$13:M$32),IS_NewStore_Trend!$G38:$Z38)</f>
        <v>986248.07882051973</v>
      </c>
      <c r="N65" s="224">
        <f t="array" aca="1" ref="N65" ca="1">SUMPRODUCT(TRANSPOSE(N$13:N$32),IS_NewStore_Trend!$G38:$Z38)</f>
        <v>1085303.0413516739</v>
      </c>
      <c r="O65" s="224">
        <f t="array" aca="1" ref="O65" ca="1">SUMPRODUCT(TRANSPOSE(O$13:O$32),IS_NewStore_Trend!$G38:$Z38)</f>
        <v>1185573.4161018115</v>
      </c>
      <c r="P65" s="224">
        <f t="array" aca="1" ref="P65" ca="1">SUMPRODUCT(TRANSPOSE(P$13:P$32),IS_NewStore_Trend!$G38:$Z38)</f>
        <v>1373528.9206025749</v>
      </c>
      <c r="Q65" s="224">
        <f t="array" aca="1" ref="Q65" ca="1">SUMPRODUCT(TRANSPOSE(Q$13:Q$32),IS_NewStore_Trend!$G38:$Z38)</f>
        <v>1563839.0913870949</v>
      </c>
      <c r="R65" s="224">
        <f t="array" aca="1" ref="R65" ca="1">SUMPRODUCT(TRANSPOSE(R$13:R$32),IS_NewStore_Trend!$G38:$Z38)</f>
        <v>1670060.9865124982</v>
      </c>
      <c r="S65" s="224">
        <f t="array" aca="1" ref="S65" ca="1">SUMPRODUCT(TRANSPOSE(S$13:S$32),IS_NewStore_Trend!$G38:$Z38)</f>
        <v>1777552.0458513419</v>
      </c>
      <c r="T65" s="224">
        <f t="array" aca="1" ref="T65" ca="1">SUMPRODUCT(TRANSPOSE(T$13:T$32),IS_NewStore_Trend!$G38:$Z38)</f>
        <v>1972782.3900752272</v>
      </c>
      <c r="U65" s="224">
        <f t="array" aca="1" ref="U65" ca="1">SUMPRODUCT(TRANSPOSE(U$13:U$32),IS_NewStore_Trend!$G38:$Z38)</f>
        <v>2170421.9618807924</v>
      </c>
      <c r="V65" s="224">
        <f t="array" aca="1" ref="V65" ca="1">SUMPRODUCT(TRANSPOSE(V$13:V$32),IS_NewStore_Trend!$G38:$Z38)</f>
        <v>2284028.2285348978</v>
      </c>
      <c r="W65" s="224">
        <f t="array" aca="1" ref="W65" ca="1">SUMPRODUCT(TRANSPOSE(W$13:W$32),IS_NewStore_Trend!$G38:$Z38)</f>
        <v>2398959.0421889098</v>
      </c>
      <c r="X65" s="224">
        <f t="array" aca="1" ref="X65" ca="1">SUMPRODUCT(TRANSPOSE(X$13:X$32),IS_NewStore_Trend!$G38:$Z38)</f>
        <v>2601684.9388853274</v>
      </c>
      <c r="Y65" s="224">
        <f t="array" aca="1" ref="Y65" ca="1">SUMPRODUCT(TRANSPOSE(Y$13:Y$32),IS_NewStore_Trend!$G38:$Z38)</f>
        <v>2806876.2798069678</v>
      </c>
      <c r="Z65" s="224">
        <f t="array" aca="1" ref="Z65" ca="1">SUMPRODUCT(TRANSPOSE(Z$13:Z$32),IS_NewStore_Trend!$G38:$Z38)</f>
        <v>2928090.95384552</v>
      </c>
    </row>
    <row r="66" spans="2:26" ht="14.5" thickTop="1" x14ac:dyDescent="0.3"/>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Z39"/>
  <sheetViews>
    <sheetView zoomScale="83" zoomScaleNormal="83" workbookViewId="0">
      <pane xSplit="5" topLeftCell="F1" activePane="topRight" state="frozen"/>
      <selection pane="topRight" activeCell="I36" sqref="I36"/>
    </sheetView>
  </sheetViews>
  <sheetFormatPr defaultRowHeight="14" x14ac:dyDescent="0.3"/>
  <cols>
    <col min="1" max="1" width="3.7265625" style="163" customWidth="1"/>
    <col min="2" max="2" width="40.90625" style="163" bestFit="1" customWidth="1"/>
    <col min="3" max="3" width="10.453125" style="163" bestFit="1" customWidth="1"/>
    <col min="4" max="4" width="14.54296875" style="163" bestFit="1" customWidth="1"/>
    <col min="5" max="5" width="14.90625" style="163" bestFit="1" customWidth="1"/>
    <col min="6" max="6" width="2.7265625" style="163" customWidth="1"/>
    <col min="7" max="26" width="10.453125" style="163" bestFit="1" customWidth="1"/>
    <col min="27" max="16384" width="8.7265625" style="163"/>
  </cols>
  <sheetData>
    <row r="2" spans="2:26" x14ac:dyDescent="0.3">
      <c r="B2" s="165" t="s">
        <v>207</v>
      </c>
    </row>
    <row r="3" spans="2:26" x14ac:dyDescent="0.3">
      <c r="B3" s="165" t="s">
        <v>208</v>
      </c>
    </row>
    <row r="5" spans="2:26" x14ac:dyDescent="0.3">
      <c r="B5" s="188" t="s">
        <v>209</v>
      </c>
      <c r="C5" s="189">
        <f>Inputs!C4</f>
        <v>0.03</v>
      </c>
    </row>
    <row r="6" spans="2:26" x14ac:dyDescent="0.3">
      <c r="B6" s="188"/>
      <c r="C6" s="200"/>
      <c r="G6" s="208" t="s">
        <v>6</v>
      </c>
      <c r="H6" s="209"/>
      <c r="I6" s="209"/>
      <c r="J6" s="209"/>
      <c r="K6" s="208" t="s">
        <v>7</v>
      </c>
      <c r="L6" s="209"/>
      <c r="M6" s="209"/>
      <c r="N6" s="209"/>
      <c r="O6" s="208" t="s">
        <v>8</v>
      </c>
      <c r="P6" s="209"/>
      <c r="Q6" s="209"/>
      <c r="R6" s="209"/>
      <c r="S6" s="208" t="s">
        <v>9</v>
      </c>
      <c r="T6" s="209"/>
      <c r="U6" s="209"/>
      <c r="V6" s="209"/>
      <c r="W6" s="208" t="s">
        <v>10</v>
      </c>
      <c r="X6" s="209"/>
      <c r="Y6" s="209"/>
      <c r="Z6" s="209"/>
    </row>
    <row r="7" spans="2:26" x14ac:dyDescent="0.3">
      <c r="C7" s="201" t="s">
        <v>210</v>
      </c>
      <c r="D7" s="201" t="s">
        <v>211</v>
      </c>
      <c r="E7" s="201" t="s">
        <v>212</v>
      </c>
      <c r="F7" s="201"/>
      <c r="G7" s="201" t="s">
        <v>11</v>
      </c>
      <c r="H7" s="201" t="s">
        <v>12</v>
      </c>
      <c r="I7" s="201" t="s">
        <v>13</v>
      </c>
      <c r="J7" s="201" t="s">
        <v>14</v>
      </c>
      <c r="K7" s="201" t="s">
        <v>11</v>
      </c>
      <c r="L7" s="201" t="s">
        <v>12</v>
      </c>
      <c r="M7" s="201" t="s">
        <v>13</v>
      </c>
      <c r="N7" s="201" t="s">
        <v>14</v>
      </c>
      <c r="O7" s="201" t="s">
        <v>11</v>
      </c>
      <c r="P7" s="201" t="s">
        <v>12</v>
      </c>
      <c r="Q7" s="201" t="s">
        <v>13</v>
      </c>
      <c r="R7" s="201" t="s">
        <v>14</v>
      </c>
      <c r="S7" s="201" t="s">
        <v>11</v>
      </c>
      <c r="T7" s="201" t="s">
        <v>12</v>
      </c>
      <c r="U7" s="201" t="s">
        <v>13</v>
      </c>
      <c r="V7" s="201" t="s">
        <v>14</v>
      </c>
      <c r="W7" s="201" t="s">
        <v>11</v>
      </c>
      <c r="X7" s="201" t="s">
        <v>12</v>
      </c>
      <c r="Y7" s="201" t="s">
        <v>13</v>
      </c>
      <c r="Z7" s="201" t="s">
        <v>14</v>
      </c>
    </row>
    <row r="8" spans="2:26" x14ac:dyDescent="0.3">
      <c r="B8" s="163" t="s">
        <v>15</v>
      </c>
      <c r="C8" s="192">
        <f ca="1">VLOOKUP($B8,IS_NewStore!B10:H53,6,FALSE)/4</f>
        <v>442000</v>
      </c>
      <c r="D8" s="203"/>
      <c r="G8" s="221">
        <f ca="1">C8*((1+$C$5/4))</f>
        <v>445315</v>
      </c>
      <c r="H8" s="221">
        <f ca="1">G8*(1+$C$5/4)</f>
        <v>448654.86250000005</v>
      </c>
      <c r="I8" s="221">
        <f t="shared" ref="I8:Z8" ca="1" si="0">H8*(1+$C$5/4)</f>
        <v>452019.77396875009</v>
      </c>
      <c r="J8" s="221">
        <f t="shared" ca="1" si="0"/>
        <v>455409.92227351572</v>
      </c>
      <c r="K8" s="221">
        <f t="shared" ca="1" si="0"/>
        <v>458825.49669056712</v>
      </c>
      <c r="L8" s="221">
        <f t="shared" ca="1" si="0"/>
        <v>462266.68791574641</v>
      </c>
      <c r="M8" s="221">
        <f t="shared" ca="1" si="0"/>
        <v>465733.68807511457</v>
      </c>
      <c r="N8" s="221">
        <f t="shared" ca="1" si="0"/>
        <v>469226.69073567796</v>
      </c>
      <c r="O8" s="221">
        <f t="shared" ca="1" si="0"/>
        <v>472745.89091619558</v>
      </c>
      <c r="P8" s="221">
        <f t="shared" ca="1" si="0"/>
        <v>476291.48509806709</v>
      </c>
      <c r="Q8" s="221">
        <f t="shared" ca="1" si="0"/>
        <v>479863.67123630265</v>
      </c>
      <c r="R8" s="221">
        <f t="shared" ca="1" si="0"/>
        <v>483462.64877057495</v>
      </c>
      <c r="S8" s="221">
        <f t="shared" ca="1" si="0"/>
        <v>487088.61863635428</v>
      </c>
      <c r="T8" s="221">
        <f t="shared" ca="1" si="0"/>
        <v>490741.78327612695</v>
      </c>
      <c r="U8" s="221">
        <f t="shared" ca="1" si="0"/>
        <v>494422.34665069793</v>
      </c>
      <c r="V8" s="221">
        <f t="shared" ca="1" si="0"/>
        <v>498130.51425057818</v>
      </c>
      <c r="W8" s="221">
        <f t="shared" ca="1" si="0"/>
        <v>501866.49310745753</v>
      </c>
      <c r="X8" s="221">
        <f t="shared" ca="1" si="0"/>
        <v>505630.49180576351</v>
      </c>
      <c r="Y8" s="221">
        <f t="shared" ca="1" si="0"/>
        <v>509422.72049430676</v>
      </c>
      <c r="Z8" s="221">
        <f t="shared" ca="1" si="0"/>
        <v>513243.39089801407</v>
      </c>
    </row>
    <row r="9" spans="2:26" x14ac:dyDescent="0.3">
      <c r="C9" s="167"/>
      <c r="D9" s="203"/>
      <c r="G9" s="210"/>
      <c r="H9" s="210"/>
      <c r="I9" s="210"/>
      <c r="J9" s="210"/>
      <c r="K9" s="210"/>
      <c r="L9" s="210"/>
      <c r="M9" s="210"/>
      <c r="N9" s="210"/>
      <c r="O9" s="210"/>
      <c r="P9" s="210"/>
      <c r="Q9" s="210"/>
      <c r="R9" s="210"/>
      <c r="S9" s="210"/>
      <c r="T9" s="210"/>
      <c r="U9" s="210"/>
      <c r="V9" s="210"/>
      <c r="W9" s="210"/>
      <c r="X9" s="210"/>
      <c r="Y9" s="210"/>
      <c r="Z9" s="210"/>
    </row>
    <row r="10" spans="2:26" x14ac:dyDescent="0.3">
      <c r="B10" s="163" t="s">
        <v>66</v>
      </c>
      <c r="C10" s="192">
        <f>VLOOKUP($B10,IS_NewStore!B12:H55,6,FALSE)/4</f>
        <v>22000</v>
      </c>
      <c r="D10" s="203">
        <f ca="1">C10/$C$8</f>
        <v>4.9773755656108594E-2</v>
      </c>
      <c r="E10" s="225" t="str">
        <f>VLOOKUP($B10,Inputs!$B$60:$C$76,2,FALSE)</f>
        <v>Variable</v>
      </c>
      <c r="G10" s="221">
        <f ca="1">IF($E10="Variable",G$8*$D10,$C10)</f>
        <v>22165</v>
      </c>
      <c r="H10" s="221">
        <f t="shared" ref="H10:Z23" ca="1" si="1">IF($E10="Variable",H$8*$D10,$C10)</f>
        <v>22331.237499999999</v>
      </c>
      <c r="I10" s="221">
        <f t="shared" ca="1" si="1"/>
        <v>22498.721781250002</v>
      </c>
      <c r="J10" s="221">
        <f t="shared" ca="1" si="1"/>
        <v>22667.462194609379</v>
      </c>
      <c r="K10" s="221">
        <f t="shared" ca="1" si="1"/>
        <v>22837.468161068951</v>
      </c>
      <c r="L10" s="221">
        <f t="shared" ca="1" si="1"/>
        <v>23008.74917227697</v>
      </c>
      <c r="M10" s="221">
        <f t="shared" ca="1" si="1"/>
        <v>23181.31479106905</v>
      </c>
      <c r="N10" s="221">
        <f t="shared" ca="1" si="1"/>
        <v>23355.174652002068</v>
      </c>
      <c r="O10" s="221">
        <f t="shared" ca="1" si="1"/>
        <v>23530.338461892086</v>
      </c>
      <c r="P10" s="221">
        <f t="shared" ca="1" si="1"/>
        <v>23706.816000356277</v>
      </c>
      <c r="Q10" s="221">
        <f t="shared" ca="1" si="1"/>
        <v>23884.617120358955</v>
      </c>
      <c r="R10" s="221">
        <f t="shared" ca="1" si="1"/>
        <v>24063.751748761646</v>
      </c>
      <c r="S10" s="221">
        <f t="shared" ca="1" si="1"/>
        <v>24244.229886877361</v>
      </c>
      <c r="T10" s="221">
        <f t="shared" ca="1" si="1"/>
        <v>24426.061611028941</v>
      </c>
      <c r="U10" s="221">
        <f t="shared" ca="1" si="1"/>
        <v>24609.257073111661</v>
      </c>
      <c r="V10" s="221">
        <f t="shared" ca="1" si="1"/>
        <v>24793.826501159998</v>
      </c>
      <c r="W10" s="221">
        <f t="shared" ca="1" si="1"/>
        <v>24979.7801999187</v>
      </c>
      <c r="X10" s="221">
        <f t="shared" ca="1" si="1"/>
        <v>25167.128551418093</v>
      </c>
      <c r="Y10" s="221">
        <f t="shared" ca="1" si="1"/>
        <v>25355.882015553729</v>
      </c>
      <c r="Z10" s="221">
        <f t="shared" ca="1" si="1"/>
        <v>25546.051130670381</v>
      </c>
    </row>
    <row r="11" spans="2:26" x14ac:dyDescent="0.3">
      <c r="B11" s="163" t="s">
        <v>69</v>
      </c>
      <c r="C11" s="192">
        <f>VLOOKUP($B11,IS_NewStore!B13:H56,6,FALSE)/4</f>
        <v>101504</v>
      </c>
      <c r="D11" s="203">
        <f t="shared" ref="D11:D38" ca="1" si="2">C11/$C$8</f>
        <v>0.2296470588235294</v>
      </c>
      <c r="E11" s="225" t="str">
        <f>VLOOKUP($B11,Inputs!$B$60:$C$76,2,FALSE)</f>
        <v>Variable</v>
      </c>
      <c r="G11" s="221">
        <f ca="1">IF($E11="Variable",G$8*$D11,$C11)</f>
        <v>102265.28</v>
      </c>
      <c r="H11" s="221">
        <f t="shared" ca="1" si="1"/>
        <v>103032.2696</v>
      </c>
      <c r="I11" s="221">
        <f t="shared" ca="1" si="1"/>
        <v>103805.01162200002</v>
      </c>
      <c r="J11" s="221">
        <f t="shared" ca="1" si="1"/>
        <v>104583.54920916502</v>
      </c>
      <c r="K11" s="221">
        <f t="shared" ca="1" si="1"/>
        <v>105367.92582823375</v>
      </c>
      <c r="L11" s="221">
        <f t="shared" ca="1" si="1"/>
        <v>106158.18527194552</v>
      </c>
      <c r="M11" s="221">
        <f t="shared" ca="1" si="1"/>
        <v>106954.37166148513</v>
      </c>
      <c r="N11" s="221">
        <f t="shared" ca="1" si="1"/>
        <v>107756.52944894627</v>
      </c>
      <c r="O11" s="221">
        <f ca="1">IF($E11="Variable",O$8*$D11,$C11)</f>
        <v>108564.70341981338</v>
      </c>
      <c r="P11" s="221">
        <f t="shared" ca="1" si="1"/>
        <v>109378.93869546198</v>
      </c>
      <c r="Q11" s="221">
        <f t="shared" ca="1" si="1"/>
        <v>110199.28073567797</v>
      </c>
      <c r="R11" s="221">
        <f t="shared" ca="1" si="1"/>
        <v>111025.77534119556</v>
      </c>
      <c r="S11" s="221">
        <f t="shared" ca="1" si="1"/>
        <v>111858.46865625452</v>
      </c>
      <c r="T11" s="221">
        <f t="shared" ca="1" si="1"/>
        <v>112697.40717117644</v>
      </c>
      <c r="U11" s="221">
        <f t="shared" ca="1" si="1"/>
        <v>113542.63772496027</v>
      </c>
      <c r="V11" s="221">
        <f t="shared" ca="1" si="1"/>
        <v>114394.20750789747</v>
      </c>
      <c r="W11" s="221">
        <f t="shared" ca="1" si="1"/>
        <v>115252.16406420671</v>
      </c>
      <c r="X11" s="221">
        <f t="shared" ca="1" si="1"/>
        <v>116116.55529468827</v>
      </c>
      <c r="Y11" s="221">
        <f t="shared" ca="1" si="1"/>
        <v>116987.42945939844</v>
      </c>
      <c r="Z11" s="221">
        <f t="shared" ca="1" si="1"/>
        <v>117864.83518034393</v>
      </c>
    </row>
    <row r="12" spans="2:26" x14ac:dyDescent="0.3">
      <c r="B12" s="199" t="s">
        <v>199</v>
      </c>
      <c r="C12" s="226">
        <f>VLOOKUP($B12,IS_NewStore!B14:H57,6,FALSE)/4</f>
        <v>123504</v>
      </c>
      <c r="D12" s="204">
        <f t="shared" ca="1" si="2"/>
        <v>0.27942081447963801</v>
      </c>
      <c r="E12" s="227"/>
      <c r="G12" s="222">
        <f ca="1">SUM(G10:G11)</f>
        <v>124430.28</v>
      </c>
      <c r="H12" s="222">
        <f t="shared" ref="H12:Z12" ca="1" si="3">SUM(H10:H11)</f>
        <v>125363.5071</v>
      </c>
      <c r="I12" s="222">
        <f t="shared" ca="1" si="3"/>
        <v>126303.73340325002</v>
      </c>
      <c r="J12" s="222">
        <f t="shared" ca="1" si="3"/>
        <v>127251.01140377441</v>
      </c>
      <c r="K12" s="222">
        <f t="shared" ca="1" si="3"/>
        <v>128205.39398930271</v>
      </c>
      <c r="L12" s="222">
        <f t="shared" ca="1" si="3"/>
        <v>129166.93444422248</v>
      </c>
      <c r="M12" s="222">
        <f t="shared" ca="1" si="3"/>
        <v>130135.68645255418</v>
      </c>
      <c r="N12" s="222">
        <f t="shared" ca="1" si="3"/>
        <v>131111.70410094835</v>
      </c>
      <c r="O12" s="222">
        <f t="shared" ca="1" si="3"/>
        <v>132095.04188170546</v>
      </c>
      <c r="P12" s="222">
        <f t="shared" ca="1" si="3"/>
        <v>133085.75469581826</v>
      </c>
      <c r="Q12" s="222">
        <f t="shared" ca="1" si="3"/>
        <v>134083.89785603693</v>
      </c>
      <c r="R12" s="222">
        <f t="shared" ca="1" si="3"/>
        <v>135089.52708995721</v>
      </c>
      <c r="S12" s="222">
        <f t="shared" ca="1" si="3"/>
        <v>136102.69854313188</v>
      </c>
      <c r="T12" s="222">
        <f t="shared" ca="1" si="3"/>
        <v>137123.46878220537</v>
      </c>
      <c r="U12" s="222">
        <f t="shared" ca="1" si="3"/>
        <v>138151.89479807194</v>
      </c>
      <c r="V12" s="222">
        <f t="shared" ca="1" si="3"/>
        <v>139188.03400905748</v>
      </c>
      <c r="W12" s="222">
        <f t="shared" ca="1" si="3"/>
        <v>140231.9442641254</v>
      </c>
      <c r="X12" s="222">
        <f t="shared" ca="1" si="3"/>
        <v>141283.68384610635</v>
      </c>
      <c r="Y12" s="222">
        <f t="shared" ca="1" si="3"/>
        <v>142343.31147495218</v>
      </c>
      <c r="Z12" s="222">
        <f t="shared" ca="1" si="3"/>
        <v>143410.8863110143</v>
      </c>
    </row>
    <row r="13" spans="2:26" x14ac:dyDescent="0.3">
      <c r="C13" s="192"/>
      <c r="D13" s="203"/>
      <c r="E13" s="227"/>
      <c r="G13" s="221"/>
      <c r="H13" s="221"/>
      <c r="I13" s="221"/>
      <c r="J13" s="221"/>
      <c r="K13" s="221"/>
      <c r="L13" s="221"/>
      <c r="M13" s="221"/>
      <c r="N13" s="221"/>
      <c r="O13" s="221"/>
      <c r="P13" s="221"/>
      <c r="Q13" s="221"/>
      <c r="R13" s="221"/>
      <c r="S13" s="221"/>
      <c r="T13" s="221"/>
      <c r="U13" s="221"/>
      <c r="V13" s="221"/>
      <c r="W13" s="221"/>
      <c r="X13" s="221"/>
      <c r="Y13" s="221"/>
      <c r="Z13" s="221"/>
    </row>
    <row r="14" spans="2:26" x14ac:dyDescent="0.3">
      <c r="B14" s="163" t="s">
        <v>1</v>
      </c>
      <c r="C14" s="192">
        <f>VLOOKUP($B14,IS_NewStore!B16:H59,6,FALSE)/4</f>
        <v>9509.8079999999991</v>
      </c>
      <c r="D14" s="203">
        <f t="shared" ca="1" si="2"/>
        <v>2.1515402714932123E-2</v>
      </c>
      <c r="E14" s="225" t="str">
        <f>VLOOKUP($B14,Inputs!$B$60:$C$76,2,FALSE)</f>
        <v>Variable</v>
      </c>
      <c r="G14" s="221">
        <f t="shared" ref="G14:V35" ca="1" si="4">IF($E14="Variable",G$8*$D14,$C14)</f>
        <v>9581.131559999998</v>
      </c>
      <c r="H14" s="221">
        <f t="shared" ca="1" si="1"/>
        <v>9652.9900466999989</v>
      </c>
      <c r="I14" s="221">
        <f t="shared" ca="1" si="1"/>
        <v>9725.3874720502499</v>
      </c>
      <c r="J14" s="221">
        <f t="shared" ca="1" si="1"/>
        <v>9798.3278780906276</v>
      </c>
      <c r="K14" s="221">
        <f t="shared" ca="1" si="1"/>
        <v>9871.8153371763074</v>
      </c>
      <c r="L14" s="221">
        <f t="shared" ca="1" si="1"/>
        <v>9945.8539522051306</v>
      </c>
      <c r="M14" s="221">
        <f t="shared" ca="1" si="1"/>
        <v>10020.447856846671</v>
      </c>
      <c r="N14" s="221">
        <f t="shared" ca="1" si="1"/>
        <v>10095.601215773022</v>
      </c>
      <c r="O14" s="221">
        <f t="shared" ca="1" si="1"/>
        <v>10171.31822489132</v>
      </c>
      <c r="P14" s="221">
        <f t="shared" ca="1" si="1"/>
        <v>10247.603111578006</v>
      </c>
      <c r="Q14" s="221">
        <f t="shared" ca="1" si="1"/>
        <v>10324.460134914842</v>
      </c>
      <c r="R14" s="221">
        <f t="shared" ca="1" si="1"/>
        <v>10401.893585926704</v>
      </c>
      <c r="S14" s="221">
        <f t="shared" ca="1" si="1"/>
        <v>10479.907787821154</v>
      </c>
      <c r="T14" s="221">
        <f t="shared" ca="1" si="1"/>
        <v>10558.507096229814</v>
      </c>
      <c r="U14" s="221">
        <f t="shared" ca="1" si="1"/>
        <v>10637.695899451537</v>
      </c>
      <c r="V14" s="221">
        <f t="shared" ca="1" si="1"/>
        <v>10717.478618697425</v>
      </c>
      <c r="W14" s="221">
        <f t="shared" ca="1" si="1"/>
        <v>10797.859708337655</v>
      </c>
      <c r="X14" s="221">
        <f t="shared" ca="1" si="1"/>
        <v>10878.843656150189</v>
      </c>
      <c r="Y14" s="221">
        <f t="shared" ca="1" si="1"/>
        <v>10960.434983571316</v>
      </c>
      <c r="Z14" s="221">
        <f t="shared" ca="1" si="1"/>
        <v>11042.638245948101</v>
      </c>
    </row>
    <row r="15" spans="2:26" x14ac:dyDescent="0.3">
      <c r="B15" s="163" t="s">
        <v>0</v>
      </c>
      <c r="C15" s="192">
        <f>VLOOKUP($B15,IS_NewStore!B17:H60,6,FALSE)/4</f>
        <v>5750</v>
      </c>
      <c r="D15" s="203">
        <f t="shared" ca="1" si="2"/>
        <v>1.3009049773755657E-2</v>
      </c>
      <c r="E15" s="225" t="str">
        <f>VLOOKUP($B15,Inputs!$B$60:$C$76,2,FALSE)</f>
        <v>Fixed</v>
      </c>
      <c r="G15" s="221">
        <f t="shared" si="4"/>
        <v>5750</v>
      </c>
      <c r="H15" s="221">
        <f t="shared" si="1"/>
        <v>5750</v>
      </c>
      <c r="I15" s="221">
        <f t="shared" si="1"/>
        <v>5750</v>
      </c>
      <c r="J15" s="221">
        <f t="shared" si="1"/>
        <v>5750</v>
      </c>
      <c r="K15" s="221">
        <f t="shared" si="1"/>
        <v>5750</v>
      </c>
      <c r="L15" s="221">
        <f t="shared" si="1"/>
        <v>5750</v>
      </c>
      <c r="M15" s="221">
        <f t="shared" si="1"/>
        <v>5750</v>
      </c>
      <c r="N15" s="221">
        <f t="shared" si="1"/>
        <v>5750</v>
      </c>
      <c r="O15" s="221">
        <f t="shared" si="1"/>
        <v>5750</v>
      </c>
      <c r="P15" s="221">
        <f t="shared" si="1"/>
        <v>5750</v>
      </c>
      <c r="Q15" s="221">
        <f t="shared" si="1"/>
        <v>5750</v>
      </c>
      <c r="R15" s="221">
        <f t="shared" si="1"/>
        <v>5750</v>
      </c>
      <c r="S15" s="221">
        <f t="shared" si="1"/>
        <v>5750</v>
      </c>
      <c r="T15" s="221">
        <f t="shared" si="1"/>
        <v>5750</v>
      </c>
      <c r="U15" s="221">
        <f t="shared" si="1"/>
        <v>5750</v>
      </c>
      <c r="V15" s="221">
        <f t="shared" si="1"/>
        <v>5750</v>
      </c>
      <c r="W15" s="221">
        <f t="shared" si="1"/>
        <v>5750</v>
      </c>
      <c r="X15" s="221">
        <f t="shared" si="1"/>
        <v>5750</v>
      </c>
      <c r="Y15" s="221">
        <f t="shared" si="1"/>
        <v>5750</v>
      </c>
      <c r="Z15" s="221">
        <f t="shared" si="1"/>
        <v>5750</v>
      </c>
    </row>
    <row r="16" spans="2:26" x14ac:dyDescent="0.3">
      <c r="B16" s="163" t="s">
        <v>2</v>
      </c>
      <c r="C16" s="192">
        <f>VLOOKUP($B16,IS_NewStore!B18:H61,6,FALSE)/4</f>
        <v>2778.8399999999997</v>
      </c>
      <c r="D16" s="203">
        <f t="shared" ca="1" si="2"/>
        <v>6.2869683257918548E-3</v>
      </c>
      <c r="E16" s="225" t="str">
        <f>VLOOKUP($B16,Inputs!$B$60:$C$76,2,FALSE)</f>
        <v>Variable</v>
      </c>
      <c r="G16" s="221">
        <f t="shared" ca="1" si="4"/>
        <v>2799.6812999999997</v>
      </c>
      <c r="H16" s="221">
        <f t="shared" ca="1" si="1"/>
        <v>2820.67890975</v>
      </c>
      <c r="I16" s="221">
        <f t="shared" ca="1" si="1"/>
        <v>2841.8340015731255</v>
      </c>
      <c r="J16" s="221">
        <f t="shared" ca="1" si="1"/>
        <v>2863.1477565849241</v>
      </c>
      <c r="K16" s="221">
        <f t="shared" ca="1" si="1"/>
        <v>2884.6213647593108</v>
      </c>
      <c r="L16" s="221">
        <f t="shared" ca="1" si="1"/>
        <v>2906.2560249950061</v>
      </c>
      <c r="M16" s="221">
        <f t="shared" ca="1" si="1"/>
        <v>2928.0529451824691</v>
      </c>
      <c r="N16" s="221">
        <f t="shared" ca="1" si="1"/>
        <v>2950.0133422713375</v>
      </c>
      <c r="O16" s="221">
        <f t="shared" ca="1" si="1"/>
        <v>2972.1384423383729</v>
      </c>
      <c r="P16" s="221">
        <f t="shared" ca="1" si="1"/>
        <v>2994.429480655911</v>
      </c>
      <c r="Q16" s="221">
        <f t="shared" ca="1" si="1"/>
        <v>3016.8877017608306</v>
      </c>
      <c r="R16" s="221">
        <f t="shared" ca="1" si="1"/>
        <v>3039.514359524037</v>
      </c>
      <c r="S16" s="221">
        <f t="shared" ca="1" si="1"/>
        <v>3062.3107172204677</v>
      </c>
      <c r="T16" s="221">
        <f t="shared" ca="1" si="1"/>
        <v>3085.278047599621</v>
      </c>
      <c r="U16" s="221">
        <f t="shared" ca="1" si="1"/>
        <v>3108.4176329566185</v>
      </c>
      <c r="V16" s="221">
        <f t="shared" ca="1" si="1"/>
        <v>3131.730765203793</v>
      </c>
      <c r="W16" s="221">
        <f t="shared" ca="1" si="1"/>
        <v>3155.2187459428219</v>
      </c>
      <c r="X16" s="221">
        <f t="shared" ca="1" si="1"/>
        <v>3178.882886537393</v>
      </c>
      <c r="Y16" s="221">
        <f t="shared" ca="1" si="1"/>
        <v>3202.7245081864239</v>
      </c>
      <c r="Z16" s="221">
        <f t="shared" ca="1" si="1"/>
        <v>3226.744941997822</v>
      </c>
    </row>
    <row r="17" spans="2:26" x14ac:dyDescent="0.3">
      <c r="B17" s="163" t="s">
        <v>3</v>
      </c>
      <c r="C17" s="192">
        <f>VLOOKUP($B17,IS_NewStore!B19:H62,6,FALSE)/4</f>
        <v>2778.8399999999997</v>
      </c>
      <c r="D17" s="203">
        <f t="shared" ca="1" si="2"/>
        <v>6.2869683257918548E-3</v>
      </c>
      <c r="E17" s="225" t="str">
        <f>VLOOKUP($B17,Inputs!$B$60:$C$76,2,FALSE)</f>
        <v>Variable</v>
      </c>
      <c r="G17" s="221">
        <f t="shared" ca="1" si="4"/>
        <v>2799.6812999999997</v>
      </c>
      <c r="H17" s="221">
        <f t="shared" ca="1" si="1"/>
        <v>2820.67890975</v>
      </c>
      <c r="I17" s="221">
        <f t="shared" ca="1" si="1"/>
        <v>2841.8340015731255</v>
      </c>
      <c r="J17" s="221">
        <f t="shared" ca="1" si="1"/>
        <v>2863.1477565849241</v>
      </c>
      <c r="K17" s="221">
        <f t="shared" ca="1" si="1"/>
        <v>2884.6213647593108</v>
      </c>
      <c r="L17" s="221">
        <f t="shared" ca="1" si="1"/>
        <v>2906.2560249950061</v>
      </c>
      <c r="M17" s="221">
        <f t="shared" ca="1" si="1"/>
        <v>2928.0529451824691</v>
      </c>
      <c r="N17" s="221">
        <f t="shared" ca="1" si="1"/>
        <v>2950.0133422713375</v>
      </c>
      <c r="O17" s="221">
        <f t="shared" ca="1" si="1"/>
        <v>2972.1384423383729</v>
      </c>
      <c r="P17" s="221">
        <f t="shared" ca="1" si="1"/>
        <v>2994.429480655911</v>
      </c>
      <c r="Q17" s="221">
        <f t="shared" ca="1" si="1"/>
        <v>3016.8877017608306</v>
      </c>
      <c r="R17" s="221">
        <f t="shared" ca="1" si="1"/>
        <v>3039.514359524037</v>
      </c>
      <c r="S17" s="221">
        <f t="shared" ca="1" si="1"/>
        <v>3062.3107172204677</v>
      </c>
      <c r="T17" s="221">
        <f t="shared" ca="1" si="1"/>
        <v>3085.278047599621</v>
      </c>
      <c r="U17" s="221">
        <f t="shared" ca="1" si="1"/>
        <v>3108.4176329566185</v>
      </c>
      <c r="V17" s="221">
        <f t="shared" ca="1" si="1"/>
        <v>3131.730765203793</v>
      </c>
      <c r="W17" s="221">
        <f t="shared" ca="1" si="1"/>
        <v>3155.2187459428219</v>
      </c>
      <c r="X17" s="221">
        <f t="shared" ca="1" si="1"/>
        <v>3178.882886537393</v>
      </c>
      <c r="Y17" s="221">
        <f t="shared" ca="1" si="1"/>
        <v>3202.7245081864239</v>
      </c>
      <c r="Z17" s="221">
        <f t="shared" ca="1" si="1"/>
        <v>3226.744941997822</v>
      </c>
    </row>
    <row r="18" spans="2:26" x14ac:dyDescent="0.3">
      <c r="B18" s="163" t="s">
        <v>16</v>
      </c>
      <c r="C18" s="192">
        <f>VLOOKUP($B18,IS_NewStore!B20:H63,6,FALSE)/4</f>
        <v>2778.8399999999997</v>
      </c>
      <c r="D18" s="203">
        <f t="shared" ca="1" si="2"/>
        <v>6.2869683257918548E-3</v>
      </c>
      <c r="E18" s="225" t="str">
        <f>VLOOKUP($B18,Inputs!$B$60:$C$76,2,FALSE)</f>
        <v>Variable</v>
      </c>
      <c r="G18" s="221">
        <f t="shared" ca="1" si="4"/>
        <v>2799.6812999999997</v>
      </c>
      <c r="H18" s="221">
        <f t="shared" ca="1" si="1"/>
        <v>2820.67890975</v>
      </c>
      <c r="I18" s="221">
        <f t="shared" ca="1" si="1"/>
        <v>2841.8340015731255</v>
      </c>
      <c r="J18" s="221">
        <f t="shared" ca="1" si="1"/>
        <v>2863.1477565849241</v>
      </c>
      <c r="K18" s="221">
        <f t="shared" ca="1" si="1"/>
        <v>2884.6213647593108</v>
      </c>
      <c r="L18" s="221">
        <f t="shared" ca="1" si="1"/>
        <v>2906.2560249950061</v>
      </c>
      <c r="M18" s="221">
        <f t="shared" ca="1" si="1"/>
        <v>2928.0529451824691</v>
      </c>
      <c r="N18" s="221">
        <f t="shared" ca="1" si="1"/>
        <v>2950.0133422713375</v>
      </c>
      <c r="O18" s="221">
        <f t="shared" ca="1" si="1"/>
        <v>2972.1384423383729</v>
      </c>
      <c r="P18" s="221">
        <f t="shared" ca="1" si="1"/>
        <v>2994.429480655911</v>
      </c>
      <c r="Q18" s="221">
        <f t="shared" ca="1" si="1"/>
        <v>3016.8877017608306</v>
      </c>
      <c r="R18" s="221">
        <f t="shared" ca="1" si="1"/>
        <v>3039.514359524037</v>
      </c>
      <c r="S18" s="221">
        <f t="shared" ca="1" si="1"/>
        <v>3062.3107172204677</v>
      </c>
      <c r="T18" s="221">
        <f t="shared" ca="1" si="1"/>
        <v>3085.278047599621</v>
      </c>
      <c r="U18" s="221">
        <f t="shared" ca="1" si="1"/>
        <v>3108.4176329566185</v>
      </c>
      <c r="V18" s="221">
        <f t="shared" ca="1" si="1"/>
        <v>3131.730765203793</v>
      </c>
      <c r="W18" s="221">
        <f t="shared" ca="1" si="1"/>
        <v>3155.2187459428219</v>
      </c>
      <c r="X18" s="221">
        <f t="shared" ca="1" si="1"/>
        <v>3178.882886537393</v>
      </c>
      <c r="Y18" s="221">
        <f t="shared" ca="1" si="1"/>
        <v>3202.7245081864239</v>
      </c>
      <c r="Z18" s="221">
        <f t="shared" ca="1" si="1"/>
        <v>3226.744941997822</v>
      </c>
    </row>
    <row r="19" spans="2:26" x14ac:dyDescent="0.3">
      <c r="B19" s="163" t="s">
        <v>4</v>
      </c>
      <c r="C19" s="192">
        <f>VLOOKUP($B19,IS_NewStore!B21:H64,6,FALSE)/4</f>
        <v>5557.6799999999994</v>
      </c>
      <c r="D19" s="203">
        <f t="shared" ca="1" si="2"/>
        <v>1.257393665158371E-2</v>
      </c>
      <c r="E19" s="225" t="str">
        <f>VLOOKUP($B19,Inputs!$B$60:$C$76,2,FALSE)</f>
        <v>Variable</v>
      </c>
      <c r="G19" s="221">
        <f t="shared" ca="1" si="4"/>
        <v>5599.3625999999995</v>
      </c>
      <c r="H19" s="221">
        <f t="shared" ca="1" si="1"/>
        <v>5641.3578195</v>
      </c>
      <c r="I19" s="221">
        <f t="shared" ca="1" si="1"/>
        <v>5683.6680031462511</v>
      </c>
      <c r="J19" s="221">
        <f t="shared" ca="1" si="1"/>
        <v>5726.2955131698482</v>
      </c>
      <c r="K19" s="221">
        <f t="shared" ca="1" si="1"/>
        <v>5769.2427295186217</v>
      </c>
      <c r="L19" s="221">
        <f t="shared" ca="1" si="1"/>
        <v>5812.5120499900122</v>
      </c>
      <c r="M19" s="221">
        <f t="shared" ca="1" si="1"/>
        <v>5856.1058903649382</v>
      </c>
      <c r="N19" s="221">
        <f t="shared" ca="1" si="1"/>
        <v>5900.026684542675</v>
      </c>
      <c r="O19" s="221">
        <f t="shared" ca="1" si="1"/>
        <v>5944.2768846767458</v>
      </c>
      <c r="P19" s="221">
        <f t="shared" ca="1" si="1"/>
        <v>5988.858961311822</v>
      </c>
      <c r="Q19" s="221">
        <f t="shared" ca="1" si="1"/>
        <v>6033.7754035216612</v>
      </c>
      <c r="R19" s="221">
        <f t="shared" ca="1" si="1"/>
        <v>6079.028719048074</v>
      </c>
      <c r="S19" s="221">
        <f t="shared" ca="1" si="1"/>
        <v>6124.6214344409354</v>
      </c>
      <c r="T19" s="221">
        <f t="shared" ca="1" si="1"/>
        <v>6170.556095199242</v>
      </c>
      <c r="U19" s="221">
        <f t="shared" ca="1" si="1"/>
        <v>6216.835265913237</v>
      </c>
      <c r="V19" s="221">
        <f t="shared" ca="1" si="1"/>
        <v>6263.461530407586</v>
      </c>
      <c r="W19" s="221">
        <f t="shared" ca="1" si="1"/>
        <v>6310.4374918856438</v>
      </c>
      <c r="X19" s="221">
        <f t="shared" ca="1" si="1"/>
        <v>6357.765773074786</v>
      </c>
      <c r="Y19" s="221">
        <f t="shared" ca="1" si="1"/>
        <v>6405.4490163728478</v>
      </c>
      <c r="Z19" s="221">
        <f t="shared" ca="1" si="1"/>
        <v>6453.489883995644</v>
      </c>
    </row>
    <row r="20" spans="2:26" x14ac:dyDescent="0.3">
      <c r="B20" s="176" t="s">
        <v>200</v>
      </c>
      <c r="C20" s="228">
        <f>VLOOKUP($B20,IS_NewStore!B22:H65,6,FALSE)/4</f>
        <v>29154.007999999998</v>
      </c>
      <c r="D20" s="205">
        <f t="shared" ca="1" si="2"/>
        <v>6.595929411764706E-2</v>
      </c>
      <c r="E20" s="227"/>
      <c r="G20" s="223">
        <f ca="1">SUM(G14:G19)</f>
        <v>29329.538059999999</v>
      </c>
      <c r="H20" s="223">
        <f t="shared" ref="H20:Z20" ca="1" si="5">SUM(H14:H19)</f>
        <v>29506.384595449999</v>
      </c>
      <c r="I20" s="223">
        <f t="shared" ca="1" si="5"/>
        <v>29684.557479915879</v>
      </c>
      <c r="J20" s="223">
        <f t="shared" ca="1" si="5"/>
        <v>29864.066661015248</v>
      </c>
      <c r="K20" s="223">
        <f t="shared" ca="1" si="5"/>
        <v>30044.922160972859</v>
      </c>
      <c r="L20" s="223">
        <f t="shared" ca="1" si="5"/>
        <v>30227.134077180162</v>
      </c>
      <c r="M20" s="223">
        <f t="shared" ca="1" si="5"/>
        <v>30410.712582759017</v>
      </c>
      <c r="N20" s="223">
        <f t="shared" ca="1" si="5"/>
        <v>30595.667927129707</v>
      </c>
      <c r="O20" s="223">
        <f t="shared" ca="1" si="5"/>
        <v>30782.010436583183</v>
      </c>
      <c r="P20" s="223">
        <f t="shared" ca="1" si="5"/>
        <v>30969.750514857566</v>
      </c>
      <c r="Q20" s="223">
        <f t="shared" ca="1" si="5"/>
        <v>31158.898643718996</v>
      </c>
      <c r="R20" s="223">
        <f t="shared" ca="1" si="5"/>
        <v>31349.465383546889</v>
      </c>
      <c r="S20" s="223">
        <f t="shared" ca="1" si="5"/>
        <v>31541.461373923496</v>
      </c>
      <c r="T20" s="223">
        <f t="shared" ca="1" si="5"/>
        <v>31734.897334227921</v>
      </c>
      <c r="U20" s="223">
        <f t="shared" ca="1" si="5"/>
        <v>31929.784064234627</v>
      </c>
      <c r="V20" s="223">
        <f t="shared" ca="1" si="5"/>
        <v>32126.132444716386</v>
      </c>
      <c r="W20" s="223">
        <f t="shared" ca="1" si="5"/>
        <v>32323.953438051762</v>
      </c>
      <c r="X20" s="223">
        <f t="shared" ca="1" si="5"/>
        <v>32523.258088837156</v>
      </c>
      <c r="Y20" s="223">
        <f t="shared" ca="1" si="5"/>
        <v>32724.057524503434</v>
      </c>
      <c r="Z20" s="223">
        <f t="shared" ca="1" si="5"/>
        <v>32926.362955937213</v>
      </c>
    </row>
    <row r="21" spans="2:26" x14ac:dyDescent="0.3">
      <c r="B21" s="199" t="s">
        <v>201</v>
      </c>
      <c r="C21" s="226">
        <f>VLOOKUP($B21,IS_NewStore!B23:H66,6,FALSE)/4</f>
        <v>152658.008</v>
      </c>
      <c r="D21" s="204">
        <f t="shared" ca="1" si="2"/>
        <v>0.34538010859728507</v>
      </c>
      <c r="E21" s="227"/>
      <c r="G21" s="222">
        <f ca="1">G12+G20</f>
        <v>153759.81805999999</v>
      </c>
      <c r="H21" s="222">
        <f t="shared" ref="H21:Z21" ca="1" si="6">H12+H20</f>
        <v>154869.89169545</v>
      </c>
      <c r="I21" s="222">
        <f t="shared" ca="1" si="6"/>
        <v>155988.2908831659</v>
      </c>
      <c r="J21" s="222">
        <f t="shared" ca="1" si="6"/>
        <v>157115.07806478965</v>
      </c>
      <c r="K21" s="222">
        <f t="shared" ca="1" si="6"/>
        <v>158250.31615027558</v>
      </c>
      <c r="L21" s="222">
        <f t="shared" ca="1" si="6"/>
        <v>159394.06852140266</v>
      </c>
      <c r="M21" s="222">
        <f t="shared" ca="1" si="6"/>
        <v>160546.3990353132</v>
      </c>
      <c r="N21" s="222">
        <f t="shared" ca="1" si="6"/>
        <v>161707.37202807807</v>
      </c>
      <c r="O21" s="222">
        <f t="shared" ca="1" si="6"/>
        <v>162877.05231828865</v>
      </c>
      <c r="P21" s="222">
        <f t="shared" ca="1" si="6"/>
        <v>164055.50521067582</v>
      </c>
      <c r="Q21" s="222">
        <f t="shared" ca="1" si="6"/>
        <v>165242.79649975593</v>
      </c>
      <c r="R21" s="222">
        <f t="shared" ca="1" si="6"/>
        <v>166438.9924735041</v>
      </c>
      <c r="S21" s="222">
        <f t="shared" ca="1" si="6"/>
        <v>167644.15991705537</v>
      </c>
      <c r="T21" s="222">
        <f t="shared" ca="1" si="6"/>
        <v>168858.36611643329</v>
      </c>
      <c r="U21" s="222">
        <f t="shared" ca="1" si="6"/>
        <v>170081.67886230658</v>
      </c>
      <c r="V21" s="222">
        <f t="shared" ca="1" si="6"/>
        <v>171314.16645377385</v>
      </c>
      <c r="W21" s="222">
        <f t="shared" ca="1" si="6"/>
        <v>172555.89770217717</v>
      </c>
      <c r="X21" s="222">
        <f t="shared" ca="1" si="6"/>
        <v>173806.94193494349</v>
      </c>
      <c r="Y21" s="222">
        <f t="shared" ca="1" si="6"/>
        <v>175067.36899945562</v>
      </c>
      <c r="Z21" s="222">
        <f t="shared" ca="1" si="6"/>
        <v>176337.24926695152</v>
      </c>
    </row>
    <row r="22" spans="2:26" x14ac:dyDescent="0.3">
      <c r="C22" s="192"/>
      <c r="D22" s="203"/>
      <c r="E22" s="227"/>
      <c r="G22" s="221"/>
      <c r="H22" s="221"/>
      <c r="I22" s="221"/>
      <c r="J22" s="221"/>
      <c r="K22" s="221"/>
      <c r="L22" s="221"/>
      <c r="M22" s="221"/>
      <c r="N22" s="221"/>
      <c r="O22" s="221"/>
      <c r="P22" s="221"/>
      <c r="Q22" s="221"/>
      <c r="R22" s="221"/>
      <c r="S22" s="221"/>
      <c r="T22" s="221"/>
      <c r="U22" s="221"/>
      <c r="V22" s="221"/>
      <c r="W22" s="221"/>
      <c r="X22" s="221"/>
      <c r="Y22" s="221"/>
      <c r="Z22" s="221"/>
    </row>
    <row r="23" spans="2:26" x14ac:dyDescent="0.3">
      <c r="B23" s="163" t="s">
        <v>71</v>
      </c>
      <c r="C23" s="192">
        <f ca="1">VLOOKUP($B23,IS_NewStore!B25:H68,6,FALSE)/4</f>
        <v>114920</v>
      </c>
      <c r="D23" s="203">
        <f t="shared" ca="1" si="2"/>
        <v>0.26</v>
      </c>
      <c r="E23" s="225" t="str">
        <f>VLOOKUP($B23,Inputs!$B$60:$C$76,2,FALSE)</f>
        <v>Variable</v>
      </c>
      <c r="G23" s="221">
        <f t="shared" ca="1" si="4"/>
        <v>115781.90000000001</v>
      </c>
      <c r="H23" s="221">
        <f t="shared" ca="1" si="1"/>
        <v>116650.26425000002</v>
      </c>
      <c r="I23" s="221">
        <f t="shared" ca="1" si="1"/>
        <v>117525.14123187502</v>
      </c>
      <c r="J23" s="221">
        <f t="shared" ca="1" si="1"/>
        <v>118406.5797911141</v>
      </c>
      <c r="K23" s="221">
        <f t="shared" ca="1" si="1"/>
        <v>119294.62913954745</v>
      </c>
      <c r="L23" s="221">
        <f t="shared" ca="1" si="1"/>
        <v>120189.33885809407</v>
      </c>
      <c r="M23" s="221">
        <f t="shared" ca="1" si="1"/>
        <v>121090.75889952978</v>
      </c>
      <c r="N23" s="221">
        <f t="shared" ca="1" si="1"/>
        <v>121998.93959127627</v>
      </c>
      <c r="O23" s="221">
        <f t="shared" ca="1" si="1"/>
        <v>122913.93163821085</v>
      </c>
      <c r="P23" s="221">
        <f t="shared" ref="P23:Z35" ca="1" si="7">IF($E23="Variable",P$8*$D23,$C23)</f>
        <v>123835.78612549744</v>
      </c>
      <c r="Q23" s="221">
        <f t="shared" ca="1" si="7"/>
        <v>124764.55452143869</v>
      </c>
      <c r="R23" s="221">
        <f t="shared" ca="1" si="7"/>
        <v>125700.28868034949</v>
      </c>
      <c r="S23" s="221">
        <f t="shared" ca="1" si="7"/>
        <v>126643.04084545212</v>
      </c>
      <c r="T23" s="221">
        <f t="shared" ca="1" si="7"/>
        <v>127592.86365179301</v>
      </c>
      <c r="U23" s="221">
        <f t="shared" ca="1" si="7"/>
        <v>128549.81012918147</v>
      </c>
      <c r="V23" s="221">
        <f t="shared" ca="1" si="7"/>
        <v>129513.93370515034</v>
      </c>
      <c r="W23" s="221">
        <f t="shared" ca="1" si="7"/>
        <v>130485.28820793897</v>
      </c>
      <c r="X23" s="221">
        <f t="shared" ca="1" si="7"/>
        <v>131463.92786949853</v>
      </c>
      <c r="Y23" s="221">
        <f t="shared" ca="1" si="7"/>
        <v>132449.90732851977</v>
      </c>
      <c r="Z23" s="221">
        <f t="shared" ca="1" si="7"/>
        <v>133443.28163348365</v>
      </c>
    </row>
    <row r="24" spans="2:26" x14ac:dyDescent="0.3">
      <c r="B24" s="163" t="s">
        <v>72</v>
      </c>
      <c r="C24" s="192">
        <f ca="1">VLOOKUP($B24,IS_NewStore!B26:H69,6,FALSE)/4</f>
        <v>13260</v>
      </c>
      <c r="D24" s="203">
        <f t="shared" ca="1" si="2"/>
        <v>0.03</v>
      </c>
      <c r="E24" s="225" t="str">
        <f>VLOOKUP($B24,Inputs!$B$60:$C$76,2,FALSE)</f>
        <v>Variable</v>
      </c>
      <c r="G24" s="221">
        <f t="shared" ca="1" si="4"/>
        <v>13359.449999999999</v>
      </c>
      <c r="H24" s="221">
        <f t="shared" ca="1" si="4"/>
        <v>13459.645875</v>
      </c>
      <c r="I24" s="221">
        <f t="shared" ca="1" si="4"/>
        <v>13560.593219062503</v>
      </c>
      <c r="J24" s="221">
        <f t="shared" ca="1" si="4"/>
        <v>13662.29766820547</v>
      </c>
      <c r="K24" s="221">
        <f t="shared" ca="1" si="4"/>
        <v>13764.764900717013</v>
      </c>
      <c r="L24" s="221">
        <f t="shared" ca="1" si="4"/>
        <v>13868.000637472393</v>
      </c>
      <c r="M24" s="221">
        <f t="shared" ca="1" si="4"/>
        <v>13972.010642253437</v>
      </c>
      <c r="N24" s="221">
        <f t="shared" ca="1" si="4"/>
        <v>14076.800722070338</v>
      </c>
      <c r="O24" s="221">
        <f ca="1">IF($E24="Variable",O$8*$D24,$C24)</f>
        <v>14182.376727485867</v>
      </c>
      <c r="P24" s="221">
        <f t="shared" ca="1" si="4"/>
        <v>14288.744552942013</v>
      </c>
      <c r="Q24" s="221">
        <f t="shared" ca="1" si="4"/>
        <v>14395.910137089078</v>
      </c>
      <c r="R24" s="221">
        <f t="shared" ca="1" si="4"/>
        <v>14503.879463117248</v>
      </c>
      <c r="S24" s="221">
        <f t="shared" ca="1" si="4"/>
        <v>14612.658559090627</v>
      </c>
      <c r="T24" s="221">
        <f t="shared" ca="1" si="4"/>
        <v>14722.253498283808</v>
      </c>
      <c r="U24" s="221">
        <f t="shared" ca="1" si="4"/>
        <v>14832.670399520937</v>
      </c>
      <c r="V24" s="221">
        <f t="shared" ca="1" si="4"/>
        <v>14943.915427517344</v>
      </c>
      <c r="W24" s="221">
        <f t="shared" ca="1" si="7"/>
        <v>15055.994793223725</v>
      </c>
      <c r="X24" s="221">
        <f t="shared" ca="1" si="7"/>
        <v>15168.914754172905</v>
      </c>
      <c r="Y24" s="221">
        <f t="shared" ca="1" si="7"/>
        <v>15282.681614829202</v>
      </c>
      <c r="Z24" s="221">
        <f t="shared" ca="1" si="7"/>
        <v>15397.301726940421</v>
      </c>
    </row>
    <row r="25" spans="2:26" x14ac:dyDescent="0.3">
      <c r="B25" s="199" t="s">
        <v>202</v>
      </c>
      <c r="C25" s="226">
        <f ca="1">VLOOKUP($B25,IS_NewStore!B27:H70,6,FALSE)/4</f>
        <v>128180</v>
      </c>
      <c r="D25" s="204">
        <f t="shared" ca="1" si="2"/>
        <v>0.28999999999999998</v>
      </c>
      <c r="E25" s="227"/>
      <c r="G25" s="222">
        <f ca="1">SUM(G23:G24)</f>
        <v>129141.35</v>
      </c>
      <c r="H25" s="222">
        <f t="shared" ref="H25:Z25" ca="1" si="8">SUM(H23:H24)</f>
        <v>130109.91012500002</v>
      </c>
      <c r="I25" s="222">
        <f t="shared" ca="1" si="8"/>
        <v>131085.73445093754</v>
      </c>
      <c r="J25" s="222">
        <f t="shared" ca="1" si="8"/>
        <v>132068.87745931957</v>
      </c>
      <c r="K25" s="222">
        <f t="shared" ca="1" si="8"/>
        <v>133059.39404026448</v>
      </c>
      <c r="L25" s="222">
        <f t="shared" ca="1" si="8"/>
        <v>134057.33949556647</v>
      </c>
      <c r="M25" s="222">
        <f t="shared" ca="1" si="8"/>
        <v>135062.76954178323</v>
      </c>
      <c r="N25" s="222">
        <f t="shared" ca="1" si="8"/>
        <v>136075.74031334661</v>
      </c>
      <c r="O25" s="222">
        <f t="shared" ca="1" si="8"/>
        <v>137096.30836569672</v>
      </c>
      <c r="P25" s="222">
        <f t="shared" ca="1" si="8"/>
        <v>138124.53067843945</v>
      </c>
      <c r="Q25" s="222">
        <f t="shared" ca="1" si="8"/>
        <v>139160.46465852778</v>
      </c>
      <c r="R25" s="222">
        <f t="shared" ca="1" si="8"/>
        <v>140204.16814346673</v>
      </c>
      <c r="S25" s="222">
        <f t="shared" ca="1" si="8"/>
        <v>141255.69940454274</v>
      </c>
      <c r="T25" s="222">
        <f t="shared" ca="1" si="8"/>
        <v>142315.11715007681</v>
      </c>
      <c r="U25" s="222">
        <f t="shared" ca="1" si="8"/>
        <v>143382.48052870241</v>
      </c>
      <c r="V25" s="222">
        <f t="shared" ca="1" si="8"/>
        <v>144457.84913266767</v>
      </c>
      <c r="W25" s="222">
        <f t="shared" ca="1" si="8"/>
        <v>145541.28300116269</v>
      </c>
      <c r="X25" s="222">
        <f t="shared" ca="1" si="8"/>
        <v>146632.84262367143</v>
      </c>
      <c r="Y25" s="222">
        <f t="shared" ca="1" si="8"/>
        <v>147732.58894334896</v>
      </c>
      <c r="Z25" s="222">
        <f t="shared" ca="1" si="8"/>
        <v>148840.58336042406</v>
      </c>
    </row>
    <row r="26" spans="2:26" x14ac:dyDescent="0.3">
      <c r="C26" s="192"/>
      <c r="D26" s="203"/>
      <c r="E26" s="227"/>
      <c r="G26" s="221"/>
      <c r="H26" s="221"/>
      <c r="I26" s="221"/>
      <c r="J26" s="221"/>
      <c r="K26" s="221"/>
      <c r="L26" s="221"/>
      <c r="M26" s="221"/>
      <c r="N26" s="221"/>
      <c r="O26" s="221"/>
      <c r="P26" s="221"/>
      <c r="Q26" s="221"/>
      <c r="R26" s="221"/>
      <c r="S26" s="221"/>
      <c r="T26" s="221"/>
      <c r="U26" s="221"/>
      <c r="V26" s="221"/>
      <c r="W26" s="221"/>
      <c r="X26" s="221"/>
      <c r="Y26" s="221"/>
      <c r="Z26" s="221"/>
    </row>
    <row r="27" spans="2:26" x14ac:dyDescent="0.3">
      <c r="B27" s="163" t="s">
        <v>73</v>
      </c>
      <c r="C27" s="192">
        <f ca="1">VLOOKUP($B27,IS_NewStore!B29:H72,6,FALSE)/4</f>
        <v>6630</v>
      </c>
      <c r="D27" s="203">
        <f t="shared" ca="1" si="2"/>
        <v>1.4999999999999999E-2</v>
      </c>
      <c r="E27" s="225" t="str">
        <f>VLOOKUP($B27,Inputs!$B$60:$C$76,2,FALSE)</f>
        <v>Variable</v>
      </c>
      <c r="G27" s="221">
        <f t="shared" ca="1" si="4"/>
        <v>6679.7249999999995</v>
      </c>
      <c r="H27" s="221">
        <f t="shared" ca="1" si="4"/>
        <v>6729.8229375000001</v>
      </c>
      <c r="I27" s="221">
        <f t="shared" ca="1" si="4"/>
        <v>6780.2966095312513</v>
      </c>
      <c r="J27" s="221">
        <f t="shared" ca="1" si="4"/>
        <v>6831.1488341027352</v>
      </c>
      <c r="K27" s="221">
        <f t="shared" ca="1" si="4"/>
        <v>6882.3824503585065</v>
      </c>
      <c r="L27" s="221">
        <f t="shared" ca="1" si="4"/>
        <v>6934.0003187361963</v>
      </c>
      <c r="M27" s="221">
        <f t="shared" ca="1" si="4"/>
        <v>6986.0053211267186</v>
      </c>
      <c r="N27" s="221">
        <f t="shared" ca="1" si="4"/>
        <v>7038.4003610351692</v>
      </c>
      <c r="O27" s="221">
        <f t="shared" ca="1" si="4"/>
        <v>7091.1883637429337</v>
      </c>
      <c r="P27" s="221">
        <f t="shared" ca="1" si="4"/>
        <v>7144.3722764710064</v>
      </c>
      <c r="Q27" s="221">
        <f t="shared" ca="1" si="4"/>
        <v>7197.9550685445392</v>
      </c>
      <c r="R27" s="221">
        <f t="shared" ca="1" si="4"/>
        <v>7251.9397315586239</v>
      </c>
      <c r="S27" s="221">
        <f t="shared" ca="1" si="4"/>
        <v>7306.3292795453135</v>
      </c>
      <c r="T27" s="221">
        <f t="shared" ca="1" si="4"/>
        <v>7361.1267491419039</v>
      </c>
      <c r="U27" s="221">
        <f t="shared" ca="1" si="4"/>
        <v>7416.3351997604686</v>
      </c>
      <c r="V27" s="221">
        <f t="shared" ca="1" si="4"/>
        <v>7471.9577137586721</v>
      </c>
      <c r="W27" s="221">
        <f t="shared" ca="1" si="7"/>
        <v>7527.9973966118623</v>
      </c>
      <c r="X27" s="221">
        <f t="shared" ca="1" si="7"/>
        <v>7584.4573770864527</v>
      </c>
      <c r="Y27" s="221">
        <f t="shared" ca="1" si="7"/>
        <v>7641.3408074146009</v>
      </c>
      <c r="Z27" s="221">
        <f t="shared" ca="1" si="7"/>
        <v>7698.6508634702104</v>
      </c>
    </row>
    <row r="28" spans="2:26" x14ac:dyDescent="0.3">
      <c r="B28" s="163" t="s">
        <v>74</v>
      </c>
      <c r="C28" s="192">
        <f ca="1">VLOOKUP($B28,IS_NewStore!B30:H73,6,FALSE)/4</f>
        <v>8840</v>
      </c>
      <c r="D28" s="203">
        <f t="shared" ca="1" si="2"/>
        <v>0.02</v>
      </c>
      <c r="E28" s="225" t="str">
        <f>VLOOKUP($B28,Inputs!$B$60:$C$76,2,FALSE)</f>
        <v>Variable</v>
      </c>
      <c r="G28" s="221">
        <f t="shared" ca="1" si="4"/>
        <v>8906.3000000000011</v>
      </c>
      <c r="H28" s="221">
        <f t="shared" ca="1" si="4"/>
        <v>8973.0972500000007</v>
      </c>
      <c r="I28" s="221">
        <f t="shared" ca="1" si="4"/>
        <v>9040.3954793750017</v>
      </c>
      <c r="J28" s="221">
        <f t="shared" ca="1" si="4"/>
        <v>9108.1984454703143</v>
      </c>
      <c r="K28" s="221">
        <f t="shared" ca="1" si="4"/>
        <v>9176.5099338113432</v>
      </c>
      <c r="L28" s="221">
        <f t="shared" ca="1" si="4"/>
        <v>9245.3337583149278</v>
      </c>
      <c r="M28" s="221">
        <f t="shared" ca="1" si="4"/>
        <v>9314.6737615022921</v>
      </c>
      <c r="N28" s="221">
        <f t="shared" ca="1" si="4"/>
        <v>9384.533814713559</v>
      </c>
      <c r="O28" s="221">
        <f t="shared" ca="1" si="4"/>
        <v>9454.917818323911</v>
      </c>
      <c r="P28" s="221">
        <f t="shared" ca="1" si="4"/>
        <v>9525.8297019613419</v>
      </c>
      <c r="Q28" s="221">
        <f t="shared" ca="1" si="4"/>
        <v>9597.2734247260523</v>
      </c>
      <c r="R28" s="221">
        <f t="shared" ca="1" si="4"/>
        <v>9669.2529754114985</v>
      </c>
      <c r="S28" s="221">
        <f t="shared" ca="1" si="4"/>
        <v>9741.7723727270859</v>
      </c>
      <c r="T28" s="221">
        <f t="shared" ca="1" si="4"/>
        <v>9814.8356655225398</v>
      </c>
      <c r="U28" s="221">
        <f t="shared" ca="1" si="4"/>
        <v>9888.4469330139582</v>
      </c>
      <c r="V28" s="221">
        <f t="shared" ca="1" si="4"/>
        <v>9962.610285011564</v>
      </c>
      <c r="W28" s="221">
        <f t="shared" ca="1" si="7"/>
        <v>10037.32986214915</v>
      </c>
      <c r="X28" s="221">
        <f t="shared" ca="1" si="7"/>
        <v>10112.609836115271</v>
      </c>
      <c r="Y28" s="221">
        <f t="shared" ca="1" si="7"/>
        <v>10188.454409886135</v>
      </c>
      <c r="Z28" s="221">
        <f t="shared" ca="1" si="7"/>
        <v>10264.867817960281</v>
      </c>
    </row>
    <row r="29" spans="2:26" x14ac:dyDescent="0.3">
      <c r="B29" s="163" t="s">
        <v>75</v>
      </c>
      <c r="C29" s="192">
        <f ca="1">VLOOKUP($B29,IS_NewStore!B31:H74,6,FALSE)/4</f>
        <v>3094</v>
      </c>
      <c r="D29" s="203">
        <f t="shared" ca="1" si="2"/>
        <v>7.0000000000000001E-3</v>
      </c>
      <c r="E29" s="225" t="str">
        <f>VLOOKUP($B29,Inputs!$B$60:$C$76,2,FALSE)</f>
        <v>Variable</v>
      </c>
      <c r="G29" s="221">
        <f t="shared" ca="1" si="4"/>
        <v>3117.2049999999999</v>
      </c>
      <c r="H29" s="221">
        <f t="shared" ca="1" si="4"/>
        <v>3140.5840375000002</v>
      </c>
      <c r="I29" s="221">
        <f t="shared" ca="1" si="4"/>
        <v>3164.1384177812506</v>
      </c>
      <c r="J29" s="221">
        <f t="shared" ca="1" si="4"/>
        <v>3187.8694559146102</v>
      </c>
      <c r="K29" s="221">
        <f t="shared" ca="1" si="4"/>
        <v>3211.7784768339698</v>
      </c>
      <c r="L29" s="221">
        <f t="shared" ca="1" si="4"/>
        <v>3235.8668154102252</v>
      </c>
      <c r="M29" s="221">
        <f t="shared" ca="1" si="4"/>
        <v>3260.1358165258021</v>
      </c>
      <c r="N29" s="221">
        <f t="shared" ca="1" si="4"/>
        <v>3284.5868351497456</v>
      </c>
      <c r="O29" s="221">
        <f t="shared" ca="1" si="4"/>
        <v>3309.2212364133693</v>
      </c>
      <c r="P29" s="221">
        <f t="shared" ca="1" si="4"/>
        <v>3334.0403956864698</v>
      </c>
      <c r="Q29" s="221">
        <f t="shared" ca="1" si="4"/>
        <v>3359.0456986541185</v>
      </c>
      <c r="R29" s="221">
        <f t="shared" ca="1" si="4"/>
        <v>3384.2385413940247</v>
      </c>
      <c r="S29" s="221">
        <f t="shared" ca="1" si="4"/>
        <v>3409.6203304544802</v>
      </c>
      <c r="T29" s="221">
        <f t="shared" ca="1" si="4"/>
        <v>3435.1924829328887</v>
      </c>
      <c r="U29" s="221">
        <f t="shared" ca="1" si="4"/>
        <v>3460.9564265548856</v>
      </c>
      <c r="V29" s="221">
        <f t="shared" ca="1" si="4"/>
        <v>3486.9135997540475</v>
      </c>
      <c r="W29" s="221">
        <f t="shared" ca="1" si="7"/>
        <v>3513.065451752203</v>
      </c>
      <c r="X29" s="221">
        <f t="shared" ca="1" si="7"/>
        <v>3539.4134426403448</v>
      </c>
      <c r="Y29" s="221">
        <f t="shared" ca="1" si="7"/>
        <v>3565.9590434601473</v>
      </c>
      <c r="Z29" s="221">
        <f t="shared" ca="1" si="7"/>
        <v>3592.7037362860988</v>
      </c>
    </row>
    <row r="30" spans="2:26" x14ac:dyDescent="0.3">
      <c r="B30" s="163" t="s">
        <v>76</v>
      </c>
      <c r="C30" s="192">
        <f>VLOOKUP($B30,IS_NewStore!B32:H75,6,FALSE)/4</f>
        <v>4000</v>
      </c>
      <c r="D30" s="203">
        <f t="shared" ca="1" si="2"/>
        <v>9.0497737556561094E-3</v>
      </c>
      <c r="E30" s="225" t="str">
        <f>VLOOKUP($B30,Inputs!$B$60:$C$76,2,FALSE)</f>
        <v>Fixed</v>
      </c>
      <c r="G30" s="221">
        <f t="shared" si="4"/>
        <v>4000</v>
      </c>
      <c r="H30" s="221">
        <f t="shared" si="4"/>
        <v>4000</v>
      </c>
      <c r="I30" s="221">
        <f t="shared" si="4"/>
        <v>4000</v>
      </c>
      <c r="J30" s="221">
        <f t="shared" si="4"/>
        <v>4000</v>
      </c>
      <c r="K30" s="221">
        <f t="shared" si="4"/>
        <v>4000</v>
      </c>
      <c r="L30" s="221">
        <f t="shared" si="4"/>
        <v>4000</v>
      </c>
      <c r="M30" s="221">
        <f t="shared" si="4"/>
        <v>4000</v>
      </c>
      <c r="N30" s="221">
        <f t="shared" si="4"/>
        <v>4000</v>
      </c>
      <c r="O30" s="221">
        <f t="shared" si="4"/>
        <v>4000</v>
      </c>
      <c r="P30" s="221">
        <f t="shared" si="4"/>
        <v>4000</v>
      </c>
      <c r="Q30" s="221">
        <f t="shared" si="4"/>
        <v>4000</v>
      </c>
      <c r="R30" s="221">
        <f t="shared" si="4"/>
        <v>4000</v>
      </c>
      <c r="S30" s="221">
        <f t="shared" si="4"/>
        <v>4000</v>
      </c>
      <c r="T30" s="221">
        <f t="shared" si="4"/>
        <v>4000</v>
      </c>
      <c r="U30" s="221">
        <f t="shared" si="4"/>
        <v>4000</v>
      </c>
      <c r="V30" s="221">
        <f t="shared" si="4"/>
        <v>4000</v>
      </c>
      <c r="W30" s="221">
        <f t="shared" si="7"/>
        <v>4000</v>
      </c>
      <c r="X30" s="221">
        <f t="shared" si="7"/>
        <v>4000</v>
      </c>
      <c r="Y30" s="221">
        <f t="shared" si="7"/>
        <v>4000</v>
      </c>
      <c r="Z30" s="221">
        <f t="shared" si="7"/>
        <v>4000</v>
      </c>
    </row>
    <row r="31" spans="2:26" x14ac:dyDescent="0.3">
      <c r="B31" s="163" t="s">
        <v>43</v>
      </c>
      <c r="C31" s="192">
        <f>VLOOKUP($B31,IS_NewStore!B33:H76,6,FALSE)/4</f>
        <v>20750</v>
      </c>
      <c r="D31" s="203">
        <f t="shared" ca="1" si="2"/>
        <v>4.6945701357466063E-2</v>
      </c>
      <c r="E31" s="225" t="str">
        <f>VLOOKUP($B31,Inputs!$B$60:$C$76,2,FALSE)</f>
        <v>Fixed</v>
      </c>
      <c r="G31" s="221">
        <f t="shared" si="4"/>
        <v>20750</v>
      </c>
      <c r="H31" s="221">
        <f t="shared" si="4"/>
        <v>20750</v>
      </c>
      <c r="I31" s="221">
        <f t="shared" si="4"/>
        <v>20750</v>
      </c>
      <c r="J31" s="221">
        <f t="shared" si="4"/>
        <v>20750</v>
      </c>
      <c r="K31" s="221">
        <f t="shared" si="4"/>
        <v>20750</v>
      </c>
      <c r="L31" s="221">
        <f t="shared" si="4"/>
        <v>20750</v>
      </c>
      <c r="M31" s="221">
        <f t="shared" si="4"/>
        <v>20750</v>
      </c>
      <c r="N31" s="221">
        <f t="shared" si="4"/>
        <v>20750</v>
      </c>
      <c r="O31" s="221">
        <f t="shared" si="4"/>
        <v>20750</v>
      </c>
      <c r="P31" s="221">
        <f t="shared" si="4"/>
        <v>20750</v>
      </c>
      <c r="Q31" s="221">
        <f t="shared" si="4"/>
        <v>20750</v>
      </c>
      <c r="R31" s="221">
        <f t="shared" si="4"/>
        <v>20750</v>
      </c>
      <c r="S31" s="221">
        <f t="shared" si="4"/>
        <v>20750</v>
      </c>
      <c r="T31" s="221">
        <f t="shared" si="4"/>
        <v>20750</v>
      </c>
      <c r="U31" s="221">
        <f t="shared" si="4"/>
        <v>20750</v>
      </c>
      <c r="V31" s="221">
        <f t="shared" si="4"/>
        <v>20750</v>
      </c>
      <c r="W31" s="221">
        <f t="shared" si="7"/>
        <v>20750</v>
      </c>
      <c r="X31" s="221">
        <f t="shared" si="7"/>
        <v>20750</v>
      </c>
      <c r="Y31" s="221">
        <f t="shared" si="7"/>
        <v>20750</v>
      </c>
      <c r="Z31" s="221">
        <f t="shared" si="7"/>
        <v>20750</v>
      </c>
    </row>
    <row r="32" spans="2:26" x14ac:dyDescent="0.3">
      <c r="B32" s="199" t="s">
        <v>203</v>
      </c>
      <c r="C32" s="226">
        <f ca="1">VLOOKUP($B32,IS_NewStore!B34:H77,6,FALSE)/4</f>
        <v>43314</v>
      </c>
      <c r="D32" s="204">
        <f t="shared" ca="1" si="2"/>
        <v>9.7995475113122177E-2</v>
      </c>
      <c r="E32" s="227"/>
      <c r="G32" s="222">
        <f ca="1">SUM(G27:G31)</f>
        <v>43453.23</v>
      </c>
      <c r="H32" s="222">
        <f t="shared" ref="H32:Z32" ca="1" si="9">SUM(H27:H31)</f>
        <v>43593.504224999997</v>
      </c>
      <c r="I32" s="222">
        <f t="shared" ca="1" si="9"/>
        <v>43734.830506687504</v>
      </c>
      <c r="J32" s="222">
        <f t="shared" ca="1" si="9"/>
        <v>43877.216735487658</v>
      </c>
      <c r="K32" s="222">
        <f t="shared" ca="1" si="9"/>
        <v>44020.670861003819</v>
      </c>
      <c r="L32" s="222">
        <f t="shared" ca="1" si="9"/>
        <v>44165.200892461347</v>
      </c>
      <c r="M32" s="222">
        <f t="shared" ca="1" si="9"/>
        <v>44310.814899154808</v>
      </c>
      <c r="N32" s="222">
        <f t="shared" ca="1" si="9"/>
        <v>44457.521010898476</v>
      </c>
      <c r="O32" s="222">
        <f t="shared" ca="1" si="9"/>
        <v>44605.327418480214</v>
      </c>
      <c r="P32" s="222">
        <f t="shared" ca="1" si="9"/>
        <v>44754.242374118818</v>
      </c>
      <c r="Q32" s="222">
        <f t="shared" ca="1" si="9"/>
        <v>44904.274191924706</v>
      </c>
      <c r="R32" s="222">
        <f t="shared" ca="1" si="9"/>
        <v>45055.431248364148</v>
      </c>
      <c r="S32" s="222">
        <f t="shared" ca="1" si="9"/>
        <v>45207.721982726878</v>
      </c>
      <c r="T32" s="222">
        <f t="shared" ca="1" si="9"/>
        <v>45361.154897597327</v>
      </c>
      <c r="U32" s="222">
        <f t="shared" ca="1" si="9"/>
        <v>45515.738559329315</v>
      </c>
      <c r="V32" s="222">
        <f t="shared" ca="1" si="9"/>
        <v>45671.481598524282</v>
      </c>
      <c r="W32" s="222">
        <f t="shared" ca="1" si="9"/>
        <v>45828.392710513217</v>
      </c>
      <c r="X32" s="222">
        <f t="shared" ca="1" si="9"/>
        <v>45986.480655842068</v>
      </c>
      <c r="Y32" s="222">
        <f t="shared" ca="1" si="9"/>
        <v>46145.754260760885</v>
      </c>
      <c r="Z32" s="222">
        <f t="shared" ca="1" si="9"/>
        <v>46306.222417716592</v>
      </c>
    </row>
    <row r="33" spans="2:26" x14ac:dyDescent="0.3">
      <c r="C33" s="192"/>
      <c r="D33" s="203"/>
      <c r="E33" s="227"/>
      <c r="G33" s="221"/>
      <c r="H33" s="221"/>
      <c r="I33" s="221"/>
      <c r="J33" s="221"/>
      <c r="K33" s="221"/>
      <c r="L33" s="221"/>
      <c r="M33" s="221"/>
      <c r="N33" s="221"/>
      <c r="O33" s="221"/>
      <c r="P33" s="221"/>
      <c r="Q33" s="221"/>
      <c r="R33" s="221"/>
      <c r="S33" s="221"/>
      <c r="T33" s="221"/>
      <c r="U33" s="221"/>
      <c r="V33" s="221"/>
      <c r="W33" s="221"/>
      <c r="X33" s="221"/>
      <c r="Y33" s="221"/>
      <c r="Z33" s="221"/>
    </row>
    <row r="34" spans="2:26" x14ac:dyDescent="0.3">
      <c r="B34" s="163" t="s">
        <v>42</v>
      </c>
      <c r="C34" s="192">
        <f>VLOOKUP($B34,IS_NewStore!B36:H79,6,FALSE)/4</f>
        <v>25000</v>
      </c>
      <c r="D34" s="203">
        <f t="shared" ca="1" si="2"/>
        <v>5.6561085972850679E-2</v>
      </c>
      <c r="E34" s="225" t="str">
        <f>VLOOKUP($B34,Inputs!$B$60:$C$76,2,FALSE)</f>
        <v>Fixed</v>
      </c>
      <c r="G34" s="221">
        <f t="shared" si="4"/>
        <v>25000</v>
      </c>
      <c r="H34" s="221">
        <f t="shared" si="4"/>
        <v>25000</v>
      </c>
      <c r="I34" s="221">
        <f t="shared" si="4"/>
        <v>25000</v>
      </c>
      <c r="J34" s="221">
        <f t="shared" si="4"/>
        <v>25000</v>
      </c>
      <c r="K34" s="221">
        <f t="shared" si="4"/>
        <v>25000</v>
      </c>
      <c r="L34" s="221">
        <f t="shared" si="4"/>
        <v>25000</v>
      </c>
      <c r="M34" s="221">
        <f t="shared" si="4"/>
        <v>25000</v>
      </c>
      <c r="N34" s="221">
        <f t="shared" si="4"/>
        <v>25000</v>
      </c>
      <c r="O34" s="221">
        <f t="shared" si="4"/>
        <v>25000</v>
      </c>
      <c r="P34" s="221">
        <f t="shared" si="4"/>
        <v>25000</v>
      </c>
      <c r="Q34" s="221">
        <f t="shared" si="4"/>
        <v>25000</v>
      </c>
      <c r="R34" s="221">
        <f t="shared" si="4"/>
        <v>25000</v>
      </c>
      <c r="S34" s="221">
        <f t="shared" si="4"/>
        <v>25000</v>
      </c>
      <c r="T34" s="221">
        <f t="shared" si="4"/>
        <v>25000</v>
      </c>
      <c r="U34" s="221">
        <f t="shared" si="4"/>
        <v>25000</v>
      </c>
      <c r="V34" s="221">
        <f t="shared" si="4"/>
        <v>25000</v>
      </c>
      <c r="W34" s="221">
        <f t="shared" si="7"/>
        <v>25000</v>
      </c>
      <c r="X34" s="221">
        <f t="shared" si="7"/>
        <v>25000</v>
      </c>
      <c r="Y34" s="221">
        <f t="shared" si="7"/>
        <v>25000</v>
      </c>
      <c r="Z34" s="221">
        <f t="shared" si="7"/>
        <v>25000</v>
      </c>
    </row>
    <row r="35" spans="2:26" x14ac:dyDescent="0.3">
      <c r="B35" s="163" t="s">
        <v>77</v>
      </c>
      <c r="C35" s="192">
        <f>VLOOKUP($B35,IS_NewStore!B37:H80,6,FALSE)/4</f>
        <v>7500</v>
      </c>
      <c r="D35" s="203">
        <f t="shared" ca="1" si="2"/>
        <v>1.6968325791855202E-2</v>
      </c>
      <c r="E35" s="225" t="str">
        <f>VLOOKUP($B35,Inputs!$B$60:$C$76,2,FALSE)</f>
        <v>Fixed</v>
      </c>
      <c r="G35" s="221">
        <f t="shared" si="4"/>
        <v>7500</v>
      </c>
      <c r="H35" s="221">
        <f t="shared" si="4"/>
        <v>7500</v>
      </c>
      <c r="I35" s="221">
        <f t="shared" si="4"/>
        <v>7500</v>
      </c>
      <c r="J35" s="221">
        <f t="shared" si="4"/>
        <v>7500</v>
      </c>
      <c r="K35" s="221">
        <f t="shared" si="4"/>
        <v>7500</v>
      </c>
      <c r="L35" s="221">
        <f t="shared" si="4"/>
        <v>7500</v>
      </c>
      <c r="M35" s="221">
        <f t="shared" si="4"/>
        <v>7500</v>
      </c>
      <c r="N35" s="221">
        <f t="shared" si="4"/>
        <v>7500</v>
      </c>
      <c r="O35" s="221">
        <f t="shared" si="4"/>
        <v>7500</v>
      </c>
      <c r="P35" s="221">
        <f t="shared" si="4"/>
        <v>7500</v>
      </c>
      <c r="Q35" s="221">
        <f t="shared" si="4"/>
        <v>7500</v>
      </c>
      <c r="R35" s="221">
        <f t="shared" si="4"/>
        <v>7500</v>
      </c>
      <c r="S35" s="221">
        <f t="shared" si="4"/>
        <v>7500</v>
      </c>
      <c r="T35" s="221">
        <f t="shared" si="4"/>
        <v>7500</v>
      </c>
      <c r="U35" s="221">
        <f t="shared" si="4"/>
        <v>7500</v>
      </c>
      <c r="V35" s="221">
        <f t="shared" si="4"/>
        <v>7500</v>
      </c>
      <c r="W35" s="221">
        <f t="shared" si="7"/>
        <v>7500</v>
      </c>
      <c r="X35" s="221">
        <f t="shared" si="7"/>
        <v>7500</v>
      </c>
      <c r="Y35" s="221">
        <f t="shared" si="7"/>
        <v>7500</v>
      </c>
      <c r="Z35" s="221">
        <f t="shared" si="7"/>
        <v>7500</v>
      </c>
    </row>
    <row r="36" spans="2:26" x14ac:dyDescent="0.3">
      <c r="B36" s="199" t="s">
        <v>204</v>
      </c>
      <c r="C36" s="226">
        <f>VLOOKUP($B36,IS_NewStore!B38:H81,6,FALSE)/4</f>
        <v>32500</v>
      </c>
      <c r="D36" s="204">
        <f t="shared" ca="1" si="2"/>
        <v>7.3529411764705885E-2</v>
      </c>
      <c r="E36" s="227"/>
      <c r="G36" s="222">
        <f>SUM(G34:G35)</f>
        <v>32500</v>
      </c>
      <c r="H36" s="222">
        <f t="shared" ref="H36:Z36" si="10">SUM(H34:H35)</f>
        <v>32500</v>
      </c>
      <c r="I36" s="222">
        <f t="shared" si="10"/>
        <v>32500</v>
      </c>
      <c r="J36" s="222">
        <f t="shared" si="10"/>
        <v>32500</v>
      </c>
      <c r="K36" s="222">
        <f t="shared" si="10"/>
        <v>32500</v>
      </c>
      <c r="L36" s="222">
        <f t="shared" si="10"/>
        <v>32500</v>
      </c>
      <c r="M36" s="222">
        <f t="shared" si="10"/>
        <v>32500</v>
      </c>
      <c r="N36" s="222">
        <f t="shared" si="10"/>
        <v>32500</v>
      </c>
      <c r="O36" s="222">
        <f t="shared" si="10"/>
        <v>32500</v>
      </c>
      <c r="P36" s="222">
        <f t="shared" si="10"/>
        <v>32500</v>
      </c>
      <c r="Q36" s="222">
        <f t="shared" si="10"/>
        <v>32500</v>
      </c>
      <c r="R36" s="222">
        <f t="shared" si="10"/>
        <v>32500</v>
      </c>
      <c r="S36" s="222">
        <f t="shared" si="10"/>
        <v>32500</v>
      </c>
      <c r="T36" s="222">
        <f t="shared" si="10"/>
        <v>32500</v>
      </c>
      <c r="U36" s="222">
        <f t="shared" si="10"/>
        <v>32500</v>
      </c>
      <c r="V36" s="222">
        <f t="shared" si="10"/>
        <v>32500</v>
      </c>
      <c r="W36" s="222">
        <f t="shared" si="10"/>
        <v>32500</v>
      </c>
      <c r="X36" s="222">
        <f t="shared" si="10"/>
        <v>32500</v>
      </c>
      <c r="Y36" s="222">
        <f t="shared" si="10"/>
        <v>32500</v>
      </c>
      <c r="Z36" s="222">
        <f t="shared" si="10"/>
        <v>32500</v>
      </c>
    </row>
    <row r="37" spans="2:26" x14ac:dyDescent="0.3">
      <c r="C37" s="192"/>
      <c r="D37" s="203"/>
      <c r="E37" s="227"/>
      <c r="G37" s="221"/>
      <c r="H37" s="221"/>
      <c r="I37" s="221"/>
      <c r="J37" s="221"/>
      <c r="K37" s="221"/>
      <c r="L37" s="221"/>
      <c r="M37" s="221"/>
      <c r="N37" s="221"/>
      <c r="O37" s="221"/>
      <c r="P37" s="221"/>
      <c r="Q37" s="221"/>
      <c r="R37" s="221"/>
      <c r="S37" s="221"/>
      <c r="T37" s="221"/>
      <c r="U37" s="221"/>
      <c r="V37" s="221"/>
      <c r="W37" s="221"/>
      <c r="X37" s="221"/>
      <c r="Y37" s="221"/>
      <c r="Z37" s="221"/>
    </row>
    <row r="38" spans="2:26" ht="14.5" thickBot="1" x14ac:dyDescent="0.35">
      <c r="B38" s="202" t="s">
        <v>205</v>
      </c>
      <c r="C38" s="229">
        <f ca="1">VLOOKUP($B38,IS_NewStore!B40:H83,6,FALSE)/4</f>
        <v>85347.991999999969</v>
      </c>
      <c r="D38" s="206">
        <f t="shared" ca="1" si="2"/>
        <v>0.19309500452488682</v>
      </c>
      <c r="E38" s="227"/>
      <c r="G38" s="224">
        <f ca="1">G8-G21-G25-G32-G36</f>
        <v>86460.601940000022</v>
      </c>
      <c r="H38" s="224">
        <f t="shared" ref="H38:Z38" ca="1" si="11">H8-H21-H25-H32-H36</f>
        <v>87581.556454550024</v>
      </c>
      <c r="I38" s="224">
        <f t="shared" ca="1" si="11"/>
        <v>88710.918127959143</v>
      </c>
      <c r="J38" s="224">
        <f t="shared" ca="1" si="11"/>
        <v>89848.750013918849</v>
      </c>
      <c r="K38" s="224">
        <f t="shared" ca="1" si="11"/>
        <v>90995.115639023235</v>
      </c>
      <c r="L38" s="224">
        <f t="shared" ca="1" si="11"/>
        <v>92150.079006315937</v>
      </c>
      <c r="M38" s="224">
        <f t="shared" ca="1" si="11"/>
        <v>93313.704598863304</v>
      </c>
      <c r="N38" s="224">
        <f t="shared" ca="1" si="11"/>
        <v>94486.057383354797</v>
      </c>
      <c r="O38" s="224">
        <f t="shared" ca="1" si="11"/>
        <v>95667.202813729993</v>
      </c>
      <c r="P38" s="224">
        <f t="shared" ca="1" si="11"/>
        <v>96857.206834832992</v>
      </c>
      <c r="Q38" s="224">
        <f t="shared" ca="1" si="11"/>
        <v>98056.135886094227</v>
      </c>
      <c r="R38" s="224">
        <f t="shared" ca="1" si="11"/>
        <v>99264.056905239966</v>
      </c>
      <c r="S38" s="224">
        <f t="shared" ca="1" si="11"/>
        <v>100481.03733202931</v>
      </c>
      <c r="T38" s="224">
        <f t="shared" ca="1" si="11"/>
        <v>101707.14511201953</v>
      </c>
      <c r="U38" s="224">
        <f t="shared" ca="1" si="11"/>
        <v>102942.44870035962</v>
      </c>
      <c r="V38" s="224">
        <f t="shared" ca="1" si="11"/>
        <v>104187.01706561237</v>
      </c>
      <c r="W38" s="224">
        <f t="shared" ca="1" si="11"/>
        <v>105440.91969360446</v>
      </c>
      <c r="X38" s="224">
        <f t="shared" ca="1" si="11"/>
        <v>106704.22659130651</v>
      </c>
      <c r="Y38" s="224">
        <f t="shared" ca="1" si="11"/>
        <v>107977.00829074133</v>
      </c>
      <c r="Z38" s="224">
        <f t="shared" ca="1" si="11"/>
        <v>109259.33585292188</v>
      </c>
    </row>
    <row r="39" spans="2:26" ht="14.5" thickTop="1" x14ac:dyDescent="0.3"/>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B2:K54"/>
  <sheetViews>
    <sheetView topLeftCell="A16" zoomScaleNormal="100" workbookViewId="0">
      <selection activeCell="I30" sqref="I30"/>
    </sheetView>
  </sheetViews>
  <sheetFormatPr defaultRowHeight="14" x14ac:dyDescent="0.3"/>
  <cols>
    <col min="1" max="1" width="8.7265625" style="163"/>
    <col min="2" max="2" width="40.90625" style="163" bestFit="1" customWidth="1"/>
    <col min="3" max="3" width="12.08984375" style="163" bestFit="1" customWidth="1"/>
    <col min="4" max="6" width="14.7265625" style="163" bestFit="1" customWidth="1"/>
    <col min="7" max="7" width="17.7265625" style="163" bestFit="1" customWidth="1"/>
    <col min="8" max="8" width="10.90625" style="163" bestFit="1" customWidth="1"/>
    <col min="9" max="16384" width="8.7265625" style="163"/>
  </cols>
  <sheetData>
    <row r="2" spans="2:11" x14ac:dyDescent="0.3">
      <c r="B2" s="165" t="s">
        <v>194</v>
      </c>
    </row>
    <row r="3" spans="2:11" x14ac:dyDescent="0.3">
      <c r="B3" s="163" t="s">
        <v>195</v>
      </c>
    </row>
    <row r="4" spans="2:11" x14ac:dyDescent="0.3">
      <c r="B4" s="163" t="s">
        <v>196</v>
      </c>
      <c r="C4" s="190" t="str">
        <f>"NSO"&amp;Inputs!C2</f>
        <v>NSO2</v>
      </c>
    </row>
    <row r="5" spans="2:11" x14ac:dyDescent="0.3">
      <c r="B5" s="163" t="s">
        <v>197</v>
      </c>
      <c r="C5" s="191" t="str">
        <f>"Scenario #"&amp;Inputs!C3</f>
        <v>Scenario #2</v>
      </c>
    </row>
    <row r="9" spans="2:11" x14ac:dyDescent="0.3">
      <c r="B9" s="162" t="s">
        <v>192</v>
      </c>
      <c r="C9" s="162"/>
      <c r="D9" s="162"/>
      <c r="E9" s="162"/>
      <c r="F9" s="162"/>
      <c r="G9" s="162"/>
      <c r="H9" s="162"/>
      <c r="I9" s="187"/>
      <c r="J9" s="187"/>
      <c r="K9" s="187"/>
    </row>
    <row r="10" spans="2:11" x14ac:dyDescent="0.3">
      <c r="C10" s="164" t="s">
        <v>45</v>
      </c>
      <c r="D10" s="186" t="str">
        <f>Inputs!C26</f>
        <v>Emerging</v>
      </c>
      <c r="E10" s="186" t="str">
        <f>Inputs!D26</f>
        <v>Developing</v>
      </c>
      <c r="F10" s="186" t="str">
        <f>Inputs!E26</f>
        <v>Established</v>
      </c>
      <c r="G10" s="164" t="s">
        <v>193</v>
      </c>
      <c r="H10" s="164" t="s">
        <v>70</v>
      </c>
    </row>
    <row r="11" spans="2:11" x14ac:dyDescent="0.3">
      <c r="B11" s="163" t="str">
        <f>Inputs!B27</f>
        <v>Revenue/Wk</v>
      </c>
      <c r="D11" s="192">
        <f ca="1">INDEX(INDIRECT($C$4&amp;"Table"),MATCH($B11,INDIRECT($C$4&amp;"Row"),0),MATCH(D$10,INDIRECT($C$4&amp;"Column"),0))</f>
        <v>27500</v>
      </c>
      <c r="E11" s="192">
        <f t="shared" ref="E11:F13" ca="1" si="0">INDEX(INDIRECT($C$4&amp;"Table"),MATCH($B11,INDIRECT($C$4&amp;"Row"),0),MATCH(E$10,INDIRECT($C$4&amp;"Column"),0))</f>
        <v>32500</v>
      </c>
      <c r="F11" s="192">
        <f t="shared" ca="1" si="0"/>
        <v>42500</v>
      </c>
    </row>
    <row r="12" spans="2:11" x14ac:dyDescent="0.3">
      <c r="B12" s="165" t="str">
        <f>Inputs!B28</f>
        <v>Revenue</v>
      </c>
      <c r="C12" s="165"/>
      <c r="D12" s="253">
        <f t="shared" ref="D12:D13" ca="1" si="1">INDEX(INDIRECT($C$4&amp;"Table"),MATCH($B12,INDIRECT($C$4&amp;"Row"),0),MATCH(D$10,INDIRECT($C$4&amp;"Column"),0))</f>
        <v>1430000</v>
      </c>
      <c r="E12" s="253">
        <f t="shared" ca="1" si="0"/>
        <v>1690000</v>
      </c>
      <c r="F12" s="253">
        <f t="shared" ca="1" si="0"/>
        <v>2210000</v>
      </c>
      <c r="G12" s="179">
        <f ca="1">SUMPRODUCT(D12:F12,D13:F13)</f>
        <v>1768000</v>
      </c>
      <c r="H12" s="182">
        <f ca="1">G12/$G$12</f>
        <v>1</v>
      </c>
    </row>
    <row r="13" spans="2:11" x14ac:dyDescent="0.3">
      <c r="B13" s="163" t="str">
        <f>Inputs!B29</f>
        <v>Percent of Openings by Market Type</v>
      </c>
      <c r="D13" s="193">
        <f t="shared" ca="1" si="1"/>
        <v>0.3</v>
      </c>
      <c r="E13" s="193">
        <f t="shared" ca="1" si="0"/>
        <v>0.4</v>
      </c>
      <c r="F13" s="193">
        <f t="shared" ca="1" si="0"/>
        <v>0.3</v>
      </c>
      <c r="H13" s="181"/>
    </row>
    <row r="14" spans="2:11" x14ac:dyDescent="0.3">
      <c r="H14" s="181"/>
    </row>
    <row r="15" spans="2:11" x14ac:dyDescent="0.3">
      <c r="B15" s="163" t="str">
        <f>Inputs!B39</f>
        <v>GM Salary</v>
      </c>
      <c r="C15" s="192">
        <f>INDEX(StoreExpenseTable,MATCH($B15,StoreExpenseRow,0),MATCH($C$5, StoreExpenseColumn,0))</f>
        <v>80000</v>
      </c>
      <c r="G15" s="168">
        <f>C15</f>
        <v>80000</v>
      </c>
      <c r="H15" s="181">
        <f t="shared" ref="H15:H53" ca="1" si="2">G15/$G$12</f>
        <v>4.5248868778280542E-2</v>
      </c>
    </row>
    <row r="16" spans="2:11" x14ac:dyDescent="0.3">
      <c r="B16" s="163" t="str">
        <f>Inputs!B40</f>
        <v>GM Bonus (based on % salary)</v>
      </c>
      <c r="C16" s="193">
        <f>INDEX(StoreExpenseTable,MATCH($B16,StoreExpenseRow,0),MATCH($C$5, StoreExpenseColumn,0))</f>
        <v>0.1</v>
      </c>
      <c r="G16" s="169">
        <f>G15*C16</f>
        <v>8000</v>
      </c>
      <c r="H16" s="181">
        <f ca="1">G16/$G$12</f>
        <v>4.5248868778280547E-3</v>
      </c>
    </row>
    <row r="17" spans="2:8" x14ac:dyDescent="0.3">
      <c r="B17" s="170" t="str">
        <f>Inputs!B41</f>
        <v>GM Wages + Bonus</v>
      </c>
      <c r="C17" s="194">
        <f>INDEX(StoreExpenseTable,MATCH($B17,StoreExpenseRow,0),MATCH($C$5, StoreExpenseColumn,0))</f>
        <v>88000</v>
      </c>
      <c r="D17" s="170"/>
      <c r="E17" s="170"/>
      <c r="F17" s="170"/>
      <c r="G17" s="172">
        <f>SUM(G15:G16)</f>
        <v>88000</v>
      </c>
      <c r="H17" s="183">
        <f t="shared" ca="1" si="2"/>
        <v>4.9773755656108594E-2</v>
      </c>
    </row>
    <row r="18" spans="2:8" x14ac:dyDescent="0.3">
      <c r="C18" s="192"/>
      <c r="H18" s="181"/>
    </row>
    <row r="19" spans="2:8" x14ac:dyDescent="0.3">
      <c r="B19" s="163" t="str">
        <f>Inputs!B42</f>
        <v># Hours/Wk</v>
      </c>
      <c r="C19" s="195">
        <f>INDEX(StoreExpenseTable,MATCH($B19,StoreExpenseRow,0),MATCH($C$5, StoreExpenseColumn,0))</f>
        <v>640</v>
      </c>
      <c r="H19" s="181"/>
    </row>
    <row r="20" spans="2:8" x14ac:dyDescent="0.3">
      <c r="B20" s="163" t="s">
        <v>198</v>
      </c>
      <c r="C20" s="196">
        <f>C19*52</f>
        <v>33280</v>
      </c>
      <c r="H20" s="181"/>
    </row>
    <row r="21" spans="2:8" x14ac:dyDescent="0.3">
      <c r="C21" s="195"/>
      <c r="H21" s="181"/>
    </row>
    <row r="22" spans="2:8" x14ac:dyDescent="0.3">
      <c r="B22" s="163" t="str">
        <f>Inputs!B43</f>
        <v>Avg. Wage</v>
      </c>
      <c r="C22" s="192">
        <f>INDEX(StoreExpenseTable,MATCH($B22,StoreExpenseRow,0),MATCH($C$5, StoreExpenseColumn,0))</f>
        <v>12.2</v>
      </c>
      <c r="H22" s="181"/>
    </row>
    <row r="23" spans="2:8" x14ac:dyDescent="0.3">
      <c r="C23" s="192"/>
      <c r="H23" s="181"/>
    </row>
    <row r="24" spans="2:8" x14ac:dyDescent="0.3">
      <c r="B24" s="170" t="s">
        <v>69</v>
      </c>
      <c r="C24" s="194"/>
      <c r="D24" s="170"/>
      <c r="E24" s="170"/>
      <c r="F24" s="170"/>
      <c r="G24" s="173">
        <f>$C$20*$C$22</f>
        <v>406016</v>
      </c>
      <c r="H24" s="183">
        <f t="shared" ca="1" si="2"/>
        <v>0.2296470588235294</v>
      </c>
    </row>
    <row r="25" spans="2:8" x14ac:dyDescent="0.3">
      <c r="C25" s="195"/>
      <c r="G25" s="174"/>
      <c r="H25" s="181"/>
    </row>
    <row r="26" spans="2:8" x14ac:dyDescent="0.3">
      <c r="B26" s="170" t="s">
        <v>199</v>
      </c>
      <c r="C26" s="197"/>
      <c r="D26" s="170"/>
      <c r="E26" s="170"/>
      <c r="F26" s="170"/>
      <c r="G26" s="175">
        <f>G24+G17</f>
        <v>494016</v>
      </c>
      <c r="H26" s="183">
        <f t="shared" ca="1" si="2"/>
        <v>0.27942081447963801</v>
      </c>
    </row>
    <row r="27" spans="2:8" x14ac:dyDescent="0.3">
      <c r="G27" s="174"/>
      <c r="H27" s="181"/>
    </row>
    <row r="28" spans="2:8" x14ac:dyDescent="0.3">
      <c r="B28" s="163" t="str">
        <f>Inputs!B44</f>
        <v>Payroll taxes (% of total comp)</v>
      </c>
      <c r="C28" s="193">
        <f t="shared" ref="C28:C33" si="3">INDEX(StoreExpenseTable,MATCH($B28,StoreExpenseRow,0),MATCH($C$5, StoreExpenseColumn,0))</f>
        <v>7.6999999999999999E-2</v>
      </c>
      <c r="G28" s="174">
        <f>$C28*($G$26)</f>
        <v>38039.231999999996</v>
      </c>
      <c r="H28" s="181">
        <f t="shared" ca="1" si="2"/>
        <v>2.1515402714932123E-2</v>
      </c>
    </row>
    <row r="29" spans="2:8" x14ac:dyDescent="0.3">
      <c r="B29" s="163" t="str">
        <f>Inputs!B45</f>
        <v>Healthcare benefits (% of total comp)</v>
      </c>
      <c r="C29" s="192">
        <f t="shared" si="3"/>
        <v>23000</v>
      </c>
      <c r="G29" s="174">
        <f>C29</f>
        <v>23000</v>
      </c>
      <c r="H29" s="181">
        <f t="shared" ca="1" si="2"/>
        <v>1.3009049773755657E-2</v>
      </c>
    </row>
    <row r="30" spans="2:8" x14ac:dyDescent="0.3">
      <c r="B30" s="163" t="str">
        <f>Inputs!B46</f>
        <v>Continuing education (% of total comp)</v>
      </c>
      <c r="C30" s="193">
        <f t="shared" si="3"/>
        <v>2.2499999999999999E-2</v>
      </c>
      <c r="G30" s="174">
        <f>$C30*($G$26)</f>
        <v>11115.359999999999</v>
      </c>
      <c r="H30" s="181">
        <f t="shared" ca="1" si="2"/>
        <v>6.2869683257918548E-3</v>
      </c>
    </row>
    <row r="31" spans="2:8" x14ac:dyDescent="0.3">
      <c r="B31" s="163" t="str">
        <f>Inputs!B47</f>
        <v>Insurance - Worker's Comp (% of total comp)</v>
      </c>
      <c r="C31" s="193">
        <f t="shared" si="3"/>
        <v>2.2499999999999999E-2</v>
      </c>
      <c r="G31" s="174">
        <f>$C31*($G$26)</f>
        <v>11115.359999999999</v>
      </c>
      <c r="H31" s="181">
        <f t="shared" ca="1" si="2"/>
        <v>6.2869683257918548E-3</v>
      </c>
    </row>
    <row r="32" spans="2:8" x14ac:dyDescent="0.3">
      <c r="B32" s="163" t="str">
        <f>Inputs!B48</f>
        <v>Insurance - Gen Liability (% of total comp)</v>
      </c>
      <c r="C32" s="193">
        <f t="shared" si="3"/>
        <v>2.2499999999999999E-2</v>
      </c>
      <c r="G32" s="174">
        <f>$C32*($G$26)</f>
        <v>11115.359999999999</v>
      </c>
      <c r="H32" s="181">
        <f t="shared" ca="1" si="2"/>
        <v>6.2869683257918548E-3</v>
      </c>
    </row>
    <row r="33" spans="2:8" x14ac:dyDescent="0.3">
      <c r="B33" s="163" t="str">
        <f>Inputs!B49</f>
        <v>401-K (% of total comp)</v>
      </c>
      <c r="C33" s="193">
        <f t="shared" si="3"/>
        <v>4.4999999999999998E-2</v>
      </c>
      <c r="G33" s="174">
        <f>$C33*($G$26)</f>
        <v>22230.719999999998</v>
      </c>
      <c r="H33" s="181">
        <f t="shared" ca="1" si="2"/>
        <v>1.257393665158371E-2</v>
      </c>
    </row>
    <row r="34" spans="2:8" x14ac:dyDescent="0.3">
      <c r="B34" s="170" t="s">
        <v>200</v>
      </c>
      <c r="C34" s="198"/>
      <c r="D34" s="170"/>
      <c r="E34" s="170"/>
      <c r="F34" s="170"/>
      <c r="G34" s="175">
        <f>SUM(G28:G33)</f>
        <v>116616.03199999999</v>
      </c>
      <c r="H34" s="183">
        <f t="shared" ca="1" si="2"/>
        <v>6.595929411764706E-2</v>
      </c>
    </row>
    <row r="35" spans="2:8" x14ac:dyDescent="0.3">
      <c r="C35" s="193"/>
      <c r="G35" s="174"/>
      <c r="H35" s="181"/>
    </row>
    <row r="36" spans="2:8" x14ac:dyDescent="0.3">
      <c r="B36" s="199" t="s">
        <v>201</v>
      </c>
      <c r="C36" s="236"/>
      <c r="D36" s="199"/>
      <c r="E36" s="199"/>
      <c r="F36" s="199"/>
      <c r="G36" s="178">
        <f>$G$34+$G$26</f>
        <v>610632.03200000001</v>
      </c>
      <c r="H36" s="184">
        <f t="shared" ca="1" si="2"/>
        <v>0.34538010859728507</v>
      </c>
    </row>
    <row r="37" spans="2:8" x14ac:dyDescent="0.3">
      <c r="C37" s="193"/>
      <c r="H37" s="181"/>
    </row>
    <row r="38" spans="2:8" x14ac:dyDescent="0.3">
      <c r="B38" s="163" t="str">
        <f>Inputs!B50</f>
        <v>Food Costs</v>
      </c>
      <c r="C38" s="193">
        <f>INDEX(StoreExpenseTable,MATCH($B38,StoreExpenseRow,0),MATCH($C$5, StoreExpenseColumn,0))</f>
        <v>0.26</v>
      </c>
      <c r="G38" s="169">
        <f ca="1">$C38*$G$12</f>
        <v>459680</v>
      </c>
      <c r="H38" s="181">
        <f t="shared" ca="1" si="2"/>
        <v>0.26</v>
      </c>
    </row>
    <row r="39" spans="2:8" x14ac:dyDescent="0.3">
      <c r="B39" s="163" t="str">
        <f>Inputs!B51</f>
        <v>Paper Costs</v>
      </c>
      <c r="C39" s="193">
        <f>INDEX(StoreExpenseTable,MATCH($B39,StoreExpenseRow,0),MATCH($C$5, StoreExpenseColumn,0))</f>
        <v>0.03</v>
      </c>
      <c r="G39" s="169">
        <f ca="1">$C39*$G$12</f>
        <v>53040</v>
      </c>
      <c r="H39" s="181">
        <f t="shared" ca="1" si="2"/>
        <v>0.03</v>
      </c>
    </row>
    <row r="40" spans="2:8" x14ac:dyDescent="0.3">
      <c r="B40" s="199" t="s">
        <v>202</v>
      </c>
      <c r="C40" s="236"/>
      <c r="D40" s="199"/>
      <c r="E40" s="199"/>
      <c r="F40" s="199"/>
      <c r="G40" s="177">
        <f ca="1">SUM(G38:G39)</f>
        <v>512720</v>
      </c>
      <c r="H40" s="184">
        <f t="shared" ca="1" si="2"/>
        <v>0.28999999999999998</v>
      </c>
    </row>
    <row r="41" spans="2:8" x14ac:dyDescent="0.3">
      <c r="C41" s="193"/>
      <c r="G41" s="169"/>
      <c r="H41" s="181"/>
    </row>
    <row r="42" spans="2:8" x14ac:dyDescent="0.3">
      <c r="B42" s="163" t="str">
        <f>Inputs!B52</f>
        <v>Marketing Expense</v>
      </c>
      <c r="C42" s="193">
        <f>INDEX(StoreExpenseTable,MATCH($B42,StoreExpenseRow,0),MATCH($C$5, StoreExpenseColumn,0))</f>
        <v>1.4999999999999999E-2</v>
      </c>
      <c r="G42" s="169">
        <f ca="1">$C42*$G$12</f>
        <v>26520</v>
      </c>
      <c r="H42" s="181">
        <f t="shared" ca="1" si="2"/>
        <v>1.4999999999999999E-2</v>
      </c>
    </row>
    <row r="43" spans="2:8" x14ac:dyDescent="0.3">
      <c r="B43" s="163" t="str">
        <f>Inputs!B53</f>
        <v>Supplies</v>
      </c>
      <c r="C43" s="193">
        <f>INDEX(StoreExpenseTable,MATCH($B43,StoreExpenseRow,0),MATCH($C$5, StoreExpenseColumn,0))</f>
        <v>0.02</v>
      </c>
      <c r="G43" s="169">
        <f ca="1">$C43*$G$12</f>
        <v>35360</v>
      </c>
      <c r="H43" s="181">
        <f t="shared" ca="1" si="2"/>
        <v>0.02</v>
      </c>
    </row>
    <row r="44" spans="2:8" x14ac:dyDescent="0.3">
      <c r="B44" s="163" t="str">
        <f>Inputs!B54</f>
        <v>Repair &amp; Maintenance</v>
      </c>
      <c r="C44" s="193">
        <f>INDEX(StoreExpenseTable,MATCH($B44,StoreExpenseRow,0),MATCH($C$5, StoreExpenseColumn,0))</f>
        <v>7.0000000000000001E-3</v>
      </c>
      <c r="G44" s="169">
        <f ca="1">$C44*$G$12</f>
        <v>12376</v>
      </c>
      <c r="H44" s="181">
        <f t="shared" ca="1" si="2"/>
        <v>7.0000000000000001E-3</v>
      </c>
    </row>
    <row r="45" spans="2:8" x14ac:dyDescent="0.3">
      <c r="B45" s="163" t="str">
        <f>Inputs!B55</f>
        <v>Point of Sale Expenses</v>
      </c>
      <c r="C45" s="192">
        <f>INDEX(StoreExpenseTable,MATCH($B45,StoreExpenseRow,0),MATCH($C$5, StoreExpenseColumn,0))</f>
        <v>16000</v>
      </c>
      <c r="G45" s="169">
        <f>C45</f>
        <v>16000</v>
      </c>
      <c r="H45" s="181">
        <f t="shared" ca="1" si="2"/>
        <v>9.0497737556561094E-3</v>
      </c>
    </row>
    <row r="46" spans="2:8" x14ac:dyDescent="0.3">
      <c r="B46" s="163" t="str">
        <f>Inputs!B56</f>
        <v>Utilities</v>
      </c>
      <c r="C46" s="192">
        <f>INDEX(StoreExpenseTable,MATCH($B46,StoreExpenseRow,0),MATCH($C$5, StoreExpenseColumn,0))</f>
        <v>83000</v>
      </c>
      <c r="G46" s="169">
        <f>C46</f>
        <v>83000</v>
      </c>
      <c r="H46" s="181">
        <f t="shared" ca="1" si="2"/>
        <v>4.6945701357466063E-2</v>
      </c>
    </row>
    <row r="47" spans="2:8" x14ac:dyDescent="0.3">
      <c r="B47" s="199" t="s">
        <v>203</v>
      </c>
      <c r="C47" s="226"/>
      <c r="D47" s="199"/>
      <c r="E47" s="199"/>
      <c r="F47" s="199"/>
      <c r="G47" s="177">
        <f ca="1">SUM(G42:G46)</f>
        <v>173256</v>
      </c>
      <c r="H47" s="184">
        <f t="shared" ca="1" si="2"/>
        <v>9.7995475113122177E-2</v>
      </c>
    </row>
    <row r="48" spans="2:8" x14ac:dyDescent="0.3">
      <c r="C48" s="192"/>
      <c r="G48" s="169"/>
      <c r="H48" s="181"/>
    </row>
    <row r="49" spans="2:8" x14ac:dyDescent="0.3">
      <c r="B49" s="163" t="str">
        <f>Inputs!B57</f>
        <v>Rent</v>
      </c>
      <c r="C49" s="192">
        <f>INDEX(StoreExpenseTable,MATCH($B49,StoreExpenseRow,0),MATCH($C$5, StoreExpenseColumn,0))</f>
        <v>100000</v>
      </c>
      <c r="G49" s="169">
        <f>C49</f>
        <v>100000</v>
      </c>
      <c r="H49" s="181">
        <f t="shared" ca="1" si="2"/>
        <v>5.6561085972850679E-2</v>
      </c>
    </row>
    <row r="50" spans="2:8" x14ac:dyDescent="0.3">
      <c r="B50" s="163" t="str">
        <f>Inputs!B58</f>
        <v>Cams</v>
      </c>
      <c r="C50" s="192">
        <f>INDEX(StoreExpenseTable,MATCH($B50,StoreExpenseRow,0),MATCH($C$5, StoreExpenseColumn,0))</f>
        <v>30000</v>
      </c>
      <c r="G50" s="169">
        <f>C50</f>
        <v>30000</v>
      </c>
      <c r="H50" s="181">
        <f t="shared" ca="1" si="2"/>
        <v>1.6968325791855202E-2</v>
      </c>
    </row>
    <row r="51" spans="2:8" x14ac:dyDescent="0.3">
      <c r="B51" s="199" t="s">
        <v>204</v>
      </c>
      <c r="C51" s="199"/>
      <c r="D51" s="199"/>
      <c r="E51" s="199"/>
      <c r="F51" s="199"/>
      <c r="G51" s="177">
        <f>SUM(G49:G50)</f>
        <v>130000</v>
      </c>
      <c r="H51" s="184">
        <f t="shared" ca="1" si="2"/>
        <v>7.3529411764705885E-2</v>
      </c>
    </row>
    <row r="52" spans="2:8" x14ac:dyDescent="0.3">
      <c r="H52" s="181"/>
    </row>
    <row r="53" spans="2:8" ht="14.5" thickBot="1" x14ac:dyDescent="0.35">
      <c r="B53" s="202" t="s">
        <v>205</v>
      </c>
      <c r="C53" s="202"/>
      <c r="D53" s="202"/>
      <c r="E53" s="202"/>
      <c r="F53" s="202"/>
      <c r="G53" s="180">
        <f ca="1">G12-G36-G40-G47-G51</f>
        <v>341391.96799999988</v>
      </c>
      <c r="H53" s="185">
        <f t="shared" ca="1" si="2"/>
        <v>0.19309500452488682</v>
      </c>
    </row>
    <row r="54" spans="2:8" ht="14.5" thickTop="1" x14ac:dyDescent="0.3"/>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00C5A351BD9143831C2909D220D4FA" ma:contentTypeVersion="7" ma:contentTypeDescription="Create a new document." ma:contentTypeScope="" ma:versionID="11d345ec6232eab92e66230db458b4b6">
  <xsd:schema xmlns:xsd="http://www.w3.org/2001/XMLSchema" xmlns:xs="http://www.w3.org/2001/XMLSchema" xmlns:p="http://schemas.microsoft.com/office/2006/metadata/properties" xmlns:ns3="718af289-1b9c-451f-9692-11143cf7b0ec" targetNamespace="http://schemas.microsoft.com/office/2006/metadata/properties" ma:root="true" ma:fieldsID="ffd041200822750c7393cef3ec9215e1" ns3:_="">
    <xsd:import namespace="718af289-1b9c-451f-9692-11143cf7b0e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8af289-1b9c-451f-9692-11143cf7b0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FAADC6-27D8-44F0-8BCA-ABFB18CA2E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8af289-1b9c-451f-9692-11143cf7b0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0D38ED-BC28-48E0-8B6E-052D98BA3245}">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718af289-1b9c-451f-9692-11143cf7b0ec"/>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AB94311A-94B5-4D8C-BC4E-EEF30CF903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29</vt:i4>
      </vt:variant>
    </vt:vector>
  </HeadingPairs>
  <TitlesOfParts>
    <vt:vector size="52" baseType="lpstr">
      <vt:lpstr>Memo</vt:lpstr>
      <vt:lpstr>Inputs</vt:lpstr>
      <vt:lpstr>Annual Summaries</vt:lpstr>
      <vt:lpstr>CompanyP&amp;L</vt:lpstr>
      <vt:lpstr>BalanceSheet</vt:lpstr>
      <vt:lpstr>CashFlowStatement</vt:lpstr>
      <vt:lpstr>ControlSheet</vt:lpstr>
      <vt:lpstr>CapEx</vt:lpstr>
      <vt:lpstr>Interest Expense</vt:lpstr>
      <vt:lpstr>G&amp;A</vt:lpstr>
      <vt:lpstr>AllStores---&gt;</vt:lpstr>
      <vt:lpstr>Existing Stores---&gt;</vt:lpstr>
      <vt:lpstr>In</vt:lpstr>
      <vt:lpstr>IS_Store 1</vt:lpstr>
      <vt:lpstr>IS_Store 2</vt:lpstr>
      <vt:lpstr>IS_Store 3</vt:lpstr>
      <vt:lpstr>IS_Store 4</vt:lpstr>
      <vt:lpstr>IS_Store 5</vt:lpstr>
      <vt:lpstr>Out</vt:lpstr>
      <vt:lpstr>IS_Existing</vt:lpstr>
      <vt:lpstr>Inc_Stm_New_Stores---&gt;</vt:lpstr>
      <vt:lpstr>IS_NewStore_Trend</vt:lpstr>
      <vt:lpstr>IS_NewStore</vt:lpstr>
      <vt:lpstr>BegStockholderEquity</vt:lpstr>
      <vt:lpstr>ExistingStoreColumn</vt:lpstr>
      <vt:lpstr>ExistingStoreRow</vt:lpstr>
      <vt:lpstr>ExistingStoreTable</vt:lpstr>
      <vt:lpstr>ExitMultiple</vt:lpstr>
      <vt:lpstr>NSO1Column</vt:lpstr>
      <vt:lpstr>NSO1Row</vt:lpstr>
      <vt:lpstr>NSO1Table</vt:lpstr>
      <vt:lpstr>NSO2Column</vt:lpstr>
      <vt:lpstr>NSO2Row</vt:lpstr>
      <vt:lpstr>NSO2Table</vt:lpstr>
      <vt:lpstr>Memo!Print_Area</vt:lpstr>
      <vt:lpstr>ScheduleColumn</vt:lpstr>
      <vt:lpstr>ScheduleRow</vt:lpstr>
      <vt:lpstr>ScheduleTable</vt:lpstr>
      <vt:lpstr>StoreExpenseColumn</vt:lpstr>
      <vt:lpstr>StoreExpenseRow</vt:lpstr>
      <vt:lpstr>StoreExpenseTable</vt:lpstr>
      <vt:lpstr>StoreList</vt:lpstr>
      <vt:lpstr>Year1Margin</vt:lpstr>
      <vt:lpstr>Year2Margin</vt:lpstr>
      <vt:lpstr>Year3Margin</vt:lpstr>
      <vt:lpstr>Year4Margin</vt:lpstr>
      <vt:lpstr>Year5Assets</vt:lpstr>
      <vt:lpstr>Year5Cash</vt:lpstr>
      <vt:lpstr>Year5Debt</vt:lpstr>
      <vt:lpstr>Year5Margin</vt:lpstr>
      <vt:lpstr>Year5NetIncome</vt:lpstr>
      <vt:lpstr>Year5Revenue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Jonny Allen</dc:creator>
  <cp:lastModifiedBy>Follett Capt Stuart J</cp:lastModifiedBy>
  <cp:lastPrinted>2022-07-31T20:28:15Z</cp:lastPrinted>
  <dcterms:created xsi:type="dcterms:W3CDTF">2020-06-08T21:06:33Z</dcterms:created>
  <dcterms:modified xsi:type="dcterms:W3CDTF">2022-07-31T20:33:36Z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0x010100E100C5A351BD9143831C2909D220D4FA</vt:lpwstr>
  </property>
</Properties>
</file>