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folle\Desktop\Valuation\"/>
    </mc:Choice>
  </mc:AlternateContent>
  <xr:revisionPtr revIDLastSave="0" documentId="13_ncr:1_{57CE2155-543B-4EF7-878E-8C31632257EA}" xr6:coauthVersionLast="47" xr6:coauthVersionMax="47" xr10:uidLastSave="{00000000-0000-0000-0000-000000000000}"/>
  <bookViews>
    <workbookView xWindow="-108" yWindow="-108" windowWidth="23256" windowHeight="12576" firstSheet="15" activeTab="23" xr2:uid="{00000000-000D-0000-FFFF-FFFF00000000}"/>
  </bookViews>
  <sheets>
    <sheet name="Instructions" sheetId="36" r:id="rId1"/>
    <sheet name="3 BS Reported" sheetId="2" r:id="rId2"/>
    <sheet name="3 IS Reported" sheetId="1" r:id="rId3"/>
    <sheet name="3 Unadj NOA" sheetId="18" r:id="rId4"/>
    <sheet name="3 Unadj NOPAT" sheetId="17" r:id="rId5"/>
    <sheet name="4 Add'l Info" sheetId="23" r:id="rId6"/>
    <sheet name="4 BS Expanded" sheetId="25" r:id="rId7"/>
    <sheet name="4 IS Expanded" sheetId="24" r:id="rId8"/>
    <sheet name="5 Adjust Info" sheetId="28" r:id="rId9"/>
    <sheet name="5 AJE Leases" sheetId="29" r:id="rId10"/>
    <sheet name="5 AJE Options" sheetId="27" r:id="rId11"/>
    <sheet name="5 BS Adjusted" sheetId="30" r:id="rId12"/>
    <sheet name="5 IS Adjusted" sheetId="31" r:id="rId13"/>
    <sheet name="5 Adj NOA" sheetId="33" r:id="rId14"/>
    <sheet name="5 Adj NOPAT" sheetId="32" r:id="rId15"/>
    <sheet name="6 Analyzing" sheetId="22" r:id="rId16"/>
    <sheet name="6 CS-IS" sheetId="6" r:id="rId17"/>
    <sheet name="6 CS-BS" sheetId="7" r:id="rId18"/>
    <sheet name="7 F-Rev" sheetId="13" r:id="rId19"/>
    <sheet name="7 F-PM" sheetId="14" r:id="rId20"/>
    <sheet name="7 F-ATO" sheetId="15" r:id="rId21"/>
    <sheet name="9 Cost of Capital" sheetId="35" r:id="rId22"/>
    <sheet name="10-12 Valuation" sheetId="10" r:id="rId23"/>
    <sheet name="13 Final" sheetId="34" r:id="rId24"/>
  </sheets>
  <definedNames>
    <definedName name="_xlnm._FilterDatabase" localSheetId="13" hidden="1">'5 Adj NOA'!$A$3:$F$59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34" l="1"/>
  <c r="E4" i="35"/>
  <c r="B6" i="34"/>
  <c r="E41" i="35" l="1"/>
  <c r="A9" i="15" l="1"/>
  <c r="I19" i="13" l="1"/>
  <c r="B1" i="13" l="1"/>
  <c r="E1" i="13"/>
  <c r="D1" i="13"/>
  <c r="C1" i="13"/>
  <c r="E30" i="28" l="1"/>
  <c r="E233" i="23" l="1"/>
  <c r="A122" i="30" l="1"/>
  <c r="A117" i="25"/>
  <c r="A63" i="2"/>
  <c r="D85" i="13" l="1"/>
  <c r="E97" i="13"/>
  <c r="H101" i="13"/>
  <c r="G101" i="13"/>
  <c r="F101" i="13"/>
  <c r="H89" i="13"/>
  <c r="G89" i="13"/>
  <c r="F89" i="13"/>
  <c r="H77" i="13"/>
  <c r="G77" i="13"/>
  <c r="F77" i="13"/>
  <c r="H65" i="13"/>
  <c r="G65" i="13"/>
  <c r="F65" i="13"/>
  <c r="H53" i="13"/>
  <c r="G53" i="13"/>
  <c r="F53" i="13"/>
  <c r="H41" i="13"/>
  <c r="G41" i="13"/>
  <c r="F41" i="13"/>
  <c r="H29" i="13"/>
  <c r="G29" i="13"/>
  <c r="F29" i="13"/>
  <c r="H71" i="15" l="1"/>
  <c r="I60" i="15"/>
  <c r="H59" i="15"/>
  <c r="I59" i="15" s="1"/>
  <c r="H58" i="15"/>
  <c r="H49" i="15"/>
  <c r="H38" i="15"/>
  <c r="I38" i="15" s="1"/>
  <c r="B38" i="34" l="1"/>
  <c r="D34" i="35" l="1"/>
  <c r="C34" i="35"/>
  <c r="C66" i="28"/>
  <c r="D64" i="28" s="1"/>
  <c r="E65" i="28"/>
  <c r="H65" i="28" s="1"/>
  <c r="K65" i="28" s="1"/>
  <c r="E64" i="28"/>
  <c r="H64" i="28" s="1"/>
  <c r="K64" i="28" s="1"/>
  <c r="E63" i="28"/>
  <c r="H63" i="28" s="1"/>
  <c r="K63" i="28" s="1"/>
  <c r="E62" i="28"/>
  <c r="H62" i="28" s="1"/>
  <c r="K62" i="28" s="1"/>
  <c r="E61" i="28"/>
  <c r="H61" i="28" s="1"/>
  <c r="E60" i="28"/>
  <c r="E59" i="28"/>
  <c r="H59" i="28" s="1"/>
  <c r="K59" i="28" s="1"/>
  <c r="E58" i="28"/>
  <c r="H58" i="28" s="1"/>
  <c r="K58" i="28" s="1"/>
  <c r="E57" i="28"/>
  <c r="H57" i="28" s="1"/>
  <c r="K57" i="28" s="1"/>
  <c r="E56" i="28"/>
  <c r="H56" i="28" s="1"/>
  <c r="K56" i="28" s="1"/>
  <c r="E55" i="28"/>
  <c r="H55" i="28" s="1"/>
  <c r="K55" i="28" s="1"/>
  <c r="E54" i="28"/>
  <c r="H54" i="28" s="1"/>
  <c r="E53" i="28"/>
  <c r="H53" i="28" s="1"/>
  <c r="K53" i="28" s="1"/>
  <c r="E52" i="28"/>
  <c r="H52" i="28" s="1"/>
  <c r="K52" i="28" s="1"/>
  <c r="E51" i="28"/>
  <c r="E50" i="28"/>
  <c r="H50" i="28" s="1"/>
  <c r="E49" i="28"/>
  <c r="H49" i="28" s="1"/>
  <c r="K49" i="28" s="1"/>
  <c r="E48" i="28"/>
  <c r="H48" i="28" s="1"/>
  <c r="K48" i="28" s="1"/>
  <c r="E47" i="28"/>
  <c r="H47" i="28" s="1"/>
  <c r="K47" i="28" s="1"/>
  <c r="E46" i="28"/>
  <c r="H46" i="28" s="1"/>
  <c r="L66" i="28"/>
  <c r="I66" i="28"/>
  <c r="F66" i="28"/>
  <c r="H60" i="28"/>
  <c r="K60" i="28" s="1"/>
  <c r="H51" i="28"/>
  <c r="K51" i="28" s="1"/>
  <c r="G65" i="28" l="1"/>
  <c r="J46" i="28"/>
  <c r="K50" i="28"/>
  <c r="M50" i="28" s="1"/>
  <c r="K54" i="28"/>
  <c r="M54" i="28" s="1"/>
  <c r="K46" i="28"/>
  <c r="M46" i="28" s="1"/>
  <c r="K61" i="28"/>
  <c r="M61" i="28" s="1"/>
  <c r="G58" i="28"/>
  <c r="G56" i="28"/>
  <c r="D62" i="28"/>
  <c r="J56" i="28"/>
  <c r="J58" i="28"/>
  <c r="J47" i="28"/>
  <c r="J51" i="28"/>
  <c r="M48" i="28"/>
  <c r="M59" i="28"/>
  <c r="D63" i="28"/>
  <c r="M49" i="28"/>
  <c r="M53" i="28"/>
  <c r="M56" i="28"/>
  <c r="M58" i="28"/>
  <c r="M60" i="28"/>
  <c r="G63" i="28"/>
  <c r="D47" i="28"/>
  <c r="D55" i="28"/>
  <c r="D65" i="28"/>
  <c r="D48" i="28"/>
  <c r="D56" i="28"/>
  <c r="D51" i="28"/>
  <c r="D59" i="28"/>
  <c r="D52" i="28"/>
  <c r="D60" i="28"/>
  <c r="D49" i="28"/>
  <c r="D53" i="28"/>
  <c r="D57" i="28"/>
  <c r="D61" i="28"/>
  <c r="D46" i="28"/>
  <c r="D50" i="28"/>
  <c r="D54" i="28"/>
  <c r="D58" i="28"/>
  <c r="G52" i="28"/>
  <c r="J48" i="28"/>
  <c r="J50" i="28"/>
  <c r="M52" i="28"/>
  <c r="J55" i="28"/>
  <c r="M57" i="28"/>
  <c r="J59" i="28"/>
  <c r="J60" i="28"/>
  <c r="G46" i="28"/>
  <c r="G48" i="28"/>
  <c r="G50" i="28"/>
  <c r="M51" i="28"/>
  <c r="G54" i="28"/>
  <c r="G60" i="28"/>
  <c r="G62" i="28"/>
  <c r="M47" i="28"/>
  <c r="J52" i="28"/>
  <c r="J54" i="28"/>
  <c r="M55" i="28"/>
  <c r="G47" i="28"/>
  <c r="J49" i="28"/>
  <c r="G51" i="28"/>
  <c r="J53" i="28"/>
  <c r="G55" i="28"/>
  <c r="J57" i="28"/>
  <c r="G59" i="28"/>
  <c r="J61" i="28"/>
  <c r="G49" i="28"/>
  <c r="G53" i="28"/>
  <c r="G57" i="28"/>
  <c r="G61" i="28"/>
  <c r="D66" i="28" l="1"/>
  <c r="M66" i="28"/>
  <c r="G66" i="28"/>
  <c r="J66" i="28"/>
  <c r="E19" i="35" l="1"/>
  <c r="D19" i="35"/>
  <c r="C19" i="35"/>
  <c r="H50" i="15" l="1"/>
  <c r="I50" i="15" s="1"/>
  <c r="B28" i="28" l="1"/>
  <c r="C28" i="28"/>
  <c r="D28" i="28"/>
  <c r="E28" i="28"/>
  <c r="G54" i="24"/>
  <c r="G53" i="24"/>
  <c r="G52" i="24"/>
  <c r="G51" i="24"/>
  <c r="G49" i="24"/>
  <c r="G48" i="24"/>
  <c r="G44" i="24"/>
  <c r="G42" i="24"/>
  <c r="G41" i="24"/>
  <c r="G30" i="24"/>
  <c r="G27" i="24"/>
  <c r="G26" i="24"/>
  <c r="G25" i="24"/>
  <c r="G38" i="24"/>
  <c r="G37" i="24"/>
  <c r="G36" i="24"/>
  <c r="G24" i="24"/>
  <c r="G23" i="24"/>
  <c r="G35" i="24"/>
  <c r="G34" i="24"/>
  <c r="G33" i="24"/>
  <c r="G32" i="24"/>
  <c r="G31" i="24"/>
  <c r="G22" i="24"/>
  <c r="G21" i="24"/>
  <c r="G20" i="24"/>
  <c r="G19" i="24"/>
  <c r="G18" i="24"/>
  <c r="G17" i="24"/>
  <c r="G16" i="24"/>
  <c r="G15" i="24"/>
  <c r="G14" i="24"/>
  <c r="G12" i="24"/>
  <c r="G11" i="24"/>
  <c r="G10" i="24"/>
  <c r="G9" i="24"/>
  <c r="G8" i="24"/>
  <c r="G7" i="24"/>
  <c r="G6" i="24"/>
  <c r="G5" i="24"/>
  <c r="F54" i="24"/>
  <c r="F53" i="24"/>
  <c r="F52" i="24"/>
  <c r="F51" i="24"/>
  <c r="F49" i="24"/>
  <c r="F48" i="24"/>
  <c r="F44" i="24"/>
  <c r="F42" i="24"/>
  <c r="F41" i="24"/>
  <c r="F30" i="24"/>
  <c r="F27" i="24"/>
  <c r="F26" i="24"/>
  <c r="F25" i="24"/>
  <c r="F38" i="24"/>
  <c r="F37" i="24"/>
  <c r="F36" i="24"/>
  <c r="F24" i="24"/>
  <c r="F23" i="24"/>
  <c r="F35" i="24"/>
  <c r="F34" i="24"/>
  <c r="F33" i="24"/>
  <c r="F32" i="24"/>
  <c r="F31" i="24"/>
  <c r="F22" i="24"/>
  <c r="F21" i="24"/>
  <c r="F20" i="24"/>
  <c r="F19" i="24"/>
  <c r="F18" i="24"/>
  <c r="F17" i="24"/>
  <c r="F16" i="24"/>
  <c r="F15" i="24"/>
  <c r="F14" i="24"/>
  <c r="F12" i="24"/>
  <c r="F11" i="24"/>
  <c r="F10" i="24"/>
  <c r="F9" i="24"/>
  <c r="F8" i="24"/>
  <c r="F7" i="24"/>
  <c r="F6" i="24"/>
  <c r="F5" i="24"/>
  <c r="E5" i="24"/>
  <c r="E6" i="24"/>
  <c r="E7" i="24"/>
  <c r="E8" i="24"/>
  <c r="E9" i="24"/>
  <c r="E10" i="24"/>
  <c r="E11" i="24"/>
  <c r="E12" i="24"/>
  <c r="E14" i="24"/>
  <c r="E15" i="24"/>
  <c r="E16" i="24"/>
  <c r="E17" i="24"/>
  <c r="E18" i="24"/>
  <c r="E19" i="24"/>
  <c r="E20" i="24"/>
  <c r="E21" i="24"/>
  <c r="E22" i="24"/>
  <c r="E31" i="24"/>
  <c r="E32" i="24"/>
  <c r="E33" i="24"/>
  <c r="E34" i="24"/>
  <c r="E35" i="24"/>
  <c r="E23" i="24"/>
  <c r="E24" i="24"/>
  <c r="E36" i="24"/>
  <c r="E37" i="24"/>
  <c r="E38" i="24"/>
  <c r="E25" i="24"/>
  <c r="E26" i="24"/>
  <c r="E27" i="24"/>
  <c r="E30" i="24"/>
  <c r="E41" i="24"/>
  <c r="E42" i="24"/>
  <c r="E44" i="24"/>
  <c r="E48" i="24"/>
  <c r="E49" i="24"/>
  <c r="E51" i="24"/>
  <c r="E52" i="24"/>
  <c r="E53" i="24"/>
  <c r="E54" i="24"/>
  <c r="G110" i="25"/>
  <c r="G109" i="25"/>
  <c r="G108" i="25"/>
  <c r="G107" i="25"/>
  <c r="G106" i="25"/>
  <c r="G90" i="25"/>
  <c r="G89" i="25"/>
  <c r="G88" i="25"/>
  <c r="G87" i="25"/>
  <c r="G86" i="25"/>
  <c r="G85" i="25"/>
  <c r="G79" i="25"/>
  <c r="G78" i="25"/>
  <c r="G77" i="25"/>
  <c r="G76" i="25"/>
  <c r="G75" i="25"/>
  <c r="G74" i="25"/>
  <c r="G73" i="25"/>
  <c r="G72" i="25"/>
  <c r="G71" i="25"/>
  <c r="G66" i="25"/>
  <c r="G65" i="25"/>
  <c r="G64" i="25"/>
  <c r="G63" i="25"/>
  <c r="G62" i="25"/>
  <c r="G56" i="25"/>
  <c r="G55" i="25"/>
  <c r="G54" i="25"/>
  <c r="G53" i="25"/>
  <c r="G52" i="25"/>
  <c r="G51" i="25"/>
  <c r="G50" i="25"/>
  <c r="G49" i="25"/>
  <c r="G48" i="25"/>
  <c r="G47" i="25"/>
  <c r="G46" i="25"/>
  <c r="G45" i="25"/>
  <c r="G44" i="25"/>
  <c r="G43" i="25"/>
  <c r="G42" i="25"/>
  <c r="G43" i="30" s="1"/>
  <c r="G41" i="25"/>
  <c r="G40" i="25"/>
  <c r="G39" i="25"/>
  <c r="G38" i="25"/>
  <c r="G37" i="25"/>
  <c r="G36" i="25"/>
  <c r="G35" i="25"/>
  <c r="G34" i="25"/>
  <c r="G33" i="25"/>
  <c r="G32" i="25"/>
  <c r="G31" i="25"/>
  <c r="G30" i="25"/>
  <c r="G29" i="25"/>
  <c r="G28" i="25"/>
  <c r="G27" i="25"/>
  <c r="G26" i="25"/>
  <c r="G25" i="25"/>
  <c r="G24" i="25"/>
  <c r="G23" i="25"/>
  <c r="G22" i="25"/>
  <c r="G21" i="25"/>
  <c r="G20" i="25"/>
  <c r="G19" i="25"/>
  <c r="G18" i="25"/>
  <c r="G17" i="25"/>
  <c r="G16" i="25"/>
  <c r="G15" i="25"/>
  <c r="G14" i="25"/>
  <c r="G13" i="25"/>
  <c r="G11" i="25"/>
  <c r="G10" i="25"/>
  <c r="G9" i="25"/>
  <c r="G8" i="25"/>
  <c r="G7" i="25"/>
  <c r="G6" i="25"/>
  <c r="G5" i="25"/>
  <c r="F110" i="25"/>
  <c r="F109" i="25"/>
  <c r="F108" i="25"/>
  <c r="F107" i="25"/>
  <c r="F106" i="25"/>
  <c r="F90" i="25"/>
  <c r="F89" i="25"/>
  <c r="F88" i="25"/>
  <c r="F87" i="25"/>
  <c r="F86" i="25"/>
  <c r="F85" i="25"/>
  <c r="F79" i="25"/>
  <c r="F78" i="25"/>
  <c r="F77" i="25"/>
  <c r="F76" i="25"/>
  <c r="F75" i="25"/>
  <c r="F74" i="25"/>
  <c r="F73" i="25"/>
  <c r="F72" i="25"/>
  <c r="F71" i="25"/>
  <c r="F66" i="25"/>
  <c r="F65" i="25"/>
  <c r="F64" i="25"/>
  <c r="F63" i="25"/>
  <c r="F62" i="25"/>
  <c r="F56" i="25"/>
  <c r="F55" i="25"/>
  <c r="F54" i="25"/>
  <c r="F53" i="25"/>
  <c r="F52" i="25"/>
  <c r="F51" i="25"/>
  <c r="F50" i="25"/>
  <c r="F49" i="25"/>
  <c r="F48" i="25"/>
  <c r="F47" i="25"/>
  <c r="F46" i="25"/>
  <c r="F45" i="25"/>
  <c r="F44" i="25"/>
  <c r="F43" i="25"/>
  <c r="F42" i="25"/>
  <c r="F43" i="30" s="1"/>
  <c r="F41" i="25"/>
  <c r="F40" i="25"/>
  <c r="F39" i="25"/>
  <c r="F38" i="25"/>
  <c r="F37" i="25"/>
  <c r="F36" i="25"/>
  <c r="F35" i="25"/>
  <c r="F34" i="25"/>
  <c r="F33" i="25"/>
  <c r="F32" i="25"/>
  <c r="F31" i="25"/>
  <c r="F30" i="25"/>
  <c r="F29" i="25"/>
  <c r="F28" i="25"/>
  <c r="F27" i="25"/>
  <c r="F26" i="25"/>
  <c r="F25" i="25"/>
  <c r="F24" i="25"/>
  <c r="F23" i="25"/>
  <c r="F22" i="25"/>
  <c r="F21" i="25"/>
  <c r="F20" i="25"/>
  <c r="F19" i="25"/>
  <c r="F18" i="25"/>
  <c r="F17" i="25"/>
  <c r="F16" i="25"/>
  <c r="F15" i="25"/>
  <c r="F14" i="25"/>
  <c r="F13" i="25"/>
  <c r="F11" i="25"/>
  <c r="F10" i="25"/>
  <c r="F9" i="25"/>
  <c r="F8" i="25"/>
  <c r="F7" i="25"/>
  <c r="F6" i="25"/>
  <c r="F5" i="25"/>
  <c r="A42" i="25"/>
  <c r="D42" i="25"/>
  <c r="D43" i="30" s="1"/>
  <c r="E42" i="25"/>
  <c r="E43" i="30" s="1"/>
  <c r="F39" i="24" l="1"/>
  <c r="E39" i="24"/>
  <c r="G39" i="24"/>
  <c r="G28" i="24"/>
  <c r="E13" i="24"/>
  <c r="F28" i="24"/>
  <c r="G13" i="24"/>
  <c r="E28" i="24"/>
  <c r="F13" i="24"/>
  <c r="F29" i="24" s="1"/>
  <c r="F40" i="24" s="1"/>
  <c r="F43" i="24" s="1"/>
  <c r="F45" i="24" s="1"/>
  <c r="F55" i="24" s="1"/>
  <c r="F111" i="25"/>
  <c r="F117" i="25" s="1"/>
  <c r="F91" i="25"/>
  <c r="G111" i="25"/>
  <c r="G117" i="25" s="1"/>
  <c r="G91" i="25"/>
  <c r="G54" i="31"/>
  <c r="F54" i="31"/>
  <c r="E54" i="31"/>
  <c r="G53" i="31"/>
  <c r="F53" i="31"/>
  <c r="E53" i="31"/>
  <c r="F115" i="30"/>
  <c r="G115" i="30"/>
  <c r="D33" i="27"/>
  <c r="E33" i="27"/>
  <c r="C33" i="27"/>
  <c r="B33" i="27" s="1"/>
  <c r="D11" i="27"/>
  <c r="E11" i="27"/>
  <c r="C11" i="27"/>
  <c r="B11" i="27" s="1"/>
  <c r="D35" i="28"/>
  <c r="C35" i="28"/>
  <c r="B35" i="28"/>
  <c r="B36" i="28" s="1"/>
  <c r="D34" i="28"/>
  <c r="C34" i="28"/>
  <c r="B34" i="28"/>
  <c r="D33" i="28"/>
  <c r="C33" i="28"/>
  <c r="B33" i="28"/>
  <c r="D32" i="28"/>
  <c r="C32" i="28"/>
  <c r="B32" i="28"/>
  <c r="D31" i="28"/>
  <c r="C31" i="28"/>
  <c r="B31" i="28"/>
  <c r="D30" i="28"/>
  <c r="C30" i="28"/>
  <c r="B30" i="28"/>
  <c r="D11" i="24"/>
  <c r="D10" i="24"/>
  <c r="D9" i="24"/>
  <c r="D8" i="24"/>
  <c r="D7" i="24"/>
  <c r="D6" i="24"/>
  <c r="D5" i="24"/>
  <c r="E110" i="25"/>
  <c r="E115" i="30" s="1"/>
  <c r="D264" i="23"/>
  <c r="D259" i="23" s="1"/>
  <c r="D260" i="23" s="1"/>
  <c r="F82" i="25" s="1"/>
  <c r="C264" i="23"/>
  <c r="C259" i="23" s="1"/>
  <c r="C260" i="23" s="1"/>
  <c r="B264" i="23"/>
  <c r="D263" i="23"/>
  <c r="C263" i="23"/>
  <c r="B263" i="23"/>
  <c r="B259" i="23"/>
  <c r="B260" i="23" s="1"/>
  <c r="D258" i="23"/>
  <c r="C258" i="23"/>
  <c r="B258" i="23"/>
  <c r="D257" i="23"/>
  <c r="C257" i="23"/>
  <c r="B257" i="23"/>
  <c r="D256" i="23"/>
  <c r="F81" i="25" s="1"/>
  <c r="C256" i="23"/>
  <c r="B256" i="23"/>
  <c r="D255" i="23"/>
  <c r="F80" i="25" s="1"/>
  <c r="C255" i="23"/>
  <c r="B255" i="23"/>
  <c r="D251" i="23"/>
  <c r="F70" i="25" s="1"/>
  <c r="C251" i="23"/>
  <c r="B251" i="23"/>
  <c r="D250" i="23"/>
  <c r="C250" i="23"/>
  <c r="B250" i="23"/>
  <c r="D249" i="23"/>
  <c r="C249" i="23"/>
  <c r="B249" i="23"/>
  <c r="D248" i="23"/>
  <c r="C248" i="23"/>
  <c r="B248" i="23"/>
  <c r="D247" i="23"/>
  <c r="C247" i="23"/>
  <c r="B247" i="23"/>
  <c r="D246" i="23"/>
  <c r="F69" i="25" s="1"/>
  <c r="C246" i="23"/>
  <c r="B246" i="23"/>
  <c r="D245" i="23"/>
  <c r="F68" i="25" s="1"/>
  <c r="C245" i="23"/>
  <c r="B245" i="23"/>
  <c r="D244" i="23"/>
  <c r="F67" i="25" s="1"/>
  <c r="C244" i="23"/>
  <c r="B244" i="23"/>
  <c r="D240" i="23"/>
  <c r="F57" i="25" s="1"/>
  <c r="C240" i="23"/>
  <c r="D239" i="23"/>
  <c r="C239" i="23"/>
  <c r="B239" i="23"/>
  <c r="D238" i="23"/>
  <c r="C238" i="23"/>
  <c r="B238" i="23"/>
  <c r="D237" i="23"/>
  <c r="C237" i="23"/>
  <c r="B237" i="23"/>
  <c r="D233" i="23"/>
  <c r="F12" i="25" s="1"/>
  <c r="F58" i="25" s="1"/>
  <c r="C233" i="23"/>
  <c r="B233" i="23"/>
  <c r="D232" i="23"/>
  <c r="C232" i="23"/>
  <c r="C234" i="23" s="1"/>
  <c r="B232" i="23"/>
  <c r="D223" i="23"/>
  <c r="C223" i="23"/>
  <c r="B223" i="23"/>
  <c r="D217" i="23"/>
  <c r="C217" i="23"/>
  <c r="B217" i="23"/>
  <c r="D210" i="23"/>
  <c r="C210" i="23"/>
  <c r="B209" i="23"/>
  <c r="B240" i="23" s="1"/>
  <c r="D204" i="23"/>
  <c r="C204" i="23"/>
  <c r="B204" i="23"/>
  <c r="D195" i="23"/>
  <c r="C195" i="23"/>
  <c r="B195" i="23"/>
  <c r="D190" i="23"/>
  <c r="C190" i="23"/>
  <c r="B190" i="23"/>
  <c r="D185" i="23"/>
  <c r="C185" i="23"/>
  <c r="B185" i="23"/>
  <c r="D173" i="23"/>
  <c r="C173" i="23"/>
  <c r="B173" i="23"/>
  <c r="D156" i="23"/>
  <c r="C156" i="23"/>
  <c r="B156" i="23"/>
  <c r="D149" i="23"/>
  <c r="C149" i="23"/>
  <c r="B149" i="23"/>
  <c r="D135" i="23"/>
  <c r="C135" i="23"/>
  <c r="B135" i="23"/>
  <c r="D124" i="23"/>
  <c r="C124" i="23"/>
  <c r="B124" i="23"/>
  <c r="D116" i="23"/>
  <c r="C116" i="23"/>
  <c r="B116" i="23"/>
  <c r="D110" i="23"/>
  <c r="C110" i="23"/>
  <c r="B110" i="23"/>
  <c r="D103" i="23"/>
  <c r="C103" i="23"/>
  <c r="B103" i="23"/>
  <c r="D92" i="23"/>
  <c r="C92" i="23"/>
  <c r="B92" i="23"/>
  <c r="D86" i="23"/>
  <c r="C86" i="23"/>
  <c r="B86" i="23"/>
  <c r="D77" i="23"/>
  <c r="C77" i="23"/>
  <c r="B77" i="23"/>
  <c r="D66" i="23"/>
  <c r="C66" i="23"/>
  <c r="B66" i="23"/>
  <c r="D60" i="23"/>
  <c r="C60" i="23"/>
  <c r="B60" i="23"/>
  <c r="D49" i="23"/>
  <c r="C49" i="23"/>
  <c r="B49" i="23"/>
  <c r="D42" i="23"/>
  <c r="C42" i="23"/>
  <c r="B42" i="23"/>
  <c r="D32" i="23"/>
  <c r="C32" i="23"/>
  <c r="B32" i="23"/>
  <c r="D22" i="23"/>
  <c r="C22" i="23"/>
  <c r="B22" i="23"/>
  <c r="D12" i="23"/>
  <c r="C12" i="23"/>
  <c r="B12" i="23"/>
  <c r="A62" i="17"/>
  <c r="A61" i="17"/>
  <c r="F57" i="2"/>
  <c r="E57" i="2"/>
  <c r="D57" i="2"/>
  <c r="E8" i="1"/>
  <c r="E11" i="1" s="1"/>
  <c r="E14" i="1" s="1"/>
  <c r="E16" i="1" s="1"/>
  <c r="E26" i="1" s="1"/>
  <c r="D8" i="1"/>
  <c r="D11" i="1" s="1"/>
  <c r="D14" i="1" s="1"/>
  <c r="D16" i="1" s="1"/>
  <c r="D26" i="1" s="1"/>
  <c r="E47" i="2"/>
  <c r="F101" i="25" s="1"/>
  <c r="D47" i="2"/>
  <c r="C47" i="2"/>
  <c r="E46" i="2"/>
  <c r="F100" i="25" s="1"/>
  <c r="D46" i="2"/>
  <c r="C46" i="2"/>
  <c r="E45" i="2"/>
  <c r="F99" i="25" s="1"/>
  <c r="D45" i="2"/>
  <c r="C45" i="2"/>
  <c r="E44" i="2"/>
  <c r="F98" i="25" s="1"/>
  <c r="D44" i="2"/>
  <c r="C44" i="2"/>
  <c r="E43" i="2"/>
  <c r="F97" i="25" s="1"/>
  <c r="D43" i="2"/>
  <c r="C43" i="2"/>
  <c r="E37" i="2"/>
  <c r="D37" i="2"/>
  <c r="C37" i="2"/>
  <c r="D29" i="2"/>
  <c r="E24" i="2"/>
  <c r="E29" i="2" s="1"/>
  <c r="E38" i="2" s="1"/>
  <c r="D24" i="2"/>
  <c r="C24" i="2"/>
  <c r="C29" i="2" s="1"/>
  <c r="E16" i="2"/>
  <c r="D16" i="2"/>
  <c r="E10" i="2"/>
  <c r="D10" i="2"/>
  <c r="C10" i="2"/>
  <c r="C16" i="2" s="1"/>
  <c r="C41" i="2"/>
  <c r="E63" i="2"/>
  <c r="D63" i="2"/>
  <c r="A11" i="10"/>
  <c r="A1" i="10"/>
  <c r="A3" i="35"/>
  <c r="A1" i="7"/>
  <c r="A1" i="6"/>
  <c r="A1" i="22"/>
  <c r="A3" i="32"/>
  <c r="A1" i="32"/>
  <c r="A3" i="33"/>
  <c r="A1" i="33"/>
  <c r="A3" i="31"/>
  <c r="A1" i="31"/>
  <c r="A3" i="30"/>
  <c r="A1" i="30"/>
  <c r="A3" i="24"/>
  <c r="A1" i="24"/>
  <c r="A3" i="25"/>
  <c r="A1" i="25"/>
  <c r="A5" i="17"/>
  <c r="A3" i="17"/>
  <c r="A3" i="18"/>
  <c r="A1" i="18"/>
  <c r="A3" i="1"/>
  <c r="A1" i="1"/>
  <c r="D38" i="2" l="1"/>
  <c r="F102" i="25"/>
  <c r="C48" i="2"/>
  <c r="B157" i="23"/>
  <c r="G29" i="24"/>
  <c r="G40" i="24" s="1"/>
  <c r="G43" i="24" s="1"/>
  <c r="G45" i="24" s="1"/>
  <c r="G55" i="24" s="1"/>
  <c r="G116" i="25" s="1"/>
  <c r="C268" i="23"/>
  <c r="D48" i="2"/>
  <c r="E29" i="24"/>
  <c r="E40" i="24" s="1"/>
  <c r="E43" i="24" s="1"/>
  <c r="E45" i="24" s="1"/>
  <c r="E55" i="24" s="1"/>
  <c r="E59" i="24" s="1"/>
  <c r="B52" i="24"/>
  <c r="B252" i="23"/>
  <c r="C38" i="2"/>
  <c r="C157" i="23"/>
  <c r="C269" i="23"/>
  <c r="B261" i="23"/>
  <c r="F59" i="24"/>
  <c r="F116" i="25"/>
  <c r="B52" i="17"/>
  <c r="E52" i="17" s="1"/>
  <c r="B25" i="17"/>
  <c r="E25" i="17" s="1"/>
  <c r="B51" i="24"/>
  <c r="B24" i="17"/>
  <c r="E24" i="17" s="1"/>
  <c r="B51" i="17"/>
  <c r="E51" i="17" s="1"/>
  <c r="C36" i="28"/>
  <c r="C37" i="28" s="1"/>
  <c r="C266" i="23"/>
  <c r="D241" i="23"/>
  <c r="B268" i="23"/>
  <c r="B269" i="23"/>
  <c r="F83" i="25"/>
  <c r="F92" i="25" s="1"/>
  <c r="F122" i="25" s="1"/>
  <c r="D266" i="23"/>
  <c r="D157" i="23"/>
  <c r="D261" i="23"/>
  <c r="B37" i="28"/>
  <c r="B38" i="28" s="1"/>
  <c r="D36" i="28"/>
  <c r="B266" i="23"/>
  <c r="C267" i="23"/>
  <c r="D252" i="23"/>
  <c r="B210" i="23"/>
  <c r="B267" i="23"/>
  <c r="D268" i="23"/>
  <c r="C252" i="23"/>
  <c r="D269" i="23"/>
  <c r="C261" i="23"/>
  <c r="B234" i="23"/>
  <c r="C241" i="23"/>
  <c r="D267" i="23"/>
  <c r="D234" i="23"/>
  <c r="B241" i="23"/>
  <c r="E48" i="2"/>
  <c r="F124" i="25" s="1"/>
  <c r="H18" i="15"/>
  <c r="C24" i="17" l="1"/>
  <c r="C52" i="17"/>
  <c r="D51" i="17"/>
  <c r="D52" i="17"/>
  <c r="C51" i="17"/>
  <c r="E116" i="25"/>
  <c r="D25" i="17"/>
  <c r="D24" i="17"/>
  <c r="C25" i="17"/>
  <c r="C38" i="28"/>
  <c r="C39" i="28" s="1"/>
  <c r="C40" i="28" s="1"/>
  <c r="D37" i="28"/>
  <c r="D38" i="28" s="1"/>
  <c r="B39" i="28"/>
  <c r="B40" i="28" s="1"/>
  <c r="D41" i="2"/>
  <c r="E41" i="2"/>
  <c r="C6" i="29" l="1"/>
  <c r="B6" i="29"/>
  <c r="D39" i="28"/>
  <c r="D40" i="28" s="1"/>
  <c r="C15" i="35"/>
  <c r="D15" i="35"/>
  <c r="E15" i="35"/>
  <c r="B15" i="35"/>
  <c r="H42" i="15"/>
  <c r="I42" i="15" s="1"/>
  <c r="H43" i="15"/>
  <c r="I43" i="15" s="1"/>
  <c r="H44" i="15"/>
  <c r="I44" i="15" s="1"/>
  <c r="H45" i="15"/>
  <c r="I45" i="15" s="1"/>
  <c r="I46" i="15"/>
  <c r="I47" i="15"/>
  <c r="H48" i="15"/>
  <c r="I48" i="15" s="1"/>
  <c r="H51" i="15"/>
  <c r="I51" i="15" s="1"/>
  <c r="H52" i="15"/>
  <c r="I52" i="15" s="1"/>
  <c r="H53" i="15"/>
  <c r="I53" i="15" s="1"/>
  <c r="H54" i="15"/>
  <c r="I54" i="15" s="1"/>
  <c r="H55" i="15"/>
  <c r="I55" i="15" s="1"/>
  <c r="H56" i="15"/>
  <c r="I56" i="15" s="1"/>
  <c r="H57" i="15"/>
  <c r="I57" i="15" s="1"/>
  <c r="I58" i="15"/>
  <c r="H61" i="15"/>
  <c r="I61" i="15" s="1"/>
  <c r="H62" i="15"/>
  <c r="I62" i="15" s="1"/>
  <c r="H63" i="15"/>
  <c r="I63" i="15" s="1"/>
  <c r="H64" i="15"/>
  <c r="I64" i="15" s="1"/>
  <c r="H65" i="15"/>
  <c r="I65" i="15" s="1"/>
  <c r="H66" i="15"/>
  <c r="I66" i="15" s="1"/>
  <c r="H67" i="15"/>
  <c r="I67" i="15" s="1"/>
  <c r="H68" i="15"/>
  <c r="I68" i="15" s="1"/>
  <c r="H69" i="15"/>
  <c r="I69" i="15" s="1"/>
  <c r="H70" i="15"/>
  <c r="I70" i="15" s="1"/>
  <c r="I71" i="15"/>
  <c r="H41" i="15"/>
  <c r="I41" i="15" s="1"/>
  <c r="H40" i="15"/>
  <c r="I40" i="15" s="1"/>
  <c r="H39" i="15"/>
  <c r="I39" i="15" s="1"/>
  <c r="H33" i="15"/>
  <c r="H29" i="15"/>
  <c r="H26" i="15"/>
  <c r="H24" i="15"/>
  <c r="H22" i="15"/>
  <c r="H21" i="15"/>
  <c r="I21" i="15" s="1"/>
  <c r="H15" i="15"/>
  <c r="C10" i="29" l="1"/>
  <c r="D6" i="29"/>
  <c r="F20" i="14"/>
  <c r="G20" i="14" s="1"/>
  <c r="H20" i="14" s="1"/>
  <c r="I20" i="14" s="1"/>
  <c r="F14" i="14"/>
  <c r="G14" i="14" s="1"/>
  <c r="H14" i="14" s="1"/>
  <c r="I14" i="14" s="1"/>
  <c r="F13" i="14"/>
  <c r="G13" i="14" s="1"/>
  <c r="H13" i="14" s="1"/>
  <c r="I13" i="14" s="1"/>
  <c r="H8" i="14"/>
  <c r="F8" i="14"/>
  <c r="F21" i="14"/>
  <c r="G21" i="14" s="1"/>
  <c r="H21" i="14" s="1"/>
  <c r="I21" i="14" s="1"/>
  <c r="F22" i="14"/>
  <c r="F23" i="14"/>
  <c r="G23" i="14" s="1"/>
  <c r="H23" i="14" s="1"/>
  <c r="I23" i="14" s="1"/>
  <c r="F24" i="14"/>
  <c r="G24" i="14" s="1"/>
  <c r="H24" i="14" s="1"/>
  <c r="I24" i="14" s="1"/>
  <c r="F25" i="14"/>
  <c r="G25" i="14" s="1"/>
  <c r="H25" i="14" s="1"/>
  <c r="I25" i="14" s="1"/>
  <c r="B62" i="7"/>
  <c r="C62" i="7"/>
  <c r="D62" i="7"/>
  <c r="B63" i="7"/>
  <c r="C63" i="7"/>
  <c r="D63" i="7"/>
  <c r="B64" i="7"/>
  <c r="C64" i="7"/>
  <c r="D64" i="7"/>
  <c r="B97" i="7"/>
  <c r="C97" i="7"/>
  <c r="D97" i="7"/>
  <c r="B31" i="6"/>
  <c r="C31" i="6"/>
  <c r="D31" i="6"/>
  <c r="B42" i="6"/>
  <c r="C42" i="6"/>
  <c r="D42" i="6"/>
  <c r="B46" i="6"/>
  <c r="C46" i="6"/>
  <c r="D46" i="6"/>
  <c r="B48" i="6"/>
  <c r="C48" i="6"/>
  <c r="D48" i="6"/>
  <c r="B49" i="6"/>
  <c r="C49" i="6"/>
  <c r="D49" i="6"/>
  <c r="B50" i="6"/>
  <c r="C50" i="6"/>
  <c r="D50" i="6"/>
  <c r="B58" i="6"/>
  <c r="C58" i="6"/>
  <c r="D58" i="6"/>
  <c r="D10" i="29" l="1"/>
  <c r="B41" i="24"/>
  <c r="E55" i="31" l="1"/>
  <c r="F55" i="31"/>
  <c r="G55" i="31"/>
  <c r="B53" i="24"/>
  <c r="B42" i="24"/>
  <c r="B44" i="24"/>
  <c r="E40" i="31"/>
  <c r="F40" i="31"/>
  <c r="G40" i="31"/>
  <c r="F27" i="31"/>
  <c r="D40" i="22" s="1"/>
  <c r="G27" i="31"/>
  <c r="E40" i="22" s="1"/>
  <c r="E27" i="31"/>
  <c r="C40" i="22" s="1"/>
  <c r="A36" i="24"/>
  <c r="A37" i="24"/>
  <c r="A38" i="24"/>
  <c r="E37" i="31"/>
  <c r="F37" i="31"/>
  <c r="G37" i="31"/>
  <c r="E38" i="31"/>
  <c r="F38" i="31"/>
  <c r="G38" i="31"/>
  <c r="E39" i="31"/>
  <c r="F39" i="31"/>
  <c r="G39" i="31"/>
  <c r="F24" i="31"/>
  <c r="D37" i="22" s="1"/>
  <c r="G24" i="31"/>
  <c r="E37" i="22" s="1"/>
  <c r="E24" i="31"/>
  <c r="C37" i="22" s="1"/>
  <c r="A24" i="24"/>
  <c r="A31" i="24"/>
  <c r="E32" i="31"/>
  <c r="F32" i="31"/>
  <c r="G32" i="31"/>
  <c r="A32" i="24"/>
  <c r="E33" i="31"/>
  <c r="F33" i="31"/>
  <c r="G33" i="31"/>
  <c r="A33" i="24"/>
  <c r="E34" i="31"/>
  <c r="F34" i="31"/>
  <c r="G34" i="31"/>
  <c r="A34" i="24"/>
  <c r="E35" i="31"/>
  <c r="F35" i="31"/>
  <c r="G35" i="31"/>
  <c r="A35" i="24"/>
  <c r="E36" i="31"/>
  <c r="F36" i="31"/>
  <c r="G36" i="31"/>
  <c r="A23" i="24"/>
  <c r="E23" i="31"/>
  <c r="C36" i="22" s="1"/>
  <c r="F23" i="31"/>
  <c r="D36" i="22" s="1"/>
  <c r="G23" i="31"/>
  <c r="E36" i="22" s="1"/>
  <c r="F22" i="31"/>
  <c r="D35" i="22" s="1"/>
  <c r="G22" i="31"/>
  <c r="E35" i="22" s="1"/>
  <c r="E22" i="31"/>
  <c r="C35" i="22" s="1"/>
  <c r="A22" i="24"/>
  <c r="A16" i="24"/>
  <c r="E16" i="31"/>
  <c r="F16" i="31"/>
  <c r="G16" i="31"/>
  <c r="A17" i="24"/>
  <c r="E17" i="31"/>
  <c r="F17" i="31"/>
  <c r="G17" i="31"/>
  <c r="A18" i="24"/>
  <c r="E18" i="31"/>
  <c r="F18" i="31"/>
  <c r="G18" i="31"/>
  <c r="A19" i="24"/>
  <c r="E19" i="31"/>
  <c r="F19" i="31"/>
  <c r="G19" i="31"/>
  <c r="A20" i="24"/>
  <c r="E20" i="31"/>
  <c r="F20" i="31"/>
  <c r="G20" i="31"/>
  <c r="A21" i="24"/>
  <c r="E21" i="31"/>
  <c r="C34" i="22" s="1"/>
  <c r="F21" i="31"/>
  <c r="D34" i="22" s="1"/>
  <c r="G21" i="31"/>
  <c r="E34" i="22" s="1"/>
  <c r="F14" i="31"/>
  <c r="G14" i="31"/>
  <c r="E14" i="31"/>
  <c r="A14" i="24"/>
  <c r="D6" i="31"/>
  <c r="E6" i="31"/>
  <c r="F6" i="31"/>
  <c r="G6" i="31"/>
  <c r="D7" i="31"/>
  <c r="E7" i="31"/>
  <c r="F7" i="31"/>
  <c r="G7" i="31"/>
  <c r="D8" i="31"/>
  <c r="E8" i="31"/>
  <c r="F8" i="31"/>
  <c r="G8" i="31"/>
  <c r="D9" i="31"/>
  <c r="E9" i="31"/>
  <c r="F9" i="31"/>
  <c r="G9" i="31"/>
  <c r="D10" i="31"/>
  <c r="E10" i="31"/>
  <c r="F10" i="31"/>
  <c r="G10" i="31"/>
  <c r="D11" i="31"/>
  <c r="E11" i="31"/>
  <c r="F11" i="31"/>
  <c r="G11" i="31"/>
  <c r="A6" i="24"/>
  <c r="A7" i="24"/>
  <c r="A8" i="24"/>
  <c r="A9" i="24"/>
  <c r="A10" i="24"/>
  <c r="A11" i="24"/>
  <c r="E107" i="25" l="1"/>
  <c r="E108" i="25"/>
  <c r="E109" i="25"/>
  <c r="E106" i="25"/>
  <c r="E62" i="25"/>
  <c r="E63" i="30" s="1"/>
  <c r="F63" i="30"/>
  <c r="G63" i="30"/>
  <c r="E63" i="25"/>
  <c r="E64" i="30" s="1"/>
  <c r="F64" i="30"/>
  <c r="G64" i="30"/>
  <c r="E64" i="25"/>
  <c r="E65" i="30" s="1"/>
  <c r="F65" i="30"/>
  <c r="G65" i="30"/>
  <c r="E65" i="25"/>
  <c r="E66" i="30" s="1"/>
  <c r="F66" i="30"/>
  <c r="G66" i="30"/>
  <c r="E66" i="25"/>
  <c r="E71" i="25"/>
  <c r="E72" i="30" s="1"/>
  <c r="F72" i="30"/>
  <c r="G72" i="30"/>
  <c r="E72" i="25"/>
  <c r="E73" i="30" s="1"/>
  <c r="F73" i="30"/>
  <c r="G73" i="30"/>
  <c r="E73" i="25"/>
  <c r="E74" i="30" s="1"/>
  <c r="F74" i="30"/>
  <c r="G74" i="30"/>
  <c r="E74" i="25"/>
  <c r="E75" i="30" s="1"/>
  <c r="F75" i="30"/>
  <c r="G75" i="30"/>
  <c r="E75" i="25"/>
  <c r="E76" i="30" s="1"/>
  <c r="F76" i="30"/>
  <c r="G76" i="30"/>
  <c r="E76" i="25"/>
  <c r="E77" i="30" s="1"/>
  <c r="F77" i="30"/>
  <c r="G77" i="30"/>
  <c r="E77" i="25"/>
  <c r="E78" i="30" s="1"/>
  <c r="F78" i="30"/>
  <c r="G78" i="30"/>
  <c r="E78" i="25"/>
  <c r="E79" i="30" s="1"/>
  <c r="F79" i="30"/>
  <c r="G79" i="30"/>
  <c r="E79" i="25"/>
  <c r="E80" i="30" s="1"/>
  <c r="F80" i="30"/>
  <c r="G80" i="30"/>
  <c r="E85" i="25"/>
  <c r="E86" i="25"/>
  <c r="E89" i="30" s="1"/>
  <c r="E102" i="30" s="1"/>
  <c r="F89" i="30"/>
  <c r="F102" i="30" s="1"/>
  <c r="G89" i="30"/>
  <c r="G102" i="30" s="1"/>
  <c r="E87" i="25"/>
  <c r="E90" i="30" s="1"/>
  <c r="E103" i="30" s="1"/>
  <c r="F90" i="30"/>
  <c r="F103" i="30" s="1"/>
  <c r="E88" i="25"/>
  <c r="E91" i="30" s="1"/>
  <c r="E104" i="30" s="1"/>
  <c r="F91" i="30"/>
  <c r="F104" i="30" s="1"/>
  <c r="G91" i="30"/>
  <c r="G104" i="30" s="1"/>
  <c r="E89" i="25"/>
  <c r="E92" i="30" s="1"/>
  <c r="E105" i="30" s="1"/>
  <c r="F92" i="30"/>
  <c r="F105" i="30" s="1"/>
  <c r="G92" i="30"/>
  <c r="G105" i="30" s="1"/>
  <c r="E90" i="25"/>
  <c r="E44" i="25"/>
  <c r="E45" i="25"/>
  <c r="E46" i="30" s="1"/>
  <c r="F46" i="30"/>
  <c r="G46" i="30"/>
  <c r="E46" i="25"/>
  <c r="E47" i="30" s="1"/>
  <c r="F47" i="30"/>
  <c r="G47" i="30"/>
  <c r="E47" i="25"/>
  <c r="E48" i="30" s="1"/>
  <c r="F48" i="30"/>
  <c r="G48" i="30"/>
  <c r="E48" i="25"/>
  <c r="E49" i="30" s="1"/>
  <c r="F49" i="30"/>
  <c r="G49" i="30"/>
  <c r="E49" i="25"/>
  <c r="E50" i="30" s="1"/>
  <c r="F50" i="30"/>
  <c r="G50" i="30"/>
  <c r="E50" i="25"/>
  <c r="E51" i="30" s="1"/>
  <c r="F51" i="30"/>
  <c r="G51" i="30"/>
  <c r="E51" i="25"/>
  <c r="E52" i="30" s="1"/>
  <c r="F52" i="30"/>
  <c r="G52" i="30"/>
  <c r="E52" i="25"/>
  <c r="E53" i="25"/>
  <c r="E54" i="30" s="1"/>
  <c r="F54" i="30"/>
  <c r="G54" i="30"/>
  <c r="E54" i="25"/>
  <c r="E55" i="30" s="1"/>
  <c r="F55" i="30"/>
  <c r="G55" i="30"/>
  <c r="E55" i="25"/>
  <c r="E56" i="25"/>
  <c r="E57" i="30" s="1"/>
  <c r="F57" i="30"/>
  <c r="G57" i="30"/>
  <c r="E19" i="25"/>
  <c r="E20" i="30" s="1"/>
  <c r="F20" i="30"/>
  <c r="G20" i="30"/>
  <c r="E20" i="25"/>
  <c r="E21" i="25"/>
  <c r="E22" i="30" s="1"/>
  <c r="F22" i="30"/>
  <c r="G22" i="30"/>
  <c r="E22" i="25"/>
  <c r="E23" i="30" s="1"/>
  <c r="F23" i="30"/>
  <c r="G23" i="30"/>
  <c r="E23" i="25"/>
  <c r="E24" i="30" s="1"/>
  <c r="F24" i="30"/>
  <c r="G24" i="30"/>
  <c r="E24" i="25"/>
  <c r="E25" i="30" s="1"/>
  <c r="F25" i="30"/>
  <c r="G25" i="30"/>
  <c r="E25" i="25"/>
  <c r="E26" i="30" s="1"/>
  <c r="F26" i="30"/>
  <c r="G26" i="30"/>
  <c r="E26" i="25"/>
  <c r="E27" i="30" s="1"/>
  <c r="E27" i="25"/>
  <c r="E28" i="30" s="1"/>
  <c r="F28" i="30"/>
  <c r="G28" i="30"/>
  <c r="E28" i="25"/>
  <c r="E29" i="30" s="1"/>
  <c r="F29" i="30"/>
  <c r="G29" i="30"/>
  <c r="E29" i="25"/>
  <c r="E30" i="30" s="1"/>
  <c r="F30" i="30"/>
  <c r="G30" i="30"/>
  <c r="E30" i="25"/>
  <c r="E31" i="30" s="1"/>
  <c r="F31" i="30"/>
  <c r="G31" i="30"/>
  <c r="E31" i="25"/>
  <c r="E32" i="30" s="1"/>
  <c r="F32" i="30"/>
  <c r="G32" i="30"/>
  <c r="E32" i="25"/>
  <c r="E33" i="30" s="1"/>
  <c r="F33" i="30"/>
  <c r="G33" i="30"/>
  <c r="E33" i="25"/>
  <c r="E34" i="30" s="1"/>
  <c r="F34" i="30"/>
  <c r="G34" i="30"/>
  <c r="E34" i="25"/>
  <c r="E35" i="30" s="1"/>
  <c r="F35" i="30"/>
  <c r="G35" i="30"/>
  <c r="E35" i="25"/>
  <c r="E36" i="30" s="1"/>
  <c r="F36" i="30"/>
  <c r="G36" i="30"/>
  <c r="E36" i="25"/>
  <c r="E37" i="30" s="1"/>
  <c r="F37" i="30"/>
  <c r="G37" i="30"/>
  <c r="E37" i="25"/>
  <c r="E38" i="30" s="1"/>
  <c r="F38" i="30"/>
  <c r="G38" i="30"/>
  <c r="E38" i="25"/>
  <c r="E39" i="30" s="1"/>
  <c r="F39" i="30"/>
  <c r="G39" i="30"/>
  <c r="E39" i="25"/>
  <c r="E40" i="30" s="1"/>
  <c r="F40" i="30"/>
  <c r="G40" i="30"/>
  <c r="E40" i="25"/>
  <c r="E41" i="30" s="1"/>
  <c r="F41" i="30"/>
  <c r="G41" i="30"/>
  <c r="E41" i="25"/>
  <c r="E42" i="30" s="1"/>
  <c r="F42" i="30"/>
  <c r="G42" i="30"/>
  <c r="E6" i="25"/>
  <c r="E7" i="25"/>
  <c r="E8" i="25"/>
  <c r="E9" i="25"/>
  <c r="E9" i="30" s="1"/>
  <c r="F9" i="30"/>
  <c r="G9" i="30"/>
  <c r="E10" i="25"/>
  <c r="E11" i="25"/>
  <c r="E13" i="25"/>
  <c r="E14" i="25"/>
  <c r="E15" i="25"/>
  <c r="E16" i="25"/>
  <c r="E17" i="25"/>
  <c r="E18" i="25"/>
  <c r="E18" i="30" s="1"/>
  <c r="F18" i="30"/>
  <c r="G18" i="30"/>
  <c r="F27" i="30" l="1"/>
  <c r="E111" i="25"/>
  <c r="G27" i="30"/>
  <c r="G90" i="30"/>
  <c r="G103" i="30" s="1"/>
  <c r="E91" i="25"/>
  <c r="A81" i="25"/>
  <c r="E249" i="23"/>
  <c r="E264" i="23" l="1"/>
  <c r="E259" i="23" s="1"/>
  <c r="E70" i="25"/>
  <c r="E71" i="30" s="1"/>
  <c r="F71" i="30"/>
  <c r="E251" i="23"/>
  <c r="E248" i="23"/>
  <c r="D70" i="25"/>
  <c r="D71" i="30" s="1"/>
  <c r="E258" i="23"/>
  <c r="E250" i="23"/>
  <c r="G70" i="25" l="1"/>
  <c r="G71" i="30" s="1"/>
  <c r="E82" i="25"/>
  <c r="E85" i="30" s="1"/>
  <c r="D82" i="25"/>
  <c r="D85" i="30" s="1"/>
  <c r="E260" i="23"/>
  <c r="F85" i="30"/>
  <c r="E240" i="23"/>
  <c r="G57" i="25" s="1"/>
  <c r="E239" i="23"/>
  <c r="E268" i="23" s="1"/>
  <c r="D57" i="25"/>
  <c r="E257" i="23"/>
  <c r="E269" i="23" s="1"/>
  <c r="E263" i="23"/>
  <c r="E247" i="23"/>
  <c r="D81" i="25"/>
  <c r="D84" i="30" s="1"/>
  <c r="E81" i="25"/>
  <c r="E84" i="30" s="1"/>
  <c r="F84" i="30"/>
  <c r="E256" i="23"/>
  <c r="E80" i="25"/>
  <c r="E83" i="30" s="1"/>
  <c r="F83" i="30"/>
  <c r="E255" i="23"/>
  <c r="D80" i="25"/>
  <c r="D83" i="30" s="1"/>
  <c r="D68" i="25"/>
  <c r="E68" i="25"/>
  <c r="E245" i="23"/>
  <c r="G68" i="25" s="1"/>
  <c r="D69" i="25"/>
  <c r="E69" i="25"/>
  <c r="E246" i="23"/>
  <c r="G69" i="25" s="1"/>
  <c r="E67" i="25"/>
  <c r="E244" i="23"/>
  <c r="G67" i="25" s="1"/>
  <c r="D67" i="25"/>
  <c r="E238" i="23"/>
  <c r="E237" i="23"/>
  <c r="E267" i="23" s="1"/>
  <c r="D12" i="25"/>
  <c r="D12" i="30" s="1"/>
  <c r="E12" i="25"/>
  <c r="E12" i="30" s="1"/>
  <c r="F12" i="30"/>
  <c r="E232" i="23"/>
  <c r="G81" i="25" l="1"/>
  <c r="G84" i="30" s="1"/>
  <c r="G80" i="25"/>
  <c r="G83" i="30" s="1"/>
  <c r="G82" i="25"/>
  <c r="G85" i="30" s="1"/>
  <c r="G12" i="25"/>
  <c r="G58" i="25" s="1"/>
  <c r="E83" i="25"/>
  <c r="E92" i="25" s="1"/>
  <c r="E266" i="23"/>
  <c r="E241" i="23"/>
  <c r="E234" i="23"/>
  <c r="E261" i="23"/>
  <c r="E252" i="23"/>
  <c r="E57" i="25"/>
  <c r="G83" i="25" l="1"/>
  <c r="G92" i="25" s="1"/>
  <c r="G122" i="25" s="1"/>
  <c r="G12" i="30"/>
  <c r="D86" i="25"/>
  <c r="D89" i="30" s="1"/>
  <c r="D102" i="30" s="1"/>
  <c r="D87" i="25"/>
  <c r="D90" i="30" s="1"/>
  <c r="D103" i="30" s="1"/>
  <c r="D88" i="25"/>
  <c r="D91" i="30" s="1"/>
  <c r="D104" i="30" s="1"/>
  <c r="D89" i="25"/>
  <c r="D92" i="30" s="1"/>
  <c r="D105" i="30" s="1"/>
  <c r="D90" i="25"/>
  <c r="A80" i="25"/>
  <c r="D79" i="25"/>
  <c r="D80" i="30" s="1"/>
  <c r="A79" i="25"/>
  <c r="D78" i="25"/>
  <c r="D79" i="30" s="1"/>
  <c r="A78" i="25"/>
  <c r="A77" i="25"/>
  <c r="D77" i="25"/>
  <c r="D78" i="30" s="1"/>
  <c r="D73" i="25" l="1"/>
  <c r="D74" i="30" s="1"/>
  <c r="D74" i="25"/>
  <c r="D75" i="30" s="1"/>
  <c r="D75" i="25"/>
  <c r="D76" i="30" s="1"/>
  <c r="D76" i="25"/>
  <c r="D77" i="30" s="1"/>
  <c r="D72" i="25"/>
  <c r="D73" i="30" s="1"/>
  <c r="A73" i="25"/>
  <c r="A74" i="25"/>
  <c r="A75" i="25"/>
  <c r="A76" i="25"/>
  <c r="A72" i="25"/>
  <c r="D71" i="25"/>
  <c r="D72" i="30" s="1"/>
  <c r="A68" i="25"/>
  <c r="A69" i="25"/>
  <c r="A70" i="25"/>
  <c r="A67" i="25"/>
  <c r="D64" i="25" l="1"/>
  <c r="D65" i="30" s="1"/>
  <c r="D65" i="25"/>
  <c r="D66" i="30" s="1"/>
  <c r="D63" i="25"/>
  <c r="D64" i="30" s="1"/>
  <c r="A64" i="25"/>
  <c r="A65" i="25"/>
  <c r="A63" i="25"/>
  <c r="D62" i="25"/>
  <c r="D63" i="30" s="1"/>
  <c r="B62" i="25"/>
  <c r="D56" i="25"/>
  <c r="D57" i="30" s="1"/>
  <c r="A56" i="25"/>
  <c r="D55" i="25"/>
  <c r="A55" i="25"/>
  <c r="D45" i="25"/>
  <c r="D46" i="30" s="1"/>
  <c r="D46" i="25"/>
  <c r="D47" i="30" s="1"/>
  <c r="D47" i="25"/>
  <c r="D48" i="30" s="1"/>
  <c r="D48" i="25"/>
  <c r="D49" i="30" s="1"/>
  <c r="D49" i="25"/>
  <c r="D50" i="30" s="1"/>
  <c r="D50" i="25"/>
  <c r="D51" i="30" s="1"/>
  <c r="D51" i="25"/>
  <c r="D52" i="30" s="1"/>
  <c r="D52" i="25"/>
  <c r="D53" i="25"/>
  <c r="D54" i="30" s="1"/>
  <c r="D54" i="25"/>
  <c r="D55" i="30" s="1"/>
  <c r="D44" i="25"/>
  <c r="A45" i="25"/>
  <c r="A46" i="25"/>
  <c r="A47" i="25"/>
  <c r="A48" i="25"/>
  <c r="A49" i="25"/>
  <c r="A50" i="25"/>
  <c r="A51" i="25"/>
  <c r="A52" i="25"/>
  <c r="A53" i="25"/>
  <c r="A54" i="25"/>
  <c r="A44" i="25"/>
  <c r="A38" i="25"/>
  <c r="D38" i="25"/>
  <c r="D39" i="30" s="1"/>
  <c r="A39" i="25"/>
  <c r="D39" i="25"/>
  <c r="D40" i="30" s="1"/>
  <c r="A40" i="25"/>
  <c r="D40" i="25"/>
  <c r="D41" i="30" s="1"/>
  <c r="A41" i="25"/>
  <c r="D41" i="25"/>
  <c r="D42" i="30" s="1"/>
  <c r="A33" i="25"/>
  <c r="D33" i="25"/>
  <c r="D34" i="30" s="1"/>
  <c r="A34" i="25"/>
  <c r="D34" i="25"/>
  <c r="D35" i="30" s="1"/>
  <c r="A35" i="25"/>
  <c r="D35" i="25"/>
  <c r="D36" i="30" s="1"/>
  <c r="A36" i="25"/>
  <c r="D36" i="25"/>
  <c r="D37" i="30" s="1"/>
  <c r="A37" i="25"/>
  <c r="D37" i="25"/>
  <c r="D38" i="30" s="1"/>
  <c r="D32" i="25"/>
  <c r="D33" i="30" s="1"/>
  <c r="A32" i="25"/>
  <c r="D27" i="25"/>
  <c r="D28" i="30" s="1"/>
  <c r="D28" i="25"/>
  <c r="D29" i="30" s="1"/>
  <c r="D29" i="25"/>
  <c r="D30" i="30" s="1"/>
  <c r="D30" i="25"/>
  <c r="D31" i="30" s="1"/>
  <c r="D31" i="25"/>
  <c r="D32" i="30" s="1"/>
  <c r="D26" i="25"/>
  <c r="D27" i="30" s="1"/>
  <c r="A27" i="25"/>
  <c r="A28" i="25"/>
  <c r="A29" i="25"/>
  <c r="A30" i="25"/>
  <c r="A31" i="25"/>
  <c r="A26" i="25"/>
  <c r="A20" i="25"/>
  <c r="D20" i="25"/>
  <c r="A21" i="25"/>
  <c r="D21" i="25"/>
  <c r="D22" i="30" s="1"/>
  <c r="A22" i="25"/>
  <c r="D22" i="25"/>
  <c r="D23" i="30" s="1"/>
  <c r="A23" i="25"/>
  <c r="D23" i="25"/>
  <c r="D24" i="30" s="1"/>
  <c r="A24" i="25"/>
  <c r="D24" i="25"/>
  <c r="D25" i="30" s="1"/>
  <c r="A25" i="25"/>
  <c r="D25" i="25"/>
  <c r="D26" i="30" s="1"/>
  <c r="D19" i="25"/>
  <c r="D20" i="30" s="1"/>
  <c r="A19" i="25"/>
  <c r="D14" i="25"/>
  <c r="D15" i="25"/>
  <c r="D16" i="25"/>
  <c r="D17" i="25"/>
  <c r="D18" i="25"/>
  <c r="D18" i="30" s="1"/>
  <c r="A14" i="25"/>
  <c r="A15" i="25"/>
  <c r="A16" i="25"/>
  <c r="A17" i="25"/>
  <c r="A18" i="25"/>
  <c r="A13" i="25"/>
  <c r="B12" i="25"/>
  <c r="D11" i="25"/>
  <c r="A11" i="25"/>
  <c r="A10" i="25"/>
  <c r="D9" i="25"/>
  <c r="D9" i="30" s="1"/>
  <c r="D8" i="25"/>
  <c r="D7" i="25"/>
  <c r="A9" i="25"/>
  <c r="A7" i="25"/>
  <c r="A8" i="25"/>
  <c r="A6" i="25"/>
  <c r="E156" i="23"/>
  <c r="E195" i="23"/>
  <c r="E149" i="23"/>
  <c r="E135" i="23"/>
  <c r="E157" i="23" l="1"/>
  <c r="B63" i="30"/>
  <c r="B52" i="30"/>
  <c r="B12" i="30"/>
  <c r="B53" i="30"/>
  <c r="E223" i="23"/>
  <c r="E210" i="23"/>
  <c r="B53" i="33" l="1"/>
  <c r="B151" i="33"/>
  <c r="B12" i="33"/>
  <c r="B110" i="33"/>
  <c r="B63" i="33"/>
  <c r="B161" i="33"/>
  <c r="B52" i="33"/>
  <c r="B150" i="33"/>
  <c r="E124" i="23"/>
  <c r="E116" i="23"/>
  <c r="E110" i="23"/>
  <c r="E103" i="23"/>
  <c r="E92" i="23"/>
  <c r="E86" i="23"/>
  <c r="E77" i="23"/>
  <c r="E66" i="23"/>
  <c r="E60" i="23"/>
  <c r="E42" i="23"/>
  <c r="E32" i="23"/>
  <c r="E12" i="23"/>
  <c r="E110" i="33" l="1"/>
  <c r="F110" i="33"/>
  <c r="C110" i="33"/>
  <c r="D110" i="33"/>
  <c r="E12" i="33"/>
  <c r="C12" i="33"/>
  <c r="F12" i="33"/>
  <c r="D12" i="33"/>
  <c r="C161" i="33"/>
  <c r="F161" i="33"/>
  <c r="B17" i="34" s="1"/>
  <c r="C17" i="34" s="1"/>
  <c r="E161" i="33"/>
  <c r="D161" i="33"/>
  <c r="E150" i="33"/>
  <c r="F150" i="33"/>
  <c r="B13" i="34" s="1"/>
  <c r="C13" i="34" s="1"/>
  <c r="C150" i="33"/>
  <c r="D150" i="33"/>
  <c r="F52" i="33"/>
  <c r="C52" i="33"/>
  <c r="D52" i="33"/>
  <c r="E52" i="33"/>
  <c r="C63" i="33"/>
  <c r="E63" i="33"/>
  <c r="C65" i="7" s="1"/>
  <c r="D63" i="33"/>
  <c r="B65" i="7" s="1"/>
  <c r="F63" i="33"/>
  <c r="D65" i="7" s="1"/>
  <c r="E53" i="33"/>
  <c r="C55" i="7" s="1"/>
  <c r="C53" i="33"/>
  <c r="D53" i="33"/>
  <c r="B55" i="7" s="1"/>
  <c r="F53" i="33"/>
  <c r="D55" i="7" s="1"/>
  <c r="E49" i="23"/>
  <c r="B50" i="17"/>
  <c r="D50" i="17" s="1"/>
  <c r="B27" i="17"/>
  <c r="E27" i="17" s="1"/>
  <c r="B26" i="17"/>
  <c r="E26" i="17" s="1"/>
  <c r="B22" i="17"/>
  <c r="E22" i="17" s="1"/>
  <c r="B55" i="18"/>
  <c r="F55" i="18" s="1"/>
  <c r="B54" i="18"/>
  <c r="C54" i="18" s="1"/>
  <c r="B53" i="18"/>
  <c r="E53" i="18" s="1"/>
  <c r="B52" i="18"/>
  <c r="F52" i="18" s="1"/>
  <c r="B51" i="18"/>
  <c r="F51" i="18" s="1"/>
  <c r="B50" i="18"/>
  <c r="D50" i="18" s="1"/>
  <c r="B62" i="18"/>
  <c r="E62" i="18" s="1"/>
  <c r="E50" i="17" l="1"/>
  <c r="C50" i="17"/>
  <c r="C22" i="17"/>
  <c r="C26" i="17"/>
  <c r="C27" i="17"/>
  <c r="D22" i="17"/>
  <c r="D26" i="17"/>
  <c r="D27" i="17"/>
  <c r="D51" i="18"/>
  <c r="E52" i="18"/>
  <c r="D55" i="18"/>
  <c r="C52" i="18"/>
  <c r="E50" i="18"/>
  <c r="D52" i="18"/>
  <c r="F53" i="18"/>
  <c r="E54" i="18"/>
  <c r="F50" i="18"/>
  <c r="E51" i="18"/>
  <c r="C53" i="18"/>
  <c r="C50" i="18"/>
  <c r="D53" i="18"/>
  <c r="C51" i="18"/>
  <c r="D54" i="18"/>
  <c r="C55" i="18"/>
  <c r="F54" i="18"/>
  <c r="E55" i="18"/>
  <c r="F62" i="18"/>
  <c r="C62" i="18"/>
  <c r="D62" i="18"/>
  <c r="F8" i="1" l="1"/>
  <c r="F11" i="1" s="1"/>
  <c r="H28" i="15" l="1"/>
  <c r="H27" i="15"/>
  <c r="I22" i="15"/>
  <c r="H35" i="15"/>
  <c r="I35" i="15" s="1"/>
  <c r="I26" i="15"/>
  <c r="H23" i="15"/>
  <c r="I23" i="15" s="1"/>
  <c r="H16" i="15"/>
  <c r="H13" i="15"/>
  <c r="D5" i="31" l="1"/>
  <c r="B4" i="22" l="1"/>
  <c r="B20" i="22" s="1"/>
  <c r="B47" i="22" s="1"/>
  <c r="C3" i="1"/>
  <c r="B23" i="22" l="1"/>
  <c r="C3" i="18"/>
  <c r="D3" i="24"/>
  <c r="D3" i="31" s="1"/>
  <c r="A4" i="35"/>
  <c r="C28" i="35"/>
  <c r="D27" i="35"/>
  <c r="E27" i="35" s="1"/>
  <c r="E28" i="35" s="1"/>
  <c r="E14" i="35"/>
  <c r="D14" i="35"/>
  <c r="C14" i="35"/>
  <c r="B3" i="13" l="1"/>
  <c r="B3" i="22"/>
  <c r="B3" i="35" s="1"/>
  <c r="C3" i="32"/>
  <c r="C63" i="32" s="1"/>
  <c r="E16" i="35"/>
  <c r="D16" i="35"/>
  <c r="D28" i="35"/>
  <c r="H37" i="15"/>
  <c r="I37" i="15" s="1"/>
  <c r="B3" i="15" l="1"/>
  <c r="F109" i="32"/>
  <c r="E109" i="32"/>
  <c r="D109" i="32"/>
  <c r="F107" i="32"/>
  <c r="E107" i="32"/>
  <c r="D107" i="32"/>
  <c r="F73" i="32"/>
  <c r="E73" i="32"/>
  <c r="D73" i="32"/>
  <c r="F185" i="33"/>
  <c r="E185" i="33"/>
  <c r="D185" i="33"/>
  <c r="F184" i="33"/>
  <c r="E184" i="33"/>
  <c r="D184" i="33"/>
  <c r="F87" i="33"/>
  <c r="D89" i="7" s="1"/>
  <c r="E87" i="33"/>
  <c r="C89" i="7" s="1"/>
  <c r="D87" i="33"/>
  <c r="B89" i="7" s="1"/>
  <c r="F86" i="33"/>
  <c r="D88" i="7" s="1"/>
  <c r="E86" i="33"/>
  <c r="C88" i="7" s="1"/>
  <c r="D86" i="33"/>
  <c r="B88" i="7" s="1"/>
  <c r="D3" i="30"/>
  <c r="D99" i="30" s="1"/>
  <c r="E30" i="27" l="1"/>
  <c r="D30" i="27"/>
  <c r="C30" i="27"/>
  <c r="E28" i="27"/>
  <c r="D28" i="27"/>
  <c r="C28" i="27"/>
  <c r="E27" i="27"/>
  <c r="D27" i="27"/>
  <c r="C27" i="27"/>
  <c r="E8" i="27"/>
  <c r="D8" i="27"/>
  <c r="C8" i="27"/>
  <c r="E6" i="27"/>
  <c r="D6" i="27"/>
  <c r="C6" i="27"/>
  <c r="E5" i="27"/>
  <c r="D5" i="27"/>
  <c r="C5" i="27"/>
  <c r="E22" i="29"/>
  <c r="D22" i="29"/>
  <c r="C22" i="29"/>
  <c r="E7" i="27" l="1"/>
  <c r="E9" i="27" s="1"/>
  <c r="E29" i="27"/>
  <c r="D29" i="27"/>
  <c r="D31" i="27" s="1"/>
  <c r="C7" i="27"/>
  <c r="C9" i="27" s="1"/>
  <c r="D7" i="27"/>
  <c r="D9" i="27" s="1"/>
  <c r="D12" i="27" s="1"/>
  <c r="C29" i="27"/>
  <c r="C31" i="27" s="1"/>
  <c r="D43" i="27" l="1"/>
  <c r="E38" i="27"/>
  <c r="D34" i="27"/>
  <c r="D38" i="27"/>
  <c r="C34" i="27"/>
  <c r="C12" i="27"/>
  <c r="D16" i="27"/>
  <c r="E16" i="27"/>
  <c r="E66" i="27" s="1"/>
  <c r="D21" i="27"/>
  <c r="D71" i="27" s="1"/>
  <c r="E12" i="27"/>
  <c r="E21" i="27"/>
  <c r="E31" i="27"/>
  <c r="D66" i="27" l="1"/>
  <c r="E39" i="27"/>
  <c r="E40" i="27" s="1"/>
  <c r="D44" i="27"/>
  <c r="D45" i="27" s="1"/>
  <c r="E34" i="27"/>
  <c r="E44" i="27" s="1"/>
  <c r="E43" i="27"/>
  <c r="E71" i="27" s="1"/>
  <c r="D39" i="27"/>
  <c r="D40" i="27" s="1"/>
  <c r="E17" i="27"/>
  <c r="D22" i="27"/>
  <c r="E22" i="27"/>
  <c r="D17" i="27"/>
  <c r="E35" i="28"/>
  <c r="E34" i="28"/>
  <c r="E33" i="28"/>
  <c r="E32" i="28"/>
  <c r="E31" i="28"/>
  <c r="D23" i="27" l="1"/>
  <c r="D73" i="27" s="1"/>
  <c r="D72" i="27"/>
  <c r="E23" i="27"/>
  <c r="E73" i="27" s="1"/>
  <c r="E72" i="27"/>
  <c r="E18" i="27"/>
  <c r="E68" i="27" s="1"/>
  <c r="E67" i="27"/>
  <c r="D18" i="27"/>
  <c r="D68" i="27" s="1"/>
  <c r="D67" i="27"/>
  <c r="E45" i="27"/>
  <c r="E36" i="28"/>
  <c r="G56" i="31"/>
  <c r="F56" i="31"/>
  <c r="E56" i="31"/>
  <c r="G51" i="31"/>
  <c r="F51" i="31"/>
  <c r="E51" i="31"/>
  <c r="G50" i="31"/>
  <c r="F50" i="31"/>
  <c r="E50" i="31"/>
  <c r="G46" i="31"/>
  <c r="F46" i="31"/>
  <c r="E46" i="31"/>
  <c r="G44" i="31"/>
  <c r="F44" i="31"/>
  <c r="E44" i="31"/>
  <c r="G42" i="31"/>
  <c r="F42" i="31"/>
  <c r="E42" i="31"/>
  <c r="G25" i="31"/>
  <c r="E38" i="22" s="1"/>
  <c r="F25" i="31"/>
  <c r="D38" i="22" s="1"/>
  <c r="E25" i="31"/>
  <c r="C38" i="22" s="1"/>
  <c r="G12" i="31"/>
  <c r="F12" i="31"/>
  <c r="E12" i="31"/>
  <c r="B54" i="24"/>
  <c r="B49" i="24"/>
  <c r="B48" i="24"/>
  <c r="B12" i="24"/>
  <c r="B28" i="24"/>
  <c r="B30" i="24"/>
  <c r="G53" i="30" l="1"/>
  <c r="F15" i="31"/>
  <c r="F29" i="31"/>
  <c r="D42" i="22" s="1"/>
  <c r="E15" i="31"/>
  <c r="E29" i="31"/>
  <c r="C42" i="22" s="1"/>
  <c r="G15" i="31"/>
  <c r="G29" i="31"/>
  <c r="E42" i="22" s="1"/>
  <c r="G5" i="31"/>
  <c r="E4" i="22" s="1"/>
  <c r="E37" i="28"/>
  <c r="E38" i="28" s="1"/>
  <c r="E39" i="28" s="1"/>
  <c r="E5" i="31"/>
  <c r="G26" i="31"/>
  <c r="E39" i="22" s="1"/>
  <c r="F26" i="31"/>
  <c r="D39" i="22" s="1"/>
  <c r="F5" i="31"/>
  <c r="D4" i="22" s="1"/>
  <c r="E26" i="31"/>
  <c r="C39" i="22" s="1"/>
  <c r="G114" i="30"/>
  <c r="F114" i="30"/>
  <c r="E114" i="30"/>
  <c r="G113" i="30"/>
  <c r="F113" i="30"/>
  <c r="G112" i="30"/>
  <c r="F112" i="30"/>
  <c r="E112" i="30"/>
  <c r="G94" i="30"/>
  <c r="F94" i="30"/>
  <c r="E94" i="30"/>
  <c r="G88" i="30"/>
  <c r="G101" i="30" s="1"/>
  <c r="F88" i="30"/>
  <c r="F101" i="30" s="1"/>
  <c r="E88" i="30"/>
  <c r="E101" i="30" s="1"/>
  <c r="G70" i="30"/>
  <c r="F70" i="30"/>
  <c r="E70" i="30"/>
  <c r="G69" i="30"/>
  <c r="F69" i="30"/>
  <c r="E69" i="30"/>
  <c r="G68" i="30"/>
  <c r="F68" i="30"/>
  <c r="E68" i="30"/>
  <c r="G56" i="30"/>
  <c r="F56" i="30"/>
  <c r="E56" i="30"/>
  <c r="G45" i="30"/>
  <c r="F45" i="30"/>
  <c r="E45" i="30"/>
  <c r="G21" i="30"/>
  <c r="F21" i="30"/>
  <c r="E21" i="30"/>
  <c r="G44" i="30"/>
  <c r="F44" i="30"/>
  <c r="E43" i="25"/>
  <c r="E44" i="30" s="1"/>
  <c r="G17" i="30"/>
  <c r="F17" i="30"/>
  <c r="E17" i="30"/>
  <c r="G16" i="30"/>
  <c r="F16" i="30"/>
  <c r="E16" i="30"/>
  <c r="G15" i="30"/>
  <c r="F15" i="30"/>
  <c r="E15" i="30"/>
  <c r="G14" i="30"/>
  <c r="F14" i="30"/>
  <c r="E14" i="30"/>
  <c r="G11" i="30"/>
  <c r="F11" i="30"/>
  <c r="E11" i="30"/>
  <c r="G8" i="30"/>
  <c r="F8" i="30"/>
  <c r="E8" i="30"/>
  <c r="G7" i="30"/>
  <c r="F7" i="30"/>
  <c r="E7" i="30"/>
  <c r="E5" i="25"/>
  <c r="B89" i="25"/>
  <c r="B57" i="25"/>
  <c r="B5" i="25"/>
  <c r="B5" i="30" s="1"/>
  <c r="E22" i="23"/>
  <c r="E217" i="23"/>
  <c r="E204" i="23"/>
  <c r="E190" i="23"/>
  <c r="E185" i="23"/>
  <c r="E173" i="23"/>
  <c r="B38" i="17"/>
  <c r="E38" i="17" s="1"/>
  <c r="B40" i="17"/>
  <c r="D40" i="17" s="1"/>
  <c r="B37" i="17"/>
  <c r="C37" i="17" s="1"/>
  <c r="B36" i="17"/>
  <c r="E36" i="17" s="1"/>
  <c r="B35" i="17"/>
  <c r="D35" i="17" s="1"/>
  <c r="B28" i="17"/>
  <c r="C28" i="17" s="1"/>
  <c r="B21" i="17"/>
  <c r="C21" i="17" s="1"/>
  <c r="B20" i="17"/>
  <c r="E20" i="17" s="1"/>
  <c r="B18" i="17"/>
  <c r="B17" i="17"/>
  <c r="B16" i="17"/>
  <c r="E16" i="17" s="1"/>
  <c r="B15" i="17"/>
  <c r="E15" i="17" s="1"/>
  <c r="B14" i="17"/>
  <c r="B13" i="17"/>
  <c r="B11" i="17"/>
  <c r="E11" i="17" s="1"/>
  <c r="B10" i="17"/>
  <c r="B12" i="17"/>
  <c r="C12" i="17" s="1"/>
  <c r="B9" i="17"/>
  <c r="E9" i="17" s="1"/>
  <c r="B8" i="17"/>
  <c r="E8" i="17" s="1"/>
  <c r="B7" i="17"/>
  <c r="B39" i="17"/>
  <c r="C39" i="17" s="1"/>
  <c r="B41" i="17"/>
  <c r="D41" i="17" s="1"/>
  <c r="B42" i="17"/>
  <c r="B43" i="17"/>
  <c r="E43" i="17" s="1"/>
  <c r="B44" i="17"/>
  <c r="D44" i="17" s="1"/>
  <c r="B45" i="17"/>
  <c r="E45" i="17" s="1"/>
  <c r="B46" i="17"/>
  <c r="E46" i="17" s="1"/>
  <c r="B48" i="17"/>
  <c r="C48" i="17" s="1"/>
  <c r="B49" i="17"/>
  <c r="D49" i="17" s="1"/>
  <c r="B53" i="17"/>
  <c r="E53" i="17" s="1"/>
  <c r="B54" i="17"/>
  <c r="C54" i="17" s="1"/>
  <c r="B55" i="17"/>
  <c r="D55" i="17" s="1"/>
  <c r="F6" i="18"/>
  <c r="E6" i="18"/>
  <c r="E46" i="18" s="1"/>
  <c r="D6" i="18"/>
  <c r="D46" i="18" s="1"/>
  <c r="B46" i="18"/>
  <c r="B78" i="18"/>
  <c r="F78" i="18" s="1"/>
  <c r="B74" i="18"/>
  <c r="E74" i="18" s="1"/>
  <c r="B71" i="18"/>
  <c r="F71" i="18" s="1"/>
  <c r="B70" i="18"/>
  <c r="E70" i="18" s="1"/>
  <c r="B69" i="18"/>
  <c r="F69" i="18" s="1"/>
  <c r="B67" i="18"/>
  <c r="F67" i="18" s="1"/>
  <c r="B66" i="18"/>
  <c r="D66" i="18" s="1"/>
  <c r="B65" i="18"/>
  <c r="F65" i="18" s="1"/>
  <c r="B60" i="18"/>
  <c r="B56" i="18"/>
  <c r="E56" i="18" s="1"/>
  <c r="B49" i="18"/>
  <c r="E49" i="18" s="1"/>
  <c r="B48" i="18"/>
  <c r="D48" i="18" s="1"/>
  <c r="B47" i="18"/>
  <c r="F47" i="18" s="1"/>
  <c r="B45" i="18"/>
  <c r="B44" i="18"/>
  <c r="B38" i="18"/>
  <c r="B37" i="18"/>
  <c r="E37" i="18" s="1"/>
  <c r="B33" i="18"/>
  <c r="F33" i="18" s="1"/>
  <c r="B30" i="18"/>
  <c r="B29" i="18"/>
  <c r="B28" i="18"/>
  <c r="E28" i="18" s="1"/>
  <c r="B26" i="18"/>
  <c r="D26" i="18" s="1"/>
  <c r="B25" i="18"/>
  <c r="F25" i="18" s="1"/>
  <c r="B24" i="18"/>
  <c r="B19" i="18"/>
  <c r="B7" i="18"/>
  <c r="E7" i="18" s="1"/>
  <c r="B8" i="18"/>
  <c r="E8" i="18" s="1"/>
  <c r="B9" i="18"/>
  <c r="F9" i="18" s="1"/>
  <c r="B10" i="18"/>
  <c r="B12" i="18"/>
  <c r="E12" i="18" s="1"/>
  <c r="B15" i="18"/>
  <c r="D15" i="18" s="1"/>
  <c r="B6" i="18"/>
  <c r="E113" i="30"/>
  <c r="F111" i="30"/>
  <c r="G111" i="30"/>
  <c r="F45" i="2"/>
  <c r="G99" i="25" s="1"/>
  <c r="E99" i="25"/>
  <c r="F47" i="2"/>
  <c r="G101" i="25" s="1"/>
  <c r="E101" i="25"/>
  <c r="F46" i="2"/>
  <c r="G100" i="25" s="1"/>
  <c r="E100" i="25"/>
  <c r="F44" i="2"/>
  <c r="G98" i="25" s="1"/>
  <c r="E98" i="25"/>
  <c r="F43" i="2"/>
  <c r="G97" i="25" s="1"/>
  <c r="E97" i="25"/>
  <c r="F37" i="2"/>
  <c r="F24" i="2"/>
  <c r="F29" i="2" s="1"/>
  <c r="F10" i="2"/>
  <c r="F16" i="2" s="1"/>
  <c r="G102" i="25" l="1"/>
  <c r="F116" i="30"/>
  <c r="G116" i="30"/>
  <c r="G122" i="30" s="1"/>
  <c r="C4" i="22"/>
  <c r="C5" i="22" s="1"/>
  <c r="G5" i="30"/>
  <c r="F5" i="33" s="1"/>
  <c r="F5" i="30"/>
  <c r="E5" i="33" s="1"/>
  <c r="E5" i="30"/>
  <c r="D5" i="33" s="1"/>
  <c r="E58" i="25"/>
  <c r="E67" i="30"/>
  <c r="F67" i="30"/>
  <c r="G67" i="30"/>
  <c r="E13" i="30"/>
  <c r="G13" i="30"/>
  <c r="F13" i="30"/>
  <c r="E10" i="30"/>
  <c r="F10" i="30"/>
  <c r="G10" i="30"/>
  <c r="E6" i="30"/>
  <c r="F6" i="30"/>
  <c r="G6" i="30"/>
  <c r="D7" i="17"/>
  <c r="C7" i="17"/>
  <c r="F13" i="31"/>
  <c r="G13" i="31"/>
  <c r="F122" i="30"/>
  <c r="E34" i="35"/>
  <c r="D9" i="17"/>
  <c r="D9" i="18"/>
  <c r="F66" i="18"/>
  <c r="D47" i="18"/>
  <c r="C36" i="17"/>
  <c r="E37" i="17"/>
  <c r="C16" i="17"/>
  <c r="C45" i="17"/>
  <c r="E21" i="17"/>
  <c r="E54" i="17"/>
  <c r="E39" i="17"/>
  <c r="D53" i="17"/>
  <c r="C11" i="17"/>
  <c r="C8" i="17"/>
  <c r="E28" i="17"/>
  <c r="C43" i="17"/>
  <c r="D46" i="17"/>
  <c r="D15" i="17"/>
  <c r="C38" i="17"/>
  <c r="E48" i="17"/>
  <c r="D20" i="17"/>
  <c r="E7" i="17"/>
  <c r="C9" i="17"/>
  <c r="D12" i="17"/>
  <c r="C15" i="17"/>
  <c r="C20" i="17"/>
  <c r="D21" i="17"/>
  <c r="D28" i="17"/>
  <c r="E35" i="17"/>
  <c r="D37" i="17"/>
  <c r="E40" i="17"/>
  <c r="D39" i="17"/>
  <c r="E41" i="17"/>
  <c r="E44" i="17"/>
  <c r="C46" i="17"/>
  <c r="D48" i="17"/>
  <c r="E49" i="17"/>
  <c r="C53" i="17"/>
  <c r="D54" i="17"/>
  <c r="E55" i="17"/>
  <c r="E12" i="17"/>
  <c r="D8" i="17"/>
  <c r="D11" i="17"/>
  <c r="D16" i="17"/>
  <c r="C35" i="17"/>
  <c r="D36" i="17"/>
  <c r="C40" i="17"/>
  <c r="D38" i="17"/>
  <c r="C41" i="17"/>
  <c r="D43" i="17"/>
  <c r="C44" i="17"/>
  <c r="D45" i="17"/>
  <c r="C49" i="17"/>
  <c r="C55" i="17"/>
  <c r="F15" i="18"/>
  <c r="D67" i="18"/>
  <c r="D71" i="18"/>
  <c r="D78" i="18"/>
  <c r="E33" i="18"/>
  <c r="E66" i="18"/>
  <c r="E111" i="30"/>
  <c r="F63" i="2"/>
  <c r="F26" i="18"/>
  <c r="F70" i="18"/>
  <c r="B5" i="33"/>
  <c r="B103" i="33"/>
  <c r="E58" i="30"/>
  <c r="G58" i="30"/>
  <c r="E40" i="28"/>
  <c r="E6" i="29" s="1"/>
  <c r="E10" i="29" s="1"/>
  <c r="E102" i="25"/>
  <c r="E129" i="30" s="1"/>
  <c r="D7" i="18"/>
  <c r="F8" i="18"/>
  <c r="F12" i="18"/>
  <c r="E15" i="18"/>
  <c r="E26" i="18"/>
  <c r="F28" i="18"/>
  <c r="D33" i="18"/>
  <c r="F37" i="18"/>
  <c r="E48" i="18"/>
  <c r="F49" i="18"/>
  <c r="F56" i="18"/>
  <c r="D65" i="18"/>
  <c r="D69" i="18"/>
  <c r="D74" i="18"/>
  <c r="F48" i="18"/>
  <c r="E65" i="18"/>
  <c r="E69" i="18"/>
  <c r="F7" i="18"/>
  <c r="D8" i="18"/>
  <c r="E9" i="18"/>
  <c r="D12" i="18"/>
  <c r="E25" i="18"/>
  <c r="D28" i="18"/>
  <c r="D37" i="18"/>
  <c r="E47" i="18"/>
  <c r="D49" i="18"/>
  <c r="D56" i="18"/>
  <c r="E67" i="18"/>
  <c r="D70" i="18"/>
  <c r="E71" i="18"/>
  <c r="F74" i="18"/>
  <c r="E78" i="18"/>
  <c r="D25" i="18"/>
  <c r="F46" i="18"/>
  <c r="D68" i="2"/>
  <c r="E68" i="2"/>
  <c r="F38" i="2"/>
  <c r="F68" i="2" s="1"/>
  <c r="F48" i="2"/>
  <c r="G124" i="25" l="1"/>
  <c r="C42" i="17"/>
  <c r="E116" i="30"/>
  <c r="E122" i="30" s="1"/>
  <c r="E103" i="33"/>
  <c r="D103" i="33"/>
  <c r="F103" i="33"/>
  <c r="B11" i="34" s="1"/>
  <c r="F82" i="30"/>
  <c r="G82" i="30"/>
  <c r="F60" i="31"/>
  <c r="E60" i="31"/>
  <c r="G60" i="31"/>
  <c r="E18" i="29"/>
  <c r="E7" i="29"/>
  <c r="C7" i="29"/>
  <c r="C18" i="29"/>
  <c r="E117" i="25"/>
  <c r="D1" i="17"/>
  <c r="G129" i="30"/>
  <c r="E124" i="25"/>
  <c r="E122" i="25"/>
  <c r="F129" i="30"/>
  <c r="F58" i="30"/>
  <c r="D42" i="17" l="1"/>
  <c r="D57" i="17" s="1"/>
  <c r="D7" i="35" s="1"/>
  <c r="D23" i="29"/>
  <c r="D11" i="29"/>
  <c r="D7" i="29"/>
  <c r="D18" i="29"/>
  <c r="C19" i="29"/>
  <c r="E19" i="30" s="1"/>
  <c r="E81" i="30"/>
  <c r="E19" i="29"/>
  <c r="G19" i="30" s="1"/>
  <c r="G81" i="30"/>
  <c r="G86" i="30" s="1"/>
  <c r="E42" i="17"/>
  <c r="C14" i="17"/>
  <c r="C30" i="17" s="1"/>
  <c r="C57" i="17"/>
  <c r="C7" i="35" s="1"/>
  <c r="C87" i="33"/>
  <c r="C86" i="33"/>
  <c r="D14" i="17" l="1"/>
  <c r="D30" i="17" s="1"/>
  <c r="D61" i="17" s="1"/>
  <c r="E11" i="29"/>
  <c r="E23" i="29"/>
  <c r="D13" i="29"/>
  <c r="D24" i="29"/>
  <c r="F28" i="31" s="1"/>
  <c r="D19" i="29"/>
  <c r="F19" i="30" s="1"/>
  <c r="F81" i="30"/>
  <c r="F86" i="30" s="1"/>
  <c r="F31" i="31"/>
  <c r="C61" i="17"/>
  <c r="A47" i="2"/>
  <c r="F30" i="31" l="1"/>
  <c r="F41" i="31" s="1"/>
  <c r="D41" i="22"/>
  <c r="F61" i="31"/>
  <c r="F130" i="30"/>
  <c r="G31" i="31"/>
  <c r="E24" i="29"/>
  <c r="G28" i="31" s="1"/>
  <c r="E13" i="29"/>
  <c r="E14" i="17"/>
  <c r="E30" i="17" s="1"/>
  <c r="E57" i="17"/>
  <c r="E7" i="35" s="1"/>
  <c r="G30" i="31" l="1"/>
  <c r="G41" i="31" s="1"/>
  <c r="E41" i="22"/>
  <c r="F151" i="33"/>
  <c r="B14" i="34" s="1"/>
  <c r="C14" i="34" s="1"/>
  <c r="G130" i="30"/>
  <c r="G61" i="31"/>
  <c r="E61" i="17"/>
  <c r="G59" i="30" l="1"/>
  <c r="E77" i="27"/>
  <c r="F53" i="30"/>
  <c r="E151" i="33" s="1"/>
  <c r="D77" i="27"/>
  <c r="G43" i="31"/>
  <c r="G62" i="31"/>
  <c r="G63" i="31" s="1"/>
  <c r="F43" i="31"/>
  <c r="F62" i="31"/>
  <c r="F63" i="31" s="1"/>
  <c r="F93" i="30"/>
  <c r="F106" i="30" s="1"/>
  <c r="F131" i="30"/>
  <c r="F132" i="30" s="1"/>
  <c r="G131" i="30"/>
  <c r="G93" i="30"/>
  <c r="G106" i="30" s="1"/>
  <c r="C184" i="33"/>
  <c r="C185" i="33"/>
  <c r="B6" i="24"/>
  <c r="B7" i="24"/>
  <c r="B8" i="24"/>
  <c r="A5" i="24"/>
  <c r="C65" i="18"/>
  <c r="C70" i="18"/>
  <c r="C71" i="18"/>
  <c r="C56" i="18"/>
  <c r="F59" i="30" l="1"/>
  <c r="B6" i="31"/>
  <c r="B11" i="31"/>
  <c r="B9" i="31"/>
  <c r="B12" i="31"/>
  <c r="B8" i="31"/>
  <c r="B14" i="31"/>
  <c r="B10" i="31"/>
  <c r="G132" i="30"/>
  <c r="G95" i="30"/>
  <c r="G96" i="30" s="1"/>
  <c r="G127" i="30" s="1"/>
  <c r="B5" i="24"/>
  <c r="F107" i="30"/>
  <c r="F133" i="30" s="1"/>
  <c r="F95" i="30"/>
  <c r="F96" i="30" s="1"/>
  <c r="G107" i="30"/>
  <c r="C78" i="18"/>
  <c r="C16" i="35"/>
  <c r="F127" i="30" l="1"/>
  <c r="G133" i="30"/>
  <c r="B74" i="32"/>
  <c r="B14" i="32"/>
  <c r="B70" i="32"/>
  <c r="B10" i="32"/>
  <c r="B11" i="32"/>
  <c r="B71" i="32"/>
  <c r="B68" i="32"/>
  <c r="B8" i="32"/>
  <c r="B72" i="32"/>
  <c r="B12" i="32"/>
  <c r="B69" i="32"/>
  <c r="B9" i="32"/>
  <c r="B6" i="32"/>
  <c r="B66" i="32"/>
  <c r="E13" i="31"/>
  <c r="F66" i="32" l="1"/>
  <c r="D66" i="32"/>
  <c r="E66" i="32"/>
  <c r="C10" i="32"/>
  <c r="B81" i="13" s="1"/>
  <c r="D10" i="32"/>
  <c r="C81" i="13" s="1"/>
  <c r="E10" i="32"/>
  <c r="D81" i="13" s="1"/>
  <c r="F10" i="32"/>
  <c r="C6" i="32"/>
  <c r="F6" i="32"/>
  <c r="D6" i="32"/>
  <c r="C33" i="13" s="1"/>
  <c r="E6" i="32"/>
  <c r="D33" i="13" s="1"/>
  <c r="F72" i="32"/>
  <c r="E72" i="32"/>
  <c r="D72" i="32"/>
  <c r="F68" i="32"/>
  <c r="E68" i="32"/>
  <c r="D68" i="32"/>
  <c r="F70" i="32"/>
  <c r="D70" i="32"/>
  <c r="E70" i="32"/>
  <c r="D12" i="32"/>
  <c r="B13" i="6" s="1"/>
  <c r="B8" i="14" s="1"/>
  <c r="F12" i="32"/>
  <c r="E12" i="32"/>
  <c r="D8" i="32"/>
  <c r="C57" i="13" s="1"/>
  <c r="F8" i="32"/>
  <c r="C8" i="32"/>
  <c r="B57" i="13" s="1"/>
  <c r="E8" i="32"/>
  <c r="D57" i="13" s="1"/>
  <c r="C9" i="32"/>
  <c r="B69" i="13" s="1"/>
  <c r="D9" i="32"/>
  <c r="C69" i="13" s="1"/>
  <c r="F9" i="32"/>
  <c r="E9" i="32"/>
  <c r="D69" i="13" s="1"/>
  <c r="F71" i="32"/>
  <c r="D71" i="32"/>
  <c r="E71" i="32"/>
  <c r="E14" i="32"/>
  <c r="D14" i="32"/>
  <c r="F14" i="32"/>
  <c r="F69" i="32"/>
  <c r="E69" i="32"/>
  <c r="D69" i="32"/>
  <c r="D11" i="32"/>
  <c r="C93" i="13" s="1"/>
  <c r="E11" i="32"/>
  <c r="D93" i="13" s="1"/>
  <c r="C11" i="32"/>
  <c r="B93" i="13" s="1"/>
  <c r="F11" i="32"/>
  <c r="F74" i="32"/>
  <c r="E74" i="32"/>
  <c r="D74" i="32"/>
  <c r="B11" i="6" l="1"/>
  <c r="B15" i="6"/>
  <c r="B10" i="14" s="1"/>
  <c r="C32" i="22"/>
  <c r="B8" i="6"/>
  <c r="D11" i="6"/>
  <c r="E93" i="13"/>
  <c r="C8" i="6"/>
  <c r="C13" i="6"/>
  <c r="C8" i="14" s="1"/>
  <c r="D31" i="22"/>
  <c r="C6" i="6"/>
  <c r="D10" i="6"/>
  <c r="E81" i="13"/>
  <c r="C9" i="6"/>
  <c r="E69" i="13"/>
  <c r="D9" i="6"/>
  <c r="D13" i="6"/>
  <c r="D8" i="14" s="1"/>
  <c r="E31" i="22"/>
  <c r="B6" i="6"/>
  <c r="C10" i="6"/>
  <c r="C15" i="6"/>
  <c r="C10" i="14" s="1"/>
  <c r="D32" i="22"/>
  <c r="C11" i="6"/>
  <c r="D15" i="6"/>
  <c r="D10" i="14" s="1"/>
  <c r="E32" i="22"/>
  <c r="B9" i="6"/>
  <c r="E57" i="13"/>
  <c r="D8" i="6"/>
  <c r="E33" i="13"/>
  <c r="D6" i="6"/>
  <c r="B10" i="6"/>
  <c r="H25" i="15"/>
  <c r="H19" i="15"/>
  <c r="I19" i="15" s="1"/>
  <c r="I24" i="15"/>
  <c r="F17" i="14"/>
  <c r="G17" i="14" s="1"/>
  <c r="F15" i="14"/>
  <c r="G15" i="14" s="1"/>
  <c r="F11" i="14"/>
  <c r="H11" i="14" s="1"/>
  <c r="L17" i="13"/>
  <c r="M17" i="13" l="1"/>
  <c r="I17" i="14"/>
  <c r="N17" i="13" l="1"/>
  <c r="B30" i="27"/>
  <c r="B28" i="27"/>
  <c r="B27" i="27"/>
  <c r="B8" i="27"/>
  <c r="B6" i="27"/>
  <c r="B5" i="27"/>
  <c r="B7" i="27" l="1"/>
  <c r="B9" i="27" s="1"/>
  <c r="B29" i="27"/>
  <c r="B31" i="27" s="1"/>
  <c r="C38" i="27" l="1"/>
  <c r="B34" i="27"/>
  <c r="C43" i="27"/>
  <c r="B12" i="27"/>
  <c r="C16" i="27"/>
  <c r="C66" i="27" s="1"/>
  <c r="C21" i="27"/>
  <c r="C71" i="27" s="1"/>
  <c r="C39" i="27" l="1"/>
  <c r="C40" i="27" s="1"/>
  <c r="C44" i="27"/>
  <c r="C45" i="27" s="1"/>
  <c r="C17" i="27"/>
  <c r="C22" i="27"/>
  <c r="D82" i="30"/>
  <c r="C23" i="27" l="1"/>
  <c r="C73" i="27" s="1"/>
  <c r="C72" i="27"/>
  <c r="C18" i="27"/>
  <c r="C68" i="27" s="1"/>
  <c r="C67" i="27"/>
  <c r="D53" i="30" s="1"/>
  <c r="C151" i="33" s="1"/>
  <c r="E82" i="30"/>
  <c r="E86" i="30" s="1"/>
  <c r="E53" i="30" l="1"/>
  <c r="D151" i="33" s="1"/>
  <c r="E59" i="30"/>
  <c r="D93" i="30" l="1"/>
  <c r="D106" i="30" s="1"/>
  <c r="D131" i="30"/>
  <c r="E131" i="30"/>
  <c r="E93" i="30"/>
  <c r="E106" i="30" s="1"/>
  <c r="E62" i="31"/>
  <c r="E43" i="31"/>
  <c r="C77" i="27"/>
  <c r="E107" i="30" l="1"/>
  <c r="E95" i="30"/>
  <c r="E96" i="30" s="1"/>
  <c r="E127" i="30" s="1"/>
  <c r="D130" i="30" l="1"/>
  <c r="E3" i="30" l="1"/>
  <c r="D94" i="30"/>
  <c r="D85" i="25"/>
  <c r="D88" i="30" s="1"/>
  <c r="D101" i="30" s="1"/>
  <c r="D70" i="30"/>
  <c r="D69" i="30"/>
  <c r="D68" i="30"/>
  <c r="D66" i="25"/>
  <c r="D56" i="30"/>
  <c r="D45" i="30"/>
  <c r="D21" i="30"/>
  <c r="D43" i="25"/>
  <c r="D44" i="30" s="1"/>
  <c r="D17" i="30"/>
  <c r="D16" i="30"/>
  <c r="D15" i="30"/>
  <c r="D14" i="30"/>
  <c r="D13" i="25"/>
  <c r="D11" i="30"/>
  <c r="D10" i="25"/>
  <c r="D8" i="30"/>
  <c r="D7" i="30"/>
  <c r="D6" i="25"/>
  <c r="D5" i="25"/>
  <c r="D5" i="30" s="1"/>
  <c r="C5" i="33" l="1"/>
  <c r="D67" i="30"/>
  <c r="D83" i="25"/>
  <c r="D13" i="30"/>
  <c r="D10" i="30"/>
  <c r="D6" i="30"/>
  <c r="D107" i="30"/>
  <c r="D123" i="30" s="1"/>
  <c r="D95" i="30"/>
  <c r="D3" i="33"/>
  <c r="D101" i="33" s="1"/>
  <c r="E99" i="30"/>
  <c r="F3" i="30"/>
  <c r="D3" i="1"/>
  <c r="D3" i="18" s="1"/>
  <c r="D58" i="30"/>
  <c r="D91" i="25"/>
  <c r="F99" i="30" l="1"/>
  <c r="E3" i="33"/>
  <c r="E101" i="33" s="1"/>
  <c r="C2" i="28"/>
  <c r="E45" i="28" s="1"/>
  <c r="E3" i="24"/>
  <c r="E3" i="31" s="1"/>
  <c r="C3" i="13" s="1"/>
  <c r="E3" i="25"/>
  <c r="C2" i="23"/>
  <c r="C5" i="17"/>
  <c r="C33" i="17" s="1"/>
  <c r="D43" i="18"/>
  <c r="E3" i="1"/>
  <c r="E3" i="18" s="1"/>
  <c r="G3" i="30"/>
  <c r="D92" i="25"/>
  <c r="C6" i="18"/>
  <c r="D99" i="25"/>
  <c r="D101" i="25"/>
  <c r="D100" i="25"/>
  <c r="D98" i="25"/>
  <c r="D97" i="25"/>
  <c r="C100" i="13" l="1"/>
  <c r="C101" i="13" s="1"/>
  <c r="C103" i="13" s="1"/>
  <c r="C76" i="13"/>
  <c r="C77" i="13" s="1"/>
  <c r="C79" i="13" s="1"/>
  <c r="C88" i="13"/>
  <c r="C89" i="13" s="1"/>
  <c r="C91" i="13" s="1"/>
  <c r="C64" i="13"/>
  <c r="C65" i="13" s="1"/>
  <c r="C67" i="13" s="1"/>
  <c r="C3" i="15"/>
  <c r="B3" i="14"/>
  <c r="E95" i="25"/>
  <c r="C3" i="29"/>
  <c r="C103" i="33"/>
  <c r="C11" i="34" s="1"/>
  <c r="F3" i="33"/>
  <c r="F101" i="33" s="1"/>
  <c r="G99" i="30"/>
  <c r="C3" i="27"/>
  <c r="C3" i="22"/>
  <c r="D3" i="32"/>
  <c r="D63" i="32" s="1"/>
  <c r="D2" i="28"/>
  <c r="H45" i="28" s="1"/>
  <c r="F3" i="24"/>
  <c r="F3" i="31" s="1"/>
  <c r="D3" i="13" s="1"/>
  <c r="D2" i="23"/>
  <c r="D5" i="17"/>
  <c r="D33" i="17" s="1"/>
  <c r="E43" i="18"/>
  <c r="F3" i="25"/>
  <c r="F41" i="2"/>
  <c r="F3" i="1"/>
  <c r="F3" i="18" s="1"/>
  <c r="C9" i="18"/>
  <c r="C26" i="18"/>
  <c r="C37" i="18"/>
  <c r="C28" i="18"/>
  <c r="C15" i="18"/>
  <c r="C25" i="18"/>
  <c r="C7" i="18"/>
  <c r="C8" i="18"/>
  <c r="C12" i="18"/>
  <c r="C33" i="18"/>
  <c r="C67" i="18"/>
  <c r="C69" i="18"/>
  <c r="C66" i="18"/>
  <c r="C74" i="18"/>
  <c r="C48" i="18"/>
  <c r="C49" i="18"/>
  <c r="C47" i="18"/>
  <c r="D102" i="25"/>
  <c r="C46" i="18"/>
  <c r="D58" i="25"/>
  <c r="D122" i="25" s="1"/>
  <c r="C64" i="2"/>
  <c r="D61" i="2" s="1"/>
  <c r="C68" i="2"/>
  <c r="C6" i="15" l="1"/>
  <c r="C3" i="35"/>
  <c r="F95" i="25"/>
  <c r="D3" i="29"/>
  <c r="D64" i="13"/>
  <c r="D65" i="13" s="1"/>
  <c r="D67" i="13" s="1"/>
  <c r="D100" i="13"/>
  <c r="D101" i="13" s="1"/>
  <c r="D103" i="13" s="1"/>
  <c r="D76" i="13"/>
  <c r="D77" i="13" s="1"/>
  <c r="D79" i="13" s="1"/>
  <c r="D88" i="13"/>
  <c r="D89" i="13" s="1"/>
  <c r="D91" i="13" s="1"/>
  <c r="D40" i="13"/>
  <c r="D41" i="13" s="1"/>
  <c r="D43" i="13" s="1"/>
  <c r="C3" i="14"/>
  <c r="D3" i="15"/>
  <c r="D6" i="15" s="1"/>
  <c r="D129" i="30"/>
  <c r="D132" i="30" s="1"/>
  <c r="D133" i="30" s="1"/>
  <c r="D118" i="25"/>
  <c r="B18" i="29"/>
  <c r="D3" i="22"/>
  <c r="E3" i="32"/>
  <c r="E63" i="32" s="1"/>
  <c r="E2" i="28"/>
  <c r="K45" i="28" s="1"/>
  <c r="G3" i="24"/>
  <c r="G3" i="31" s="1"/>
  <c r="E3" i="13" s="1"/>
  <c r="F43" i="18"/>
  <c r="E2" i="23"/>
  <c r="E5" i="17"/>
  <c r="G3" i="25"/>
  <c r="D3" i="27"/>
  <c r="B3" i="6"/>
  <c r="B5" i="7"/>
  <c r="D124" i="25"/>
  <c r="B7" i="29"/>
  <c r="D3" i="35" l="1"/>
  <c r="G95" i="25"/>
  <c r="E3" i="29"/>
  <c r="E88" i="13"/>
  <c r="E89" i="13" s="1"/>
  <c r="E91" i="13" s="1"/>
  <c r="E64" i="13"/>
  <c r="E65" i="13" s="1"/>
  <c r="E67" i="13" s="1"/>
  <c r="E40" i="13"/>
  <c r="E41" i="13" s="1"/>
  <c r="E43" i="13" s="1"/>
  <c r="E100" i="13"/>
  <c r="E101" i="13" s="1"/>
  <c r="E103" i="13" s="1"/>
  <c r="E76" i="13"/>
  <c r="E77" i="13" s="1"/>
  <c r="E79" i="13" s="1"/>
  <c r="E3" i="15"/>
  <c r="D3" i="14"/>
  <c r="F3" i="13"/>
  <c r="B3" i="10"/>
  <c r="B19" i="29"/>
  <c r="D19" i="30" s="1"/>
  <c r="D59" i="30" s="1"/>
  <c r="D81" i="30"/>
  <c r="C23" i="29"/>
  <c r="E31" i="31" s="1"/>
  <c r="C11" i="29"/>
  <c r="E33" i="17"/>
  <c r="F3" i="32"/>
  <c r="F63" i="32" s="1"/>
  <c r="E3" i="22"/>
  <c r="E3" i="27"/>
  <c r="C5" i="7"/>
  <c r="C3" i="6"/>
  <c r="F10" i="14"/>
  <c r="G10" i="14" s="1"/>
  <c r="H10" i="14" s="1"/>
  <c r="H15" i="14"/>
  <c r="I15" i="14" s="1"/>
  <c r="E6" i="15" l="1"/>
  <c r="E3" i="35"/>
  <c r="F79" i="13"/>
  <c r="F69" i="13" s="1"/>
  <c r="F31" i="13"/>
  <c r="F91" i="13"/>
  <c r="F81" i="13" s="1"/>
  <c r="F67" i="13"/>
  <c r="F57" i="13" s="1"/>
  <c r="F43" i="13"/>
  <c r="F33" i="13" s="1"/>
  <c r="F103" i="13"/>
  <c r="F93" i="13" s="1"/>
  <c r="F55" i="13"/>
  <c r="F3" i="15"/>
  <c r="E3" i="14"/>
  <c r="G3" i="13"/>
  <c r="C3" i="10"/>
  <c r="B64" i="10"/>
  <c r="D86" i="30"/>
  <c r="D96" i="30" s="1"/>
  <c r="D127" i="30" s="1"/>
  <c r="C24" i="29"/>
  <c r="E28" i="31" s="1"/>
  <c r="C13" i="29"/>
  <c r="D5" i="7"/>
  <c r="D3" i="6"/>
  <c r="F6" i="15" l="1"/>
  <c r="C64" i="10"/>
  <c r="F3" i="14"/>
  <c r="H3" i="13"/>
  <c r="D3" i="10"/>
  <c r="G3" i="15"/>
  <c r="E61" i="31"/>
  <c r="E63" i="31" s="1"/>
  <c r="E30" i="31"/>
  <c r="E41" i="31" s="1"/>
  <c r="C41" i="22"/>
  <c r="E130" i="30"/>
  <c r="E132" i="30" s="1"/>
  <c r="E133" i="30" s="1"/>
  <c r="I3" i="13" l="1"/>
  <c r="H3" i="15"/>
  <c r="E3" i="10"/>
  <c r="G3" i="14"/>
  <c r="D64" i="10"/>
  <c r="H36" i="15"/>
  <c r="I36" i="15" s="1"/>
  <c r="H34" i="15"/>
  <c r="I34" i="15" s="1"/>
  <c r="I32" i="15"/>
  <c r="I27" i="15"/>
  <c r="I25" i="15"/>
  <c r="F27" i="14"/>
  <c r="F19" i="14"/>
  <c r="G19" i="14" s="1"/>
  <c r="H19" i="14" s="1"/>
  <c r="I19" i="14" s="1"/>
  <c r="F18" i="14"/>
  <c r="H18" i="14" s="1"/>
  <c r="I18" i="14" s="1"/>
  <c r="F16" i="14"/>
  <c r="G16" i="14" s="1"/>
  <c r="I16" i="14" s="1"/>
  <c r="F12" i="14"/>
  <c r="I10" i="14"/>
  <c r="E9" i="14"/>
  <c r="E32" i="14" s="1"/>
  <c r="F7" i="14"/>
  <c r="F9" i="14" s="1"/>
  <c r="F32" i="14" l="1"/>
  <c r="H3" i="14"/>
  <c r="F3" i="10"/>
  <c r="J3" i="13"/>
  <c r="I3" i="15"/>
  <c r="E64" i="10"/>
  <c r="H12" i="14"/>
  <c r="I12" i="14" s="1"/>
  <c r="G27" i="14"/>
  <c r="H27" i="14" s="1"/>
  <c r="I27" i="14" s="1"/>
  <c r="E28" i="14"/>
  <c r="E4" i="14" s="1"/>
  <c r="F28" i="14"/>
  <c r="F4" i="14" s="1"/>
  <c r="G7" i="14"/>
  <c r="J19" i="13" l="1"/>
  <c r="G3" i="10"/>
  <c r="J3" i="15"/>
  <c r="I3" i="14"/>
  <c r="K3" i="13"/>
  <c r="F64" i="10"/>
  <c r="H7" i="14"/>
  <c r="G9" i="14"/>
  <c r="G32" i="14" s="1"/>
  <c r="G8" i="10" l="1"/>
  <c r="K19" i="13"/>
  <c r="H3" i="10"/>
  <c r="L3" i="13"/>
  <c r="K3" i="15"/>
  <c r="J3" i="14"/>
  <c r="G29" i="10"/>
  <c r="G47" i="10" s="1"/>
  <c r="G64" i="10"/>
  <c r="G28" i="14"/>
  <c r="G4" i="14" s="1"/>
  <c r="I7" i="14"/>
  <c r="I9" i="14" s="1"/>
  <c r="I32" i="14" s="1"/>
  <c r="H9" i="14"/>
  <c r="H32" i="14" s="1"/>
  <c r="L19" i="13" l="1"/>
  <c r="I3" i="10"/>
  <c r="M3" i="13"/>
  <c r="L3" i="15"/>
  <c r="K3" i="14"/>
  <c r="H29" i="10"/>
  <c r="H47" i="10" s="1"/>
  <c r="H64" i="10"/>
  <c r="H28" i="14"/>
  <c r="H4" i="14" s="1"/>
  <c r="I28" i="14"/>
  <c r="M19" i="13" l="1"/>
  <c r="J3" i="10"/>
  <c r="L3" i="14"/>
  <c r="M3" i="15"/>
  <c r="N3" i="13"/>
  <c r="I64" i="10"/>
  <c r="I29" i="10"/>
  <c r="I47" i="10" s="1"/>
  <c r="A48" i="22"/>
  <c r="A47" i="22"/>
  <c r="J4" i="14" l="1"/>
  <c r="G7" i="10"/>
  <c r="N19" i="13"/>
  <c r="N3" i="15"/>
  <c r="K3" i="10"/>
  <c r="M3" i="14"/>
  <c r="J29" i="10"/>
  <c r="J47" i="10" s="1"/>
  <c r="J64" i="10"/>
  <c r="B5" i="31"/>
  <c r="B65" i="32" s="1"/>
  <c r="B58" i="32"/>
  <c r="B108" i="32"/>
  <c r="B48" i="32"/>
  <c r="B33" i="13"/>
  <c r="C40" i="13" s="1"/>
  <c r="C41" i="13" s="1"/>
  <c r="C43" i="13" s="1"/>
  <c r="K4" i="14" l="1"/>
  <c r="H7" i="10"/>
  <c r="K64" i="10"/>
  <c r="K29" i="10"/>
  <c r="K47" i="10" s="1"/>
  <c r="B5" i="32"/>
  <c r="E108" i="32"/>
  <c r="D108" i="32"/>
  <c r="F108" i="32"/>
  <c r="C31" i="22"/>
  <c r="F65" i="32"/>
  <c r="E65" i="32"/>
  <c r="D65" i="32"/>
  <c r="L4" i="14" l="1"/>
  <c r="I7" i="10"/>
  <c r="E5" i="32"/>
  <c r="D21" i="13" s="1"/>
  <c r="C5" i="32"/>
  <c r="B21" i="13" s="1"/>
  <c r="F5" i="32"/>
  <c r="D5" i="32"/>
  <c r="C21" i="13" s="1"/>
  <c r="M4" i="14" l="1"/>
  <c r="K7" i="10" s="1"/>
  <c r="J7" i="10"/>
  <c r="D28" i="13"/>
  <c r="D29" i="13" s="1"/>
  <c r="D31" i="13" s="1"/>
  <c r="C28" i="13"/>
  <c r="B5" i="6"/>
  <c r="E21" i="13"/>
  <c r="F21" i="13" s="1"/>
  <c r="D5" i="6"/>
  <c r="C5" i="6"/>
  <c r="C3" i="7"/>
  <c r="D20" i="22"/>
  <c r="D47" i="22" s="1"/>
  <c r="D30" i="22"/>
  <c r="D23" i="22"/>
  <c r="C29" i="13" l="1"/>
  <c r="C31" i="13" s="1"/>
  <c r="E28" i="13"/>
  <c r="C54" i="7"/>
  <c r="C14" i="7"/>
  <c r="C7" i="7"/>
  <c r="C23" i="22"/>
  <c r="E30" i="22"/>
  <c r="B3" i="7"/>
  <c r="C20" i="22"/>
  <c r="C47" i="22" s="1"/>
  <c r="D3" i="7"/>
  <c r="E23" i="22"/>
  <c r="E20" i="22"/>
  <c r="E47" i="22" s="1"/>
  <c r="E5" i="22"/>
  <c r="D5" i="22"/>
  <c r="C30" i="22"/>
  <c r="E29" i="13" l="1"/>
  <c r="E31" i="13" s="1"/>
  <c r="D14" i="7"/>
  <c r="D54" i="7"/>
  <c r="D7" i="7"/>
  <c r="B54" i="7"/>
  <c r="B14" i="7"/>
  <c r="B7" i="7"/>
  <c r="A15" i="24"/>
  <c r="B24" i="31" l="1"/>
  <c r="B17" i="31"/>
  <c r="B20" i="31"/>
  <c r="B19" i="31"/>
  <c r="B22" i="31"/>
  <c r="B18" i="31"/>
  <c r="B16" i="31"/>
  <c r="B21" i="31"/>
  <c r="B23" i="31"/>
  <c r="A25" i="24"/>
  <c r="B25" i="24" s="1"/>
  <c r="A26" i="24"/>
  <c r="B36" i="31" l="1"/>
  <c r="B39" i="31"/>
  <c r="B39" i="32" s="1"/>
  <c r="B38" i="31"/>
  <c r="B38" i="32" s="1"/>
  <c r="B37" i="31"/>
  <c r="B97" i="32" s="1"/>
  <c r="B35" i="31"/>
  <c r="B34" i="31"/>
  <c r="B94" i="32" s="1"/>
  <c r="B32" i="31"/>
  <c r="B92" i="32" s="1"/>
  <c r="B33" i="31"/>
  <c r="B93" i="32" s="1"/>
  <c r="B7" i="31"/>
  <c r="B7" i="32" s="1"/>
  <c r="B53" i="31"/>
  <c r="B54" i="31"/>
  <c r="B29" i="31"/>
  <c r="B89" i="32" s="1"/>
  <c r="B81" i="32"/>
  <c r="B21" i="32"/>
  <c r="B79" i="32"/>
  <c r="B19" i="32"/>
  <c r="B20" i="32"/>
  <c r="B80" i="32"/>
  <c r="B99" i="32"/>
  <c r="B16" i="32"/>
  <c r="B76" i="32"/>
  <c r="B34" i="32"/>
  <c r="B78" i="32"/>
  <c r="B18" i="32"/>
  <c r="B36" i="32"/>
  <c r="B96" i="32"/>
  <c r="B77" i="32"/>
  <c r="B17" i="32"/>
  <c r="B27" i="31"/>
  <c r="B95" i="32"/>
  <c r="B35" i="32"/>
  <c r="B23" i="32"/>
  <c r="B83" i="32"/>
  <c r="B82" i="32"/>
  <c r="B22" i="32"/>
  <c r="B24" i="32"/>
  <c r="B84" i="32"/>
  <c r="B42" i="31"/>
  <c r="B55" i="31"/>
  <c r="B26" i="24"/>
  <c r="B26" i="31" s="1"/>
  <c r="B43" i="31"/>
  <c r="B56" i="31"/>
  <c r="B44" i="31"/>
  <c r="B31" i="31"/>
  <c r="B40" i="31"/>
  <c r="B48" i="31"/>
  <c r="B51" i="31"/>
  <c r="B46" i="31"/>
  <c r="B28" i="31"/>
  <c r="B50" i="31"/>
  <c r="B15" i="31"/>
  <c r="B25" i="31"/>
  <c r="B114" i="32" l="1"/>
  <c r="B54" i="32"/>
  <c r="B113" i="32"/>
  <c r="B53" i="32"/>
  <c r="B98" i="32"/>
  <c r="D98" i="32" s="1"/>
  <c r="B37" i="32"/>
  <c r="E37" i="32" s="1"/>
  <c r="C38" i="6" s="1"/>
  <c r="B33" i="32"/>
  <c r="E33" i="32" s="1"/>
  <c r="C34" i="6" s="1"/>
  <c r="B32" i="32"/>
  <c r="F32" i="32" s="1"/>
  <c r="D33" i="6" s="1"/>
  <c r="D7" i="32"/>
  <c r="C45" i="13" s="1"/>
  <c r="F7" i="32"/>
  <c r="E7" i="32"/>
  <c r="D45" i="13" s="1"/>
  <c r="C7" i="32"/>
  <c r="B67" i="32"/>
  <c r="F114" i="32"/>
  <c r="E114" i="32"/>
  <c r="D114" i="32"/>
  <c r="F113" i="32"/>
  <c r="E113" i="32"/>
  <c r="D113" i="32"/>
  <c r="B29" i="32"/>
  <c r="E29" i="32" s="1"/>
  <c r="C30" i="6" s="1"/>
  <c r="C20" i="14" s="1"/>
  <c r="B86" i="32"/>
  <c r="B26" i="32"/>
  <c r="F24" i="32"/>
  <c r="D25" i="6" s="1"/>
  <c r="D15" i="14" s="1"/>
  <c r="E24" i="32"/>
  <c r="C25" i="6" s="1"/>
  <c r="C15" i="14" s="1"/>
  <c r="D24" i="32"/>
  <c r="B25" i="6" s="1"/>
  <c r="B15" i="14" s="1"/>
  <c r="F82" i="32"/>
  <c r="E82" i="32"/>
  <c r="D82" i="32"/>
  <c r="F97" i="32"/>
  <c r="E97" i="32"/>
  <c r="D97" i="32"/>
  <c r="F93" i="32"/>
  <c r="D93" i="32"/>
  <c r="E93" i="32"/>
  <c r="F96" i="32"/>
  <c r="E96" i="32"/>
  <c r="D96" i="32"/>
  <c r="F34" i="32"/>
  <c r="D35" i="6" s="1"/>
  <c r="E34" i="32"/>
  <c r="C35" i="6" s="1"/>
  <c r="D34" i="32"/>
  <c r="B35" i="6" s="1"/>
  <c r="F98" i="32"/>
  <c r="F80" i="32"/>
  <c r="E80" i="32"/>
  <c r="D80" i="32"/>
  <c r="F21" i="32"/>
  <c r="D22" i="6" s="1"/>
  <c r="D12" i="14" s="1"/>
  <c r="E21" i="32"/>
  <c r="C22" i="6" s="1"/>
  <c r="C12" i="14" s="1"/>
  <c r="D21" i="32"/>
  <c r="B22" i="6" s="1"/>
  <c r="B12" i="14" s="1"/>
  <c r="B28" i="32"/>
  <c r="B88" i="32"/>
  <c r="B85" i="32"/>
  <c r="B25" i="32"/>
  <c r="B106" i="32"/>
  <c r="B46" i="32"/>
  <c r="B100" i="32"/>
  <c r="B40" i="32"/>
  <c r="B15" i="32"/>
  <c r="B75" i="32"/>
  <c r="B52" i="32"/>
  <c r="B91" i="32"/>
  <c r="B31" i="32"/>
  <c r="B50" i="32"/>
  <c r="B110" i="32"/>
  <c r="B111" i="32"/>
  <c r="B51" i="32"/>
  <c r="B104" i="32"/>
  <c r="B44" i="32"/>
  <c r="B115" i="32"/>
  <c r="B55" i="32"/>
  <c r="F92" i="32"/>
  <c r="E92" i="32"/>
  <c r="D92" i="32"/>
  <c r="F83" i="32"/>
  <c r="E83" i="32"/>
  <c r="D83" i="32"/>
  <c r="E35" i="32"/>
  <c r="C36" i="6" s="1"/>
  <c r="F35" i="32"/>
  <c r="D36" i="6" s="1"/>
  <c r="D35" i="32"/>
  <c r="B36" i="6" s="1"/>
  <c r="B27" i="32"/>
  <c r="B87" i="32"/>
  <c r="F36" i="32"/>
  <c r="D37" i="6" s="1"/>
  <c r="D36" i="32"/>
  <c r="B37" i="6" s="1"/>
  <c r="E36" i="32"/>
  <c r="C37" i="6" s="1"/>
  <c r="F94" i="32"/>
  <c r="D94" i="32"/>
  <c r="E94" i="32"/>
  <c r="F38" i="32"/>
  <c r="D39" i="6" s="1"/>
  <c r="E38" i="32"/>
  <c r="C39" i="6" s="1"/>
  <c r="D38" i="32"/>
  <c r="B39" i="6" s="1"/>
  <c r="E20" i="32"/>
  <c r="C21" i="6" s="1"/>
  <c r="D20" i="32"/>
  <c r="B21" i="6" s="1"/>
  <c r="F20" i="32"/>
  <c r="D21" i="6" s="1"/>
  <c r="F81" i="32"/>
  <c r="D81" i="32"/>
  <c r="E81" i="32"/>
  <c r="B116" i="32"/>
  <c r="B56" i="32"/>
  <c r="E23" i="32"/>
  <c r="C24" i="6" s="1"/>
  <c r="C14" i="14" s="1"/>
  <c r="D23" i="32"/>
  <c r="B24" i="6" s="1"/>
  <c r="B14" i="14" s="1"/>
  <c r="F23" i="32"/>
  <c r="D24" i="6" s="1"/>
  <c r="D14" i="14" s="1"/>
  <c r="F95" i="32"/>
  <c r="E95" i="32"/>
  <c r="D95" i="32"/>
  <c r="F17" i="32"/>
  <c r="D18" i="6" s="1"/>
  <c r="E17" i="32"/>
  <c r="C18" i="6" s="1"/>
  <c r="D17" i="32"/>
  <c r="B18" i="6" s="1"/>
  <c r="E18" i="32"/>
  <c r="C19" i="6" s="1"/>
  <c r="D18" i="32"/>
  <c r="B19" i="6" s="1"/>
  <c r="F18" i="32"/>
  <c r="D19" i="6" s="1"/>
  <c r="F76" i="32"/>
  <c r="D76" i="32"/>
  <c r="E76" i="32"/>
  <c r="F99" i="32"/>
  <c r="E99" i="32"/>
  <c r="D99" i="32"/>
  <c r="F19" i="32"/>
  <c r="D20" i="6" s="1"/>
  <c r="D19" i="32"/>
  <c r="B20" i="6" s="1"/>
  <c r="E19" i="32"/>
  <c r="C20" i="6" s="1"/>
  <c r="B43" i="32"/>
  <c r="B103" i="32"/>
  <c r="F84" i="32"/>
  <c r="D84" i="32"/>
  <c r="E84" i="32"/>
  <c r="E22" i="32"/>
  <c r="C23" i="6" s="1"/>
  <c r="C13" i="14" s="1"/>
  <c r="D22" i="32"/>
  <c r="B23" i="6" s="1"/>
  <c r="B13" i="14" s="1"/>
  <c r="F22" i="32"/>
  <c r="D23" i="6" s="1"/>
  <c r="D13" i="14" s="1"/>
  <c r="F37" i="32"/>
  <c r="D38" i="6" s="1"/>
  <c r="F77" i="32"/>
  <c r="D77" i="32"/>
  <c r="E77" i="32"/>
  <c r="F78" i="32"/>
  <c r="D78" i="32"/>
  <c r="E78" i="32"/>
  <c r="E16" i="32"/>
  <c r="C17" i="6" s="1"/>
  <c r="F16" i="32"/>
  <c r="D17" i="6" s="1"/>
  <c r="D16" i="32"/>
  <c r="B17" i="6" s="1"/>
  <c r="F39" i="32"/>
  <c r="D40" i="6" s="1"/>
  <c r="E39" i="32"/>
  <c r="C40" i="6" s="1"/>
  <c r="D39" i="32"/>
  <c r="B40" i="6" s="1"/>
  <c r="F79" i="32"/>
  <c r="E79" i="32"/>
  <c r="D79" i="32"/>
  <c r="F89" i="32"/>
  <c r="D89" i="32"/>
  <c r="E89" i="32"/>
  <c r="B102" i="32"/>
  <c r="B42" i="32"/>
  <c r="E53" i="32" l="1"/>
  <c r="C54" i="6" s="1"/>
  <c r="F53" i="32"/>
  <c r="D54" i="6" s="1"/>
  <c r="D53" i="32"/>
  <c r="B54" i="6" s="1"/>
  <c r="F54" i="32"/>
  <c r="D55" i="6" s="1"/>
  <c r="D26" i="14" s="1"/>
  <c r="D54" i="32"/>
  <c r="B55" i="6" s="1"/>
  <c r="B26" i="14" s="1"/>
  <c r="E54" i="32"/>
  <c r="C55" i="6" s="1"/>
  <c r="C26" i="14" s="1"/>
  <c r="E98" i="32"/>
  <c r="F33" i="32"/>
  <c r="D34" i="6" s="1"/>
  <c r="D37" i="32"/>
  <c r="B38" i="6" s="1"/>
  <c r="D52" i="13"/>
  <c r="D53" i="13" s="1"/>
  <c r="D55" i="13" s="1"/>
  <c r="D33" i="32"/>
  <c r="B34" i="6" s="1"/>
  <c r="E32" i="32"/>
  <c r="C33" i="6" s="1"/>
  <c r="D32" i="32"/>
  <c r="B33" i="6" s="1"/>
  <c r="F29" i="32"/>
  <c r="D30" i="6" s="1"/>
  <c r="D20" i="14" s="1"/>
  <c r="B45" i="13"/>
  <c r="F67" i="32"/>
  <c r="E67" i="32"/>
  <c r="D67" i="32"/>
  <c r="D29" i="32"/>
  <c r="B30" i="6" s="1"/>
  <c r="B20" i="14" s="1"/>
  <c r="F103" i="32"/>
  <c r="E103" i="32"/>
  <c r="D103" i="32"/>
  <c r="F104" i="32"/>
  <c r="D104" i="32"/>
  <c r="E104" i="32"/>
  <c r="F50" i="32"/>
  <c r="D51" i="6" s="1"/>
  <c r="D24" i="14" s="1"/>
  <c r="E50" i="32"/>
  <c r="C51" i="6" s="1"/>
  <c r="C24" i="14" s="1"/>
  <c r="D50" i="32"/>
  <c r="B51" i="6" s="1"/>
  <c r="B24" i="14" s="1"/>
  <c r="F100" i="32"/>
  <c r="D100" i="32"/>
  <c r="E100" i="32"/>
  <c r="F85" i="32"/>
  <c r="D85" i="32"/>
  <c r="E85" i="32"/>
  <c r="F43" i="32"/>
  <c r="D44" i="6" s="1"/>
  <c r="D43" i="32"/>
  <c r="B44" i="6" s="1"/>
  <c r="E43" i="32"/>
  <c r="C44" i="6" s="1"/>
  <c r="F56" i="32"/>
  <c r="D57" i="6" s="1"/>
  <c r="D56" i="32"/>
  <c r="B57" i="6" s="1"/>
  <c r="E56" i="32"/>
  <c r="C57" i="6" s="1"/>
  <c r="F55" i="32"/>
  <c r="D56" i="6" s="1"/>
  <c r="D27" i="14" s="1"/>
  <c r="D55" i="32"/>
  <c r="B56" i="6" s="1"/>
  <c r="B27" i="14" s="1"/>
  <c r="E55" i="32"/>
  <c r="C56" i="6" s="1"/>
  <c r="C27" i="14" s="1"/>
  <c r="F51" i="32"/>
  <c r="D52" i="6" s="1"/>
  <c r="D25" i="14" s="1"/>
  <c r="E51" i="32"/>
  <c r="C52" i="6" s="1"/>
  <c r="C25" i="14" s="1"/>
  <c r="D51" i="32"/>
  <c r="B52" i="6" s="1"/>
  <c r="B25" i="14" s="1"/>
  <c r="F31" i="32"/>
  <c r="D32" i="6" s="1"/>
  <c r="E31" i="32"/>
  <c r="C32" i="6" s="1"/>
  <c r="D31" i="32"/>
  <c r="B32" i="6" s="1"/>
  <c r="F75" i="32"/>
  <c r="E75" i="32"/>
  <c r="D75" i="32"/>
  <c r="F46" i="32"/>
  <c r="D47" i="6" s="1"/>
  <c r="D46" i="32"/>
  <c r="B47" i="6" s="1"/>
  <c r="E46" i="32"/>
  <c r="C47" i="6" s="1"/>
  <c r="F88" i="32"/>
  <c r="D88" i="32"/>
  <c r="E88" i="32"/>
  <c r="F116" i="32"/>
  <c r="D116" i="32"/>
  <c r="E116" i="32"/>
  <c r="F87" i="32"/>
  <c r="E87" i="32"/>
  <c r="D87" i="32"/>
  <c r="F115" i="32"/>
  <c r="D115" i="32"/>
  <c r="E115" i="32"/>
  <c r="F111" i="32"/>
  <c r="D111" i="32"/>
  <c r="E111" i="32"/>
  <c r="F91" i="32"/>
  <c r="D91" i="32"/>
  <c r="E91" i="32"/>
  <c r="F15" i="32"/>
  <c r="D15" i="32"/>
  <c r="E15" i="32"/>
  <c r="F106" i="32"/>
  <c r="E106" i="32"/>
  <c r="D106" i="32"/>
  <c r="E28" i="32"/>
  <c r="C29" i="6" s="1"/>
  <c r="C19" i="14" s="1"/>
  <c r="D28" i="32"/>
  <c r="B29" i="6" s="1"/>
  <c r="B19" i="14" s="1"/>
  <c r="F28" i="32"/>
  <c r="D29" i="6" s="1"/>
  <c r="D19" i="14" s="1"/>
  <c r="E26" i="32"/>
  <c r="C27" i="6" s="1"/>
  <c r="C17" i="14" s="1"/>
  <c r="F26" i="32"/>
  <c r="D27" i="6" s="1"/>
  <c r="D17" i="14" s="1"/>
  <c r="D26" i="32"/>
  <c r="B27" i="6" s="1"/>
  <c r="B17" i="14" s="1"/>
  <c r="F27" i="32"/>
  <c r="D28" i="6" s="1"/>
  <c r="D18" i="14" s="1"/>
  <c r="D27" i="32"/>
  <c r="B28" i="6" s="1"/>
  <c r="B18" i="14" s="1"/>
  <c r="E27" i="32"/>
  <c r="C28" i="6" s="1"/>
  <c r="C18" i="14" s="1"/>
  <c r="F44" i="32"/>
  <c r="D45" i="6" s="1"/>
  <c r="D23" i="14" s="1"/>
  <c r="D44" i="32"/>
  <c r="B45" i="6" s="1"/>
  <c r="B23" i="14" s="1"/>
  <c r="E44" i="32"/>
  <c r="C45" i="6" s="1"/>
  <c r="C23" i="14" s="1"/>
  <c r="F110" i="32"/>
  <c r="E110" i="32"/>
  <c r="D110" i="32"/>
  <c r="F52" i="32"/>
  <c r="D52" i="32"/>
  <c r="E52" i="32"/>
  <c r="E40" i="32"/>
  <c r="C41" i="6" s="1"/>
  <c r="C21" i="14" s="1"/>
  <c r="D40" i="32"/>
  <c r="B41" i="6" s="1"/>
  <c r="B21" i="14" s="1"/>
  <c r="F40" i="32"/>
  <c r="D41" i="6" s="1"/>
  <c r="D21" i="14" s="1"/>
  <c r="F25" i="32"/>
  <c r="D26" i="6" s="1"/>
  <c r="D16" i="14" s="1"/>
  <c r="E25" i="32"/>
  <c r="C26" i="6" s="1"/>
  <c r="C16" i="14" s="1"/>
  <c r="D25" i="32"/>
  <c r="B26" i="6" s="1"/>
  <c r="B16" i="14" s="1"/>
  <c r="F86" i="32"/>
  <c r="D86" i="32"/>
  <c r="E86" i="32"/>
  <c r="C52" i="13" l="1"/>
  <c r="B7" i="6"/>
  <c r="B12" i="6" s="1"/>
  <c r="D13" i="32"/>
  <c r="D7" i="6"/>
  <c r="D12" i="6" s="1"/>
  <c r="E45" i="13"/>
  <c r="F45" i="13" s="1"/>
  <c r="F13" i="32"/>
  <c r="B9" i="13"/>
  <c r="C7" i="6"/>
  <c r="C12" i="6" s="1"/>
  <c r="E13" i="32"/>
  <c r="D102" i="32"/>
  <c r="D119" i="32" s="1"/>
  <c r="C16" i="6"/>
  <c r="D33" i="22"/>
  <c r="B16" i="6"/>
  <c r="C33" i="22"/>
  <c r="D16" i="6"/>
  <c r="E33" i="22"/>
  <c r="F102" i="32"/>
  <c r="F42" i="32" s="1"/>
  <c r="E102" i="32"/>
  <c r="E42" i="32" s="1"/>
  <c r="B58" i="30"/>
  <c r="C43" i="6" l="1"/>
  <c r="C22" i="14" s="1"/>
  <c r="D43" i="22"/>
  <c r="D43" i="6"/>
  <c r="D22" i="14" s="1"/>
  <c r="E43" i="22"/>
  <c r="C11" i="13"/>
  <c r="B7" i="13"/>
  <c r="B9" i="15" s="1"/>
  <c r="C10" i="13"/>
  <c r="C14" i="13"/>
  <c r="C53" i="13"/>
  <c r="C55" i="13" s="1"/>
  <c r="C16" i="13"/>
  <c r="E52" i="13"/>
  <c r="C15" i="13"/>
  <c r="C13" i="13"/>
  <c r="C12" i="13"/>
  <c r="D7" i="14"/>
  <c r="D9" i="14" s="1"/>
  <c r="D14" i="6"/>
  <c r="D59" i="6" s="1"/>
  <c r="D64" i="6" s="1"/>
  <c r="D66" i="6" s="1"/>
  <c r="C7" i="14"/>
  <c r="C9" i="14" s="1"/>
  <c r="C14" i="6"/>
  <c r="C59" i="6" s="1"/>
  <c r="C64" i="6" s="1"/>
  <c r="C66" i="6" s="1"/>
  <c r="B14" i="6"/>
  <c r="B7" i="14"/>
  <c r="B9" i="14" s="1"/>
  <c r="D9" i="13"/>
  <c r="E9" i="13"/>
  <c r="C9" i="13"/>
  <c r="D42" i="32"/>
  <c r="B11" i="14"/>
  <c r="E59" i="32"/>
  <c r="D7" i="22" s="1"/>
  <c r="D19" i="22" s="1"/>
  <c r="D11" i="14"/>
  <c r="F59" i="32"/>
  <c r="E7" i="22" s="1"/>
  <c r="E19" i="22" s="1"/>
  <c r="C11" i="14"/>
  <c r="B58" i="33"/>
  <c r="B156" i="33"/>
  <c r="C13" i="22"/>
  <c r="D44" i="22"/>
  <c r="D48" i="22" s="1"/>
  <c r="D49" i="22" s="1"/>
  <c r="E119" i="32"/>
  <c r="D13" i="22" s="1"/>
  <c r="E44" i="22"/>
  <c r="E48" i="22" s="1"/>
  <c r="E49" i="22" s="1"/>
  <c r="F119" i="32"/>
  <c r="E13" i="22" s="1"/>
  <c r="B43" i="6" l="1"/>
  <c r="B22" i="14" s="1"/>
  <c r="C43" i="22"/>
  <c r="C44" i="22" s="1"/>
  <c r="C48" i="22" s="1"/>
  <c r="C49" i="22" s="1"/>
  <c r="E7" i="13"/>
  <c r="E4" i="13"/>
  <c r="E6" i="13" s="1"/>
  <c r="D7" i="13"/>
  <c r="D4" i="13"/>
  <c r="D6" i="13" s="1"/>
  <c r="C7" i="13"/>
  <c r="C4" i="13"/>
  <c r="C6" i="13" s="1"/>
  <c r="D28" i="14"/>
  <c r="D4" i="14" s="1"/>
  <c r="F15" i="13"/>
  <c r="B13" i="10"/>
  <c r="F10" i="13"/>
  <c r="F11" i="13"/>
  <c r="D11" i="13"/>
  <c r="D12" i="13"/>
  <c r="D13" i="13"/>
  <c r="D14" i="13"/>
  <c r="D15" i="13"/>
  <c r="D10" i="13"/>
  <c r="D16" i="13"/>
  <c r="F16" i="13"/>
  <c r="F13" i="13"/>
  <c r="F14" i="13"/>
  <c r="E53" i="13"/>
  <c r="E55" i="13" s="1"/>
  <c r="E16" i="13"/>
  <c r="E11" i="13"/>
  <c r="E13" i="13"/>
  <c r="E12" i="13"/>
  <c r="E14" i="13"/>
  <c r="E15" i="13"/>
  <c r="E10" i="13"/>
  <c r="F12" i="13"/>
  <c r="C28" i="14"/>
  <c r="C4" i="14" s="1"/>
  <c r="C17" i="13"/>
  <c r="C19" i="13" s="1"/>
  <c r="B28" i="14"/>
  <c r="B4" i="14" s="1"/>
  <c r="D32" i="14"/>
  <c r="D59" i="32"/>
  <c r="D123" i="32" s="1"/>
  <c r="B59" i="6"/>
  <c r="B64" i="6" s="1"/>
  <c r="B66" i="6" s="1"/>
  <c r="B32" i="14"/>
  <c r="E21" i="22"/>
  <c r="C32" i="14"/>
  <c r="D156" i="33"/>
  <c r="E156" i="33"/>
  <c r="F156" i="33"/>
  <c r="C156" i="33"/>
  <c r="D58" i="33"/>
  <c r="F58" i="33"/>
  <c r="E58" i="33"/>
  <c r="C58" i="33"/>
  <c r="D21" i="22"/>
  <c r="E123" i="32"/>
  <c r="F123" i="32"/>
  <c r="F17" i="13" l="1"/>
  <c r="D62" i="6"/>
  <c r="E17" i="13"/>
  <c r="E19" i="13" s="1"/>
  <c r="D17" i="13"/>
  <c r="D19" i="13" s="1"/>
  <c r="F19" i="13"/>
  <c r="C31" i="14"/>
  <c r="C7" i="22"/>
  <c r="C21" i="22" s="1"/>
  <c r="B62" i="6" s="1"/>
  <c r="D31" i="14"/>
  <c r="C60" i="7"/>
  <c r="C62" i="6"/>
  <c r="B60" i="7"/>
  <c r="D60" i="7"/>
  <c r="C19" i="22" l="1"/>
  <c r="B31" i="14"/>
  <c r="I30" i="15"/>
  <c r="I28" i="15"/>
  <c r="H31" i="15"/>
  <c r="I31" i="15" s="1"/>
  <c r="I15" i="15"/>
  <c r="B97" i="33" l="1"/>
  <c r="B98" i="33"/>
  <c r="B24" i="22" s="1"/>
  <c r="B100" i="33"/>
  <c r="B96" i="33"/>
  <c r="B158" i="33"/>
  <c r="B157" i="33"/>
  <c r="B19" i="30"/>
  <c r="B93" i="30"/>
  <c r="B81" i="30"/>
  <c r="B82" i="30"/>
  <c r="A45" i="2"/>
  <c r="A46" i="2"/>
  <c r="A44" i="2"/>
  <c r="A43" i="2"/>
  <c r="B42" i="25" s="1"/>
  <c r="B43" i="30" s="1"/>
  <c r="B141" i="33" l="1"/>
  <c r="B43" i="33"/>
  <c r="B81" i="33"/>
  <c r="B179" i="33"/>
  <c r="B78" i="25"/>
  <c r="B79" i="30" s="1"/>
  <c r="B79" i="25"/>
  <c r="B80" i="30" s="1"/>
  <c r="B73" i="25"/>
  <c r="B76" i="25"/>
  <c r="B74" i="25"/>
  <c r="B75" i="25"/>
  <c r="B19" i="25"/>
  <c r="B20" i="30" s="1"/>
  <c r="B24" i="25"/>
  <c r="B25" i="30" s="1"/>
  <c r="B35" i="25"/>
  <c r="B36" i="30" s="1"/>
  <c r="B16" i="25"/>
  <c r="B16" i="30" s="1"/>
  <c r="B18" i="25"/>
  <c r="B18" i="30" s="1"/>
  <c r="B56" i="25"/>
  <c r="B57" i="30" s="1"/>
  <c r="B17" i="25"/>
  <c r="B17" i="30" s="1"/>
  <c r="B36" i="25"/>
  <c r="B37" i="30" s="1"/>
  <c r="B65" i="25"/>
  <c r="B66" i="30" s="1"/>
  <c r="B25" i="25"/>
  <c r="B26" i="30" s="1"/>
  <c r="B15" i="25"/>
  <c r="B15" i="30" s="1"/>
  <c r="B32" i="25"/>
  <c r="B33" i="30" s="1"/>
  <c r="B21" i="25"/>
  <c r="B22" i="30" s="1"/>
  <c r="B64" i="25"/>
  <c r="B65" i="30" s="1"/>
  <c r="B22" i="25"/>
  <c r="B23" i="30" s="1"/>
  <c r="B33" i="25"/>
  <c r="B34" i="30" s="1"/>
  <c r="B14" i="25"/>
  <c r="B63" i="25"/>
  <c r="B64" i="30" s="1"/>
  <c r="B34" i="25"/>
  <c r="B35" i="30" s="1"/>
  <c r="B37" i="25"/>
  <c r="B38" i="30" s="1"/>
  <c r="B11" i="25"/>
  <c r="B8" i="25"/>
  <c r="B39" i="25"/>
  <c r="B40" i="30" s="1"/>
  <c r="B9" i="25"/>
  <c r="B9" i="30" s="1"/>
  <c r="B20" i="25"/>
  <c r="B21" i="30" s="1"/>
  <c r="B40" i="25"/>
  <c r="B41" i="30" s="1"/>
  <c r="B26" i="25"/>
  <c r="B7" i="25"/>
  <c r="B23" i="25"/>
  <c r="B24" i="30" s="1"/>
  <c r="B41" i="25"/>
  <c r="B42" i="30" s="1"/>
  <c r="B38" i="25"/>
  <c r="B39" i="30" s="1"/>
  <c r="B82" i="33"/>
  <c r="B180" i="33"/>
  <c r="B19" i="33"/>
  <c r="B117" i="33"/>
  <c r="B36" i="18"/>
  <c r="B90" i="25"/>
  <c r="B94" i="30" s="1"/>
  <c r="B192" i="33" s="1"/>
  <c r="B77" i="18"/>
  <c r="B87" i="25"/>
  <c r="B75" i="18"/>
  <c r="B34" i="18"/>
  <c r="B73" i="18"/>
  <c r="B86" i="25"/>
  <c r="B89" i="30" s="1"/>
  <c r="B89" i="33" s="1"/>
  <c r="B32" i="18"/>
  <c r="B21" i="18"/>
  <c r="B76" i="30"/>
  <c r="B68" i="18"/>
  <c r="B27" i="18"/>
  <c r="B63" i="18"/>
  <c r="B22" i="18"/>
  <c r="B66" i="25"/>
  <c r="B67" i="30" s="1"/>
  <c r="B20" i="18"/>
  <c r="B61" i="18"/>
  <c r="B14" i="18"/>
  <c r="B13" i="18"/>
  <c r="B43" i="25"/>
  <c r="B44" i="30" s="1"/>
  <c r="B11" i="18"/>
  <c r="B88" i="25"/>
  <c r="B91" i="30" s="1"/>
  <c r="B189" i="33" s="1"/>
  <c r="B35" i="18"/>
  <c r="B71" i="25"/>
  <c r="B76" i="18"/>
  <c r="B72" i="18"/>
  <c r="B23" i="18"/>
  <c r="B64" i="18"/>
  <c r="B31" i="18"/>
  <c r="B85" i="25"/>
  <c r="B88" i="30" s="1"/>
  <c r="B88" i="33" s="1"/>
  <c r="B47" i="25"/>
  <c r="B48" i="30" s="1"/>
  <c r="B82" i="25"/>
  <c r="B85" i="30" s="1"/>
  <c r="B48" i="25"/>
  <c r="B49" i="30" s="1"/>
  <c r="B7" i="30"/>
  <c r="B68" i="25"/>
  <c r="B69" i="30" s="1"/>
  <c r="B69" i="25"/>
  <c r="B70" i="30" s="1"/>
  <c r="B11" i="30"/>
  <c r="B10" i="25"/>
  <c r="B10" i="30" s="1"/>
  <c r="B84" i="30"/>
  <c r="B70" i="25"/>
  <c r="B71" i="30" s="1"/>
  <c r="B67" i="25"/>
  <c r="B68" i="30" s="1"/>
  <c r="B13" i="25"/>
  <c r="B13" i="30" s="1"/>
  <c r="B55" i="25"/>
  <c r="B56" i="30" s="1"/>
  <c r="B6" i="25"/>
  <c r="B6" i="30" s="1"/>
  <c r="B14" i="30"/>
  <c r="B74" i="30"/>
  <c r="B46" i="25"/>
  <c r="B49" i="25"/>
  <c r="B50" i="30" s="1"/>
  <c r="B45" i="25"/>
  <c r="B44" i="25"/>
  <c r="B45" i="30" s="1"/>
  <c r="B50" i="25"/>
  <c r="B51" i="30" s="1"/>
  <c r="B80" i="25"/>
  <c r="B83" i="30" s="1"/>
  <c r="B31" i="25"/>
  <c r="B32" i="30" s="1"/>
  <c r="B30" i="25"/>
  <c r="B31" i="30" s="1"/>
  <c r="B28" i="25"/>
  <c r="B29" i="30" s="1"/>
  <c r="B29" i="25"/>
  <c r="B30" i="30" s="1"/>
  <c r="B27" i="25"/>
  <c r="B72" i="25"/>
  <c r="B77" i="25"/>
  <c r="B78" i="30" s="1"/>
  <c r="B191" i="33"/>
  <c r="B93" i="33"/>
  <c r="B97" i="30"/>
  <c r="B107" i="30"/>
  <c r="B60" i="30"/>
  <c r="B102" i="25"/>
  <c r="B112" i="25"/>
  <c r="B93" i="25"/>
  <c r="E43" i="33" l="1"/>
  <c r="D43" i="33"/>
  <c r="C43" i="33"/>
  <c r="F43" i="33"/>
  <c r="D45" i="7" s="1"/>
  <c r="C141" i="33"/>
  <c r="F141" i="33"/>
  <c r="E141" i="33"/>
  <c r="D141" i="33"/>
  <c r="B75" i="30"/>
  <c r="B75" i="33" s="1"/>
  <c r="B16" i="33"/>
  <c r="B114" i="33"/>
  <c r="B80" i="33"/>
  <c r="B178" i="33"/>
  <c r="B51" i="33"/>
  <c r="B149" i="33"/>
  <c r="B11" i="33"/>
  <c r="B109" i="33"/>
  <c r="B105" i="33"/>
  <c r="B7" i="33"/>
  <c r="B85" i="33"/>
  <c r="B183" i="33"/>
  <c r="B44" i="33"/>
  <c r="B142" i="33"/>
  <c r="C82" i="33"/>
  <c r="E82" i="33"/>
  <c r="C84" i="7" s="1"/>
  <c r="F82" i="33"/>
  <c r="D84" i="7" s="1"/>
  <c r="D82" i="33"/>
  <c r="B84" i="7" s="1"/>
  <c r="B9" i="33"/>
  <c r="B107" i="33"/>
  <c r="B38" i="33"/>
  <c r="B136" i="33"/>
  <c r="B34" i="33"/>
  <c r="B132" i="33"/>
  <c r="B33" i="33"/>
  <c r="B131" i="33"/>
  <c r="B37" i="33"/>
  <c r="B135" i="33"/>
  <c r="B77" i="30"/>
  <c r="B31" i="33"/>
  <c r="B129" i="33"/>
  <c r="B45" i="33"/>
  <c r="B143" i="33"/>
  <c r="B172" i="33"/>
  <c r="B74" i="33"/>
  <c r="B56" i="33"/>
  <c r="B154" i="33"/>
  <c r="B15" i="33"/>
  <c r="B113" i="33"/>
  <c r="B17" i="33"/>
  <c r="B115" i="33"/>
  <c r="B73" i="30"/>
  <c r="B48" i="33"/>
  <c r="B146" i="33"/>
  <c r="B165" i="33"/>
  <c r="B67" i="33"/>
  <c r="E117" i="33"/>
  <c r="D117" i="33"/>
  <c r="F117" i="33"/>
  <c r="C117" i="33"/>
  <c r="B39" i="33"/>
  <c r="B137" i="33"/>
  <c r="B40" i="33"/>
  <c r="B138" i="33"/>
  <c r="B35" i="33"/>
  <c r="B133" i="33"/>
  <c r="B23" i="33"/>
  <c r="B121" i="33"/>
  <c r="B36" i="33"/>
  <c r="B134" i="33"/>
  <c r="B177" i="33"/>
  <c r="B79" i="33"/>
  <c r="B169" i="33"/>
  <c r="B71" i="33"/>
  <c r="B27" i="30"/>
  <c r="B28" i="30"/>
  <c r="B14" i="33"/>
  <c r="B112" i="33"/>
  <c r="B84" i="33"/>
  <c r="B182" i="33"/>
  <c r="B49" i="33"/>
  <c r="B147" i="33"/>
  <c r="E179" i="33"/>
  <c r="C179" i="33"/>
  <c r="D179" i="33"/>
  <c r="F179" i="33"/>
  <c r="B24" i="34" s="1"/>
  <c r="C24" i="34" s="1"/>
  <c r="B78" i="33"/>
  <c r="B176" i="33"/>
  <c r="B29" i="33"/>
  <c r="B127" i="33"/>
  <c r="B55" i="30"/>
  <c r="B47" i="30"/>
  <c r="B32" i="33"/>
  <c r="B130" i="33"/>
  <c r="B54" i="30"/>
  <c r="B46" i="30"/>
  <c r="B13" i="33"/>
  <c r="B111" i="33"/>
  <c r="B168" i="33"/>
  <c r="B70" i="33"/>
  <c r="B76" i="33"/>
  <c r="B174" i="33"/>
  <c r="E19" i="33"/>
  <c r="D19" i="33"/>
  <c r="F19" i="33"/>
  <c r="C19" i="33"/>
  <c r="B42" i="33"/>
  <c r="B140" i="33"/>
  <c r="B41" i="33"/>
  <c r="B139" i="33"/>
  <c r="B162" i="33"/>
  <c r="B64" i="33"/>
  <c r="B163" i="33"/>
  <c r="B65" i="33"/>
  <c r="B26" i="33"/>
  <c r="B124" i="33"/>
  <c r="B57" i="33"/>
  <c r="B155" i="33"/>
  <c r="B123" i="33"/>
  <c r="B25" i="33"/>
  <c r="B30" i="33"/>
  <c r="B128" i="33"/>
  <c r="B83" i="33"/>
  <c r="B181" i="33"/>
  <c r="B50" i="33"/>
  <c r="B148" i="33"/>
  <c r="B68" i="33"/>
  <c r="B166" i="33"/>
  <c r="B10" i="33"/>
  <c r="B108" i="33"/>
  <c r="B69" i="33"/>
  <c r="B167" i="33"/>
  <c r="B72" i="30"/>
  <c r="D180" i="33"/>
  <c r="F180" i="33"/>
  <c r="B25" i="34" s="1"/>
  <c r="C25" i="34" s="1"/>
  <c r="C180" i="33"/>
  <c r="E180" i="33"/>
  <c r="B24" i="33"/>
  <c r="B122" i="33"/>
  <c r="B21" i="33"/>
  <c r="B119" i="33"/>
  <c r="B22" i="33"/>
  <c r="B120" i="33"/>
  <c r="B164" i="33"/>
  <c r="B66" i="33"/>
  <c r="B18" i="33"/>
  <c r="B116" i="33"/>
  <c r="B118" i="33"/>
  <c r="B20" i="33"/>
  <c r="C81" i="33"/>
  <c r="F81" i="33"/>
  <c r="D83" i="7" s="1"/>
  <c r="D81" i="33"/>
  <c r="B83" i="7" s="1"/>
  <c r="E81" i="33"/>
  <c r="C83" i="7" s="1"/>
  <c r="B90" i="30"/>
  <c r="B188" i="33" s="1"/>
  <c r="F188" i="33" s="1"/>
  <c r="B92" i="30"/>
  <c r="B8" i="30"/>
  <c r="E21" i="18"/>
  <c r="D21" i="18"/>
  <c r="C21" i="18"/>
  <c r="F21" i="18"/>
  <c r="B187" i="33"/>
  <c r="E187" i="33" s="1"/>
  <c r="B94" i="33"/>
  <c r="E94" i="33" s="1"/>
  <c r="C96" i="7" s="1"/>
  <c r="E77" i="18"/>
  <c r="F77" i="18"/>
  <c r="D77" i="18"/>
  <c r="C77" i="18"/>
  <c r="F34" i="18"/>
  <c r="E34" i="18"/>
  <c r="D34" i="18"/>
  <c r="C34" i="18"/>
  <c r="F75" i="18"/>
  <c r="E75" i="18"/>
  <c r="D75" i="18"/>
  <c r="C75" i="18"/>
  <c r="E32" i="18"/>
  <c r="F32" i="18"/>
  <c r="D32" i="18"/>
  <c r="C32" i="18"/>
  <c r="E73" i="18"/>
  <c r="D73" i="18"/>
  <c r="F73" i="18"/>
  <c r="C73" i="18"/>
  <c r="F27" i="18"/>
  <c r="D27" i="18"/>
  <c r="E27" i="18"/>
  <c r="C27" i="18"/>
  <c r="E68" i="18"/>
  <c r="F68" i="18"/>
  <c r="D68" i="18"/>
  <c r="C68" i="18"/>
  <c r="E22" i="18"/>
  <c r="F22" i="18"/>
  <c r="D22" i="18"/>
  <c r="C22" i="18"/>
  <c r="D63" i="18"/>
  <c r="E63" i="18"/>
  <c r="F63" i="18"/>
  <c r="C63" i="18"/>
  <c r="F61" i="18"/>
  <c r="D61" i="18"/>
  <c r="E61" i="18"/>
  <c r="C61" i="18"/>
  <c r="E20" i="18"/>
  <c r="D20" i="18"/>
  <c r="F20" i="18"/>
  <c r="C20" i="18"/>
  <c r="F13" i="18"/>
  <c r="E13" i="18"/>
  <c r="D13" i="18"/>
  <c r="C13" i="18"/>
  <c r="D14" i="18"/>
  <c r="F14" i="18"/>
  <c r="E14" i="18"/>
  <c r="C14" i="18"/>
  <c r="B91" i="33"/>
  <c r="F91" i="33" s="1"/>
  <c r="D93" i="7" s="1"/>
  <c r="F35" i="18"/>
  <c r="D35" i="18"/>
  <c r="E35" i="18"/>
  <c r="C35" i="18"/>
  <c r="D76" i="18"/>
  <c r="E76" i="18"/>
  <c r="F76" i="18"/>
  <c r="C76" i="18"/>
  <c r="F11" i="18"/>
  <c r="D11" i="18"/>
  <c r="E11" i="18"/>
  <c r="C11" i="18"/>
  <c r="D31" i="18"/>
  <c r="F31" i="18"/>
  <c r="E31" i="18"/>
  <c r="C31" i="18"/>
  <c r="E64" i="18"/>
  <c r="F64" i="18"/>
  <c r="D64" i="18"/>
  <c r="C64" i="18"/>
  <c r="B186" i="33"/>
  <c r="E186" i="33" s="1"/>
  <c r="D23" i="18"/>
  <c r="F23" i="18"/>
  <c r="E23" i="18"/>
  <c r="C23" i="18"/>
  <c r="D72" i="18"/>
  <c r="F72" i="18"/>
  <c r="E72" i="18"/>
  <c r="C72" i="18"/>
  <c r="E57" i="18"/>
  <c r="D57" i="18"/>
  <c r="C57" i="18"/>
  <c r="C93" i="33"/>
  <c r="B104" i="33"/>
  <c r="B6" i="33"/>
  <c r="E189" i="33"/>
  <c r="F189" i="33"/>
  <c r="D189" i="33"/>
  <c r="C191" i="33"/>
  <c r="E89" i="33"/>
  <c r="C91" i="7" s="1"/>
  <c r="F89" i="33"/>
  <c r="D91" i="7" s="1"/>
  <c r="D89" i="33"/>
  <c r="B91" i="7" s="1"/>
  <c r="F93" i="33"/>
  <c r="D95" i="7" s="1"/>
  <c r="E93" i="33"/>
  <c r="C95" i="7" s="1"/>
  <c r="D93" i="33"/>
  <c r="B95" i="7" s="1"/>
  <c r="F192" i="33"/>
  <c r="B28" i="34" s="1"/>
  <c r="C28" i="34" s="1"/>
  <c r="D192" i="33"/>
  <c r="E192" i="33"/>
  <c r="E191" i="33"/>
  <c r="F191" i="33"/>
  <c r="D191" i="33"/>
  <c r="F88" i="33"/>
  <c r="D90" i="7" s="1"/>
  <c r="E88" i="33"/>
  <c r="C90" i="7" s="1"/>
  <c r="D88" i="33"/>
  <c r="B90" i="7" s="1"/>
  <c r="C89" i="33"/>
  <c r="C88" i="33"/>
  <c r="C192" i="33"/>
  <c r="C189" i="33"/>
  <c r="C45" i="7" l="1"/>
  <c r="B45" i="7"/>
  <c r="B173" i="33"/>
  <c r="E173" i="33" s="1"/>
  <c r="C21" i="7"/>
  <c r="B21" i="7"/>
  <c r="D21" i="7"/>
  <c r="C188" i="33"/>
  <c r="B8" i="33"/>
  <c r="B106" i="33"/>
  <c r="D164" i="33"/>
  <c r="F164" i="33"/>
  <c r="B19" i="34" s="1"/>
  <c r="C19" i="34" s="1"/>
  <c r="E164" i="33"/>
  <c r="C164" i="33"/>
  <c r="E166" i="33"/>
  <c r="F166" i="33"/>
  <c r="C166" i="33"/>
  <c r="D166" i="33"/>
  <c r="C124" i="33"/>
  <c r="E124" i="33"/>
  <c r="D124" i="33"/>
  <c r="F124" i="33"/>
  <c r="C70" i="33"/>
  <c r="E70" i="33"/>
  <c r="F70" i="33"/>
  <c r="D70" i="33"/>
  <c r="D79" i="33"/>
  <c r="B81" i="7" s="1"/>
  <c r="E79" i="33"/>
  <c r="C81" i="7" s="1"/>
  <c r="C79" i="33"/>
  <c r="F79" i="33"/>
  <c r="D81" i="7" s="1"/>
  <c r="D21" i="33"/>
  <c r="C21" i="33"/>
  <c r="F21" i="33"/>
  <c r="E21" i="33"/>
  <c r="D181" i="33"/>
  <c r="F181" i="33"/>
  <c r="E181" i="33"/>
  <c r="C181" i="33"/>
  <c r="D64" i="33"/>
  <c r="B66" i="7" s="1"/>
  <c r="C64" i="33"/>
  <c r="F64" i="33"/>
  <c r="D66" i="7" s="1"/>
  <c r="E64" i="33"/>
  <c r="C66" i="7" s="1"/>
  <c r="B46" i="33"/>
  <c r="B144" i="33"/>
  <c r="D176" i="33"/>
  <c r="C176" i="33"/>
  <c r="E176" i="33"/>
  <c r="F176" i="33"/>
  <c r="B21" i="34" s="1"/>
  <c r="C21" i="34" s="1"/>
  <c r="E182" i="33"/>
  <c r="C182" i="33"/>
  <c r="D182" i="33"/>
  <c r="F182" i="33"/>
  <c r="B26" i="34" s="1"/>
  <c r="C26" i="34" s="1"/>
  <c r="E121" i="33"/>
  <c r="C121" i="33"/>
  <c r="F121" i="33"/>
  <c r="D121" i="33"/>
  <c r="B73" i="33"/>
  <c r="B171" i="33"/>
  <c r="F31" i="33"/>
  <c r="C31" i="33"/>
  <c r="D31" i="33"/>
  <c r="E31" i="33"/>
  <c r="D131" i="33"/>
  <c r="E131" i="33"/>
  <c r="F131" i="33"/>
  <c r="C131" i="33"/>
  <c r="E142" i="33"/>
  <c r="F142" i="33"/>
  <c r="D142" i="33"/>
  <c r="C142" i="33"/>
  <c r="E109" i="33"/>
  <c r="D109" i="33"/>
  <c r="C109" i="33"/>
  <c r="F109" i="33"/>
  <c r="E116" i="33"/>
  <c r="C116" i="33"/>
  <c r="D116" i="33"/>
  <c r="F116" i="33"/>
  <c r="E122" i="33"/>
  <c r="C122" i="33"/>
  <c r="F122" i="33"/>
  <c r="D122" i="33"/>
  <c r="D68" i="33"/>
  <c r="C68" i="33"/>
  <c r="E68" i="33"/>
  <c r="F68" i="33"/>
  <c r="D123" i="33"/>
  <c r="C123" i="33"/>
  <c r="E123" i="33"/>
  <c r="F123" i="33"/>
  <c r="C42" i="33"/>
  <c r="E42" i="33"/>
  <c r="D42" i="33"/>
  <c r="F42" i="33"/>
  <c r="B54" i="33"/>
  <c r="B152" i="33"/>
  <c r="C78" i="33"/>
  <c r="E78" i="33"/>
  <c r="C80" i="7" s="1"/>
  <c r="F78" i="33"/>
  <c r="D80" i="7" s="1"/>
  <c r="D78" i="33"/>
  <c r="B80" i="7" s="1"/>
  <c r="B27" i="33"/>
  <c r="B125" i="33"/>
  <c r="E23" i="33"/>
  <c r="C23" i="33"/>
  <c r="D23" i="33"/>
  <c r="F23" i="33"/>
  <c r="F165" i="33"/>
  <c r="E165" i="33"/>
  <c r="C165" i="33"/>
  <c r="D165" i="33"/>
  <c r="B77" i="33"/>
  <c r="B175" i="33"/>
  <c r="D33" i="33"/>
  <c r="C33" i="33"/>
  <c r="F33" i="33"/>
  <c r="E33" i="33"/>
  <c r="C85" i="33"/>
  <c r="D85" i="33"/>
  <c r="B87" i="7" s="1"/>
  <c r="E85" i="33"/>
  <c r="C87" i="7" s="1"/>
  <c r="F85" i="33"/>
  <c r="D87" i="7" s="1"/>
  <c r="E11" i="33"/>
  <c r="C11" i="33"/>
  <c r="D11" i="33"/>
  <c r="F11" i="33"/>
  <c r="D80" i="33"/>
  <c r="B82" i="7" s="1"/>
  <c r="C80" i="33"/>
  <c r="F80" i="33"/>
  <c r="D82" i="7" s="1"/>
  <c r="E80" i="33"/>
  <c r="C82" i="7" s="1"/>
  <c r="E18" i="33"/>
  <c r="F18" i="33"/>
  <c r="D18" i="33"/>
  <c r="C18" i="33"/>
  <c r="D22" i="33"/>
  <c r="E22" i="33"/>
  <c r="C22" i="33"/>
  <c r="F22" i="33"/>
  <c r="E24" i="33"/>
  <c r="C24" i="33"/>
  <c r="F24" i="33"/>
  <c r="D24" i="33"/>
  <c r="C108" i="33"/>
  <c r="E108" i="33"/>
  <c r="D108" i="33"/>
  <c r="F108" i="33"/>
  <c r="D148" i="33"/>
  <c r="F148" i="33"/>
  <c r="E148" i="33"/>
  <c r="C148" i="33"/>
  <c r="C128" i="33"/>
  <c r="E128" i="33"/>
  <c r="D128" i="33"/>
  <c r="F128" i="33"/>
  <c r="E155" i="33"/>
  <c r="C155" i="33"/>
  <c r="D155" i="33"/>
  <c r="F155" i="33"/>
  <c r="B16" i="34" s="1"/>
  <c r="C16" i="34" s="1"/>
  <c r="C65" i="33"/>
  <c r="F65" i="33"/>
  <c r="D67" i="7" s="1"/>
  <c r="D65" i="33"/>
  <c r="B67" i="7" s="1"/>
  <c r="E65" i="33"/>
  <c r="C67" i="7" s="1"/>
  <c r="D139" i="33"/>
  <c r="F139" i="33"/>
  <c r="C139" i="33"/>
  <c r="E139" i="33"/>
  <c r="E174" i="33"/>
  <c r="C174" i="33"/>
  <c r="D174" i="33"/>
  <c r="F174" i="33"/>
  <c r="D111" i="33"/>
  <c r="C111" i="33"/>
  <c r="F111" i="33"/>
  <c r="E111" i="33"/>
  <c r="E130" i="33"/>
  <c r="F130" i="33"/>
  <c r="C130" i="33"/>
  <c r="D130" i="33"/>
  <c r="D127" i="33"/>
  <c r="F127" i="33"/>
  <c r="C127" i="33"/>
  <c r="E127" i="33"/>
  <c r="E147" i="33"/>
  <c r="C147" i="33"/>
  <c r="F147" i="33"/>
  <c r="B12" i="34" s="1"/>
  <c r="C12" i="34" s="1"/>
  <c r="D147" i="33"/>
  <c r="F112" i="33"/>
  <c r="D112" i="33"/>
  <c r="C112" i="33"/>
  <c r="E112" i="33"/>
  <c r="D71" i="33"/>
  <c r="E71" i="33"/>
  <c r="C71" i="33"/>
  <c r="F71" i="33"/>
  <c r="E134" i="33"/>
  <c r="F134" i="33"/>
  <c r="C134" i="33"/>
  <c r="D134" i="33"/>
  <c r="E133" i="33"/>
  <c r="D133" i="33"/>
  <c r="C133" i="33"/>
  <c r="F133" i="33"/>
  <c r="E137" i="33"/>
  <c r="D137" i="33"/>
  <c r="F137" i="33"/>
  <c r="C137" i="33"/>
  <c r="E146" i="33"/>
  <c r="F146" i="33"/>
  <c r="D146" i="33"/>
  <c r="C146" i="33"/>
  <c r="D17" i="33"/>
  <c r="E17" i="33"/>
  <c r="F17" i="33"/>
  <c r="C17" i="33"/>
  <c r="C56" i="33"/>
  <c r="F56" i="33"/>
  <c r="D58" i="7" s="1"/>
  <c r="D56" i="33"/>
  <c r="B58" i="7" s="1"/>
  <c r="E56" i="33"/>
  <c r="C58" i="7" s="1"/>
  <c r="E45" i="33"/>
  <c r="C45" i="33"/>
  <c r="D45" i="33"/>
  <c r="F45" i="33"/>
  <c r="D135" i="33"/>
  <c r="E135" i="33"/>
  <c r="C135" i="33"/>
  <c r="F135" i="33"/>
  <c r="C132" i="33"/>
  <c r="E132" i="33"/>
  <c r="F132" i="33"/>
  <c r="D132" i="33"/>
  <c r="D107" i="33"/>
  <c r="F107" i="33"/>
  <c r="C107" i="33"/>
  <c r="E107" i="33"/>
  <c r="E7" i="33"/>
  <c r="D7" i="33"/>
  <c r="F7" i="33"/>
  <c r="C7" i="33"/>
  <c r="C149" i="33"/>
  <c r="F149" i="33"/>
  <c r="E149" i="33"/>
  <c r="D149" i="33"/>
  <c r="E114" i="33"/>
  <c r="C114" i="33"/>
  <c r="F114" i="33"/>
  <c r="D114" i="33"/>
  <c r="E118" i="33"/>
  <c r="F118" i="33"/>
  <c r="C118" i="33"/>
  <c r="D118" i="33"/>
  <c r="E167" i="33"/>
  <c r="C167" i="33"/>
  <c r="F167" i="33"/>
  <c r="D167" i="33"/>
  <c r="D25" i="33"/>
  <c r="F25" i="33"/>
  <c r="E25" i="33"/>
  <c r="C25" i="33"/>
  <c r="C140" i="33"/>
  <c r="F140" i="33"/>
  <c r="E140" i="33"/>
  <c r="D140" i="33"/>
  <c r="B47" i="33"/>
  <c r="B145" i="33"/>
  <c r="B28" i="33"/>
  <c r="B126" i="33"/>
  <c r="E138" i="33"/>
  <c r="F138" i="33"/>
  <c r="C138" i="33"/>
  <c r="D138" i="33"/>
  <c r="D67" i="33"/>
  <c r="E67" i="33"/>
  <c r="C67" i="33"/>
  <c r="F67" i="33"/>
  <c r="E15" i="33"/>
  <c r="F15" i="33"/>
  <c r="D15" i="33"/>
  <c r="C15" i="33"/>
  <c r="D172" i="33"/>
  <c r="F172" i="33"/>
  <c r="E172" i="33"/>
  <c r="C172" i="33"/>
  <c r="C136" i="33"/>
  <c r="E136" i="33"/>
  <c r="D136" i="33"/>
  <c r="F136" i="33"/>
  <c r="F183" i="33"/>
  <c r="B27" i="34" s="1"/>
  <c r="C27" i="34" s="1"/>
  <c r="C183" i="33"/>
  <c r="D183" i="33"/>
  <c r="E183" i="33"/>
  <c r="E178" i="33"/>
  <c r="C178" i="33"/>
  <c r="F178" i="33"/>
  <c r="B23" i="34" s="1"/>
  <c r="C23" i="34" s="1"/>
  <c r="D178" i="33"/>
  <c r="D120" i="33"/>
  <c r="F120" i="33"/>
  <c r="E120" i="33"/>
  <c r="C120" i="33"/>
  <c r="C69" i="33"/>
  <c r="D69" i="33"/>
  <c r="E69" i="33"/>
  <c r="F69" i="33"/>
  <c r="D83" i="33"/>
  <c r="E83" i="33"/>
  <c r="C83" i="33"/>
  <c r="F83" i="33"/>
  <c r="C26" i="33"/>
  <c r="D26" i="33"/>
  <c r="E26" i="33"/>
  <c r="F26" i="33"/>
  <c r="E162" i="33"/>
  <c r="C162" i="33"/>
  <c r="D162" i="33"/>
  <c r="F162" i="33"/>
  <c r="B18" i="34" s="1"/>
  <c r="C18" i="34" s="1"/>
  <c r="D168" i="33"/>
  <c r="C168" i="33"/>
  <c r="F168" i="33"/>
  <c r="E168" i="33"/>
  <c r="B55" i="33"/>
  <c r="B153" i="33"/>
  <c r="D84" i="33"/>
  <c r="B86" i="7" s="1"/>
  <c r="C84" i="33"/>
  <c r="E84" i="33"/>
  <c r="C86" i="7" s="1"/>
  <c r="F84" i="33"/>
  <c r="D86" i="7" s="1"/>
  <c r="D177" i="33"/>
  <c r="F177" i="33"/>
  <c r="B22" i="34" s="1"/>
  <c r="C22" i="34" s="1"/>
  <c r="C177" i="33"/>
  <c r="E177" i="33"/>
  <c r="E40" i="33"/>
  <c r="C40" i="33"/>
  <c r="F40" i="33"/>
  <c r="D40" i="33"/>
  <c r="D115" i="33"/>
  <c r="E115" i="33"/>
  <c r="F115" i="33"/>
  <c r="C115" i="33"/>
  <c r="F154" i="33"/>
  <c r="B15" i="34" s="1"/>
  <c r="C15" i="34" s="1"/>
  <c r="C154" i="33"/>
  <c r="D154" i="33"/>
  <c r="E154" i="33"/>
  <c r="E143" i="33"/>
  <c r="F143" i="33"/>
  <c r="C143" i="33"/>
  <c r="D143" i="33"/>
  <c r="C38" i="33"/>
  <c r="E38" i="33"/>
  <c r="F38" i="33"/>
  <c r="D38" i="33"/>
  <c r="D44" i="33"/>
  <c r="C44" i="33"/>
  <c r="E44" i="33"/>
  <c r="F44" i="33"/>
  <c r="E20" i="33"/>
  <c r="F20" i="33"/>
  <c r="C20" i="33"/>
  <c r="D20" i="33"/>
  <c r="C66" i="33"/>
  <c r="E66" i="33"/>
  <c r="C68" i="7" s="1"/>
  <c r="F66" i="33"/>
  <c r="D68" i="7" s="1"/>
  <c r="D66" i="33"/>
  <c r="B68" i="7" s="1"/>
  <c r="D119" i="33"/>
  <c r="E119" i="33"/>
  <c r="C119" i="33"/>
  <c r="F119" i="33"/>
  <c r="B72" i="33"/>
  <c r="B170" i="33"/>
  <c r="C10" i="33"/>
  <c r="D10" i="33"/>
  <c r="F10" i="33"/>
  <c r="E10" i="33"/>
  <c r="D50" i="33"/>
  <c r="E50" i="33"/>
  <c r="F50" i="33"/>
  <c r="C50" i="33"/>
  <c r="C30" i="33"/>
  <c r="D30" i="33"/>
  <c r="F30" i="33"/>
  <c r="E30" i="33"/>
  <c r="E57" i="33"/>
  <c r="C59" i="7" s="1"/>
  <c r="C57" i="33"/>
  <c r="D57" i="33"/>
  <c r="B59" i="7" s="1"/>
  <c r="F57" i="33"/>
  <c r="D59" i="7" s="1"/>
  <c r="E163" i="33"/>
  <c r="F163" i="33"/>
  <c r="C163" i="33"/>
  <c r="D163" i="33"/>
  <c r="D41" i="33"/>
  <c r="E41" i="33"/>
  <c r="C41" i="33"/>
  <c r="F41" i="33"/>
  <c r="D76" i="33"/>
  <c r="C76" i="33"/>
  <c r="F76" i="33"/>
  <c r="E76" i="33"/>
  <c r="D13" i="33"/>
  <c r="C13" i="33"/>
  <c r="E13" i="33"/>
  <c r="F13" i="33"/>
  <c r="E32" i="33"/>
  <c r="F32" i="33"/>
  <c r="C32" i="33"/>
  <c r="D32" i="33"/>
  <c r="D29" i="33"/>
  <c r="C29" i="33"/>
  <c r="E29" i="33"/>
  <c r="F29" i="33"/>
  <c r="E49" i="33"/>
  <c r="C51" i="7" s="1"/>
  <c r="C49" i="33"/>
  <c r="F49" i="33"/>
  <c r="D51" i="7" s="1"/>
  <c r="D49" i="33"/>
  <c r="B51" i="7" s="1"/>
  <c r="F14" i="33"/>
  <c r="C14" i="33"/>
  <c r="D14" i="33"/>
  <c r="E14" i="33"/>
  <c r="E169" i="33"/>
  <c r="F169" i="33"/>
  <c r="C169" i="33"/>
  <c r="D169" i="33"/>
  <c r="E36" i="33"/>
  <c r="F36" i="33"/>
  <c r="C36" i="33"/>
  <c r="D36" i="33"/>
  <c r="E35" i="33"/>
  <c r="F35" i="33"/>
  <c r="D35" i="33"/>
  <c r="C35" i="33"/>
  <c r="D39" i="33"/>
  <c r="E39" i="33"/>
  <c r="C39" i="33"/>
  <c r="F39" i="33"/>
  <c r="E48" i="33"/>
  <c r="C48" i="33"/>
  <c r="D48" i="33"/>
  <c r="F48" i="33"/>
  <c r="E113" i="33"/>
  <c r="F113" i="33"/>
  <c r="C113" i="33"/>
  <c r="D113" i="33"/>
  <c r="C74" i="33"/>
  <c r="E74" i="33"/>
  <c r="F74" i="33"/>
  <c r="D74" i="33"/>
  <c r="E129" i="33"/>
  <c r="D129" i="33"/>
  <c r="C129" i="33"/>
  <c r="F129" i="33"/>
  <c r="D37" i="33"/>
  <c r="C37" i="33"/>
  <c r="F37" i="33"/>
  <c r="E37" i="33"/>
  <c r="C34" i="33"/>
  <c r="F34" i="33"/>
  <c r="D34" i="33"/>
  <c r="E34" i="33"/>
  <c r="D9" i="33"/>
  <c r="F9" i="33"/>
  <c r="E9" i="33"/>
  <c r="C9" i="33"/>
  <c r="D75" i="33"/>
  <c r="E75" i="33"/>
  <c r="C75" i="33"/>
  <c r="F75" i="33"/>
  <c r="C105" i="33"/>
  <c r="F105" i="33"/>
  <c r="D105" i="33"/>
  <c r="E105" i="33"/>
  <c r="C51" i="33"/>
  <c r="F51" i="33"/>
  <c r="E51" i="33"/>
  <c r="D51" i="33"/>
  <c r="E16" i="33"/>
  <c r="C16" i="33"/>
  <c r="F16" i="33"/>
  <c r="D16" i="33"/>
  <c r="D188" i="33"/>
  <c r="E188" i="33"/>
  <c r="F187" i="33"/>
  <c r="B90" i="33"/>
  <c r="D90" i="33" s="1"/>
  <c r="B92" i="7" s="1"/>
  <c r="B92" i="33"/>
  <c r="B190" i="33"/>
  <c r="D187" i="33"/>
  <c r="C187" i="33"/>
  <c r="C94" i="33"/>
  <c r="E38" i="18"/>
  <c r="D38" i="18"/>
  <c r="C16" i="18"/>
  <c r="F16" i="18"/>
  <c r="D91" i="33"/>
  <c r="B93" i="7" s="1"/>
  <c r="F94" i="33"/>
  <c r="D96" i="7" s="1"/>
  <c r="D94" i="33"/>
  <c r="B96" i="7" s="1"/>
  <c r="E79" i="18"/>
  <c r="E81" i="18" s="1"/>
  <c r="D9" i="35" s="1"/>
  <c r="C38" i="18"/>
  <c r="F38" i="18"/>
  <c r="C79" i="18"/>
  <c r="C81" i="18" s="1"/>
  <c r="D79" i="18"/>
  <c r="D81" i="18" s="1"/>
  <c r="F79" i="18"/>
  <c r="C91" i="33"/>
  <c r="E91" i="33"/>
  <c r="C93" i="7" s="1"/>
  <c r="D186" i="33"/>
  <c r="C186" i="33"/>
  <c r="F186" i="33"/>
  <c r="E16" i="18"/>
  <c r="F57" i="18"/>
  <c r="D16" i="18"/>
  <c r="D104" i="33"/>
  <c r="F104" i="33"/>
  <c r="E104" i="33"/>
  <c r="C104" i="33"/>
  <c r="F6" i="33"/>
  <c r="D6" i="33"/>
  <c r="C6" i="33"/>
  <c r="E6" i="33"/>
  <c r="C173" i="33" l="1"/>
  <c r="D173" i="33"/>
  <c r="F173" i="33"/>
  <c r="D77" i="7"/>
  <c r="D43" i="7"/>
  <c r="C32" i="7"/>
  <c r="D76" i="7"/>
  <c r="B50" i="7"/>
  <c r="B16" i="7"/>
  <c r="D52" i="7"/>
  <c r="C28" i="7"/>
  <c r="C71" i="7"/>
  <c r="B47" i="7"/>
  <c r="D19" i="7"/>
  <c r="B18" i="7"/>
  <c r="D41" i="7"/>
  <c r="C12" i="7"/>
  <c r="D85" i="7"/>
  <c r="C22" i="7"/>
  <c r="C42" i="7"/>
  <c r="B13" i="7"/>
  <c r="D69" i="7"/>
  <c r="D73" i="7"/>
  <c r="B26" i="7"/>
  <c r="D24" i="7"/>
  <c r="B53" i="7"/>
  <c r="C39" i="7"/>
  <c r="B76" i="7"/>
  <c r="D50" i="7"/>
  <c r="D47" i="7"/>
  <c r="D13" i="7"/>
  <c r="C35" i="7"/>
  <c r="D18" i="7"/>
  <c r="C11" i="7"/>
  <c r="C31" i="7"/>
  <c r="C15" i="7"/>
  <c r="C27" i="7"/>
  <c r="D9" i="7"/>
  <c r="D26" i="7"/>
  <c r="B36" i="7"/>
  <c r="C78" i="7"/>
  <c r="C25" i="7"/>
  <c r="D33" i="7"/>
  <c r="B35" i="7"/>
  <c r="C53" i="7"/>
  <c r="B37" i="7"/>
  <c r="B46" i="7"/>
  <c r="B17" i="7"/>
  <c r="B20" i="7"/>
  <c r="D35" i="7"/>
  <c r="B23" i="7"/>
  <c r="D8" i="7"/>
  <c r="C77" i="7"/>
  <c r="C41" i="7"/>
  <c r="D37" i="7"/>
  <c r="D38" i="7"/>
  <c r="D34" i="7"/>
  <c r="C43" i="7"/>
  <c r="B32" i="7"/>
  <c r="C52" i="7"/>
  <c r="B12" i="7"/>
  <c r="B22" i="7"/>
  <c r="D46" i="7"/>
  <c r="B42" i="7"/>
  <c r="B28" i="7"/>
  <c r="C85" i="7"/>
  <c r="B71" i="7"/>
  <c r="D17" i="7"/>
  <c r="C19" i="7"/>
  <c r="D44" i="7"/>
  <c r="D39" i="7"/>
  <c r="D78" i="7"/>
  <c r="D32" i="7"/>
  <c r="D12" i="7"/>
  <c r="B70" i="7"/>
  <c r="B25" i="7"/>
  <c r="B33" i="7"/>
  <c r="D72" i="7"/>
  <c r="C72" i="7"/>
  <c r="C73" i="7"/>
  <c r="C24" i="7"/>
  <c r="D20" i="7"/>
  <c r="D70" i="7"/>
  <c r="C33" i="7"/>
  <c r="D40" i="7"/>
  <c r="B8" i="7"/>
  <c r="D53" i="7"/>
  <c r="D11" i="7"/>
  <c r="D36" i="7"/>
  <c r="C76" i="7"/>
  <c r="B40" i="7"/>
  <c r="C69" i="7"/>
  <c r="D27" i="7"/>
  <c r="B9" i="7"/>
  <c r="D25" i="7"/>
  <c r="C23" i="7"/>
  <c r="B72" i="7"/>
  <c r="C8" i="7"/>
  <c r="C18" i="7"/>
  <c r="B77" i="7"/>
  <c r="B11" i="7"/>
  <c r="B39" i="7"/>
  <c r="C50" i="7"/>
  <c r="B41" i="7"/>
  <c r="C37" i="7"/>
  <c r="C38" i="7"/>
  <c r="D16" i="7"/>
  <c r="B31" i="7"/>
  <c r="C34" i="7"/>
  <c r="B15" i="7"/>
  <c r="B78" i="7"/>
  <c r="B43" i="7"/>
  <c r="B52" i="7"/>
  <c r="C46" i="7"/>
  <c r="D42" i="7"/>
  <c r="B85" i="7"/>
  <c r="C17" i="7"/>
  <c r="B69" i="7"/>
  <c r="B27" i="7"/>
  <c r="C9" i="7"/>
  <c r="C47" i="7"/>
  <c r="B19" i="7"/>
  <c r="B73" i="7"/>
  <c r="C26" i="7"/>
  <c r="B24" i="7"/>
  <c r="C20" i="7"/>
  <c r="C13" i="7"/>
  <c r="B44" i="7"/>
  <c r="C70" i="7"/>
  <c r="D23" i="7"/>
  <c r="C36" i="7"/>
  <c r="B38" i="7"/>
  <c r="C16" i="7"/>
  <c r="D31" i="7"/>
  <c r="B34" i="7"/>
  <c r="D15" i="7"/>
  <c r="D22" i="7"/>
  <c r="C40" i="7"/>
  <c r="D28" i="7"/>
  <c r="D71" i="7"/>
  <c r="C44" i="7"/>
  <c r="E170" i="33"/>
  <c r="D170" i="33"/>
  <c r="F170" i="33"/>
  <c r="B20" i="34" s="1"/>
  <c r="C20" i="34" s="1"/>
  <c r="C170" i="33"/>
  <c r="D152" i="33"/>
  <c r="C152" i="33"/>
  <c r="E152" i="33"/>
  <c r="F152" i="33"/>
  <c r="D144" i="33"/>
  <c r="F144" i="33"/>
  <c r="C144" i="33"/>
  <c r="E144" i="33"/>
  <c r="D72" i="33"/>
  <c r="B74" i="7" s="1"/>
  <c r="C72" i="33"/>
  <c r="F72" i="33"/>
  <c r="D74" i="7" s="1"/>
  <c r="E72" i="33"/>
  <c r="C74" i="7" s="1"/>
  <c r="E28" i="33"/>
  <c r="C28" i="33"/>
  <c r="F28" i="33"/>
  <c r="D28" i="33"/>
  <c r="C77" i="33"/>
  <c r="F77" i="33"/>
  <c r="E77" i="33"/>
  <c r="D77" i="33"/>
  <c r="D54" i="33"/>
  <c r="C54" i="33"/>
  <c r="F54" i="33"/>
  <c r="E54" i="33"/>
  <c r="D46" i="33"/>
  <c r="C46" i="33"/>
  <c r="E46" i="33"/>
  <c r="F46" i="33"/>
  <c r="C153" i="33"/>
  <c r="D153" i="33"/>
  <c r="F153" i="33"/>
  <c r="E153" i="33"/>
  <c r="C145" i="33"/>
  <c r="F145" i="33"/>
  <c r="E145" i="33"/>
  <c r="D145" i="33"/>
  <c r="E125" i="33"/>
  <c r="D125" i="33"/>
  <c r="C125" i="33"/>
  <c r="F125" i="33"/>
  <c r="E171" i="33"/>
  <c r="F171" i="33"/>
  <c r="C171" i="33"/>
  <c r="D171" i="33"/>
  <c r="E106" i="33"/>
  <c r="C106" i="33"/>
  <c r="F106" i="33"/>
  <c r="D106" i="33"/>
  <c r="E126" i="33"/>
  <c r="F126" i="33"/>
  <c r="C126" i="33"/>
  <c r="D126" i="33"/>
  <c r="E175" i="33"/>
  <c r="C175" i="33"/>
  <c r="D175" i="33"/>
  <c r="F175" i="33"/>
  <c r="C55" i="33"/>
  <c r="F55" i="33"/>
  <c r="E55" i="33"/>
  <c r="D55" i="33"/>
  <c r="C47" i="33"/>
  <c r="F47" i="33"/>
  <c r="E47" i="33"/>
  <c r="D47" i="33"/>
  <c r="E27" i="33"/>
  <c r="C27" i="33"/>
  <c r="F27" i="33"/>
  <c r="D27" i="33"/>
  <c r="C73" i="33"/>
  <c r="F73" i="33"/>
  <c r="E73" i="33"/>
  <c r="D73" i="33"/>
  <c r="E8" i="33"/>
  <c r="F8" i="33"/>
  <c r="C8" i="33"/>
  <c r="D8" i="33"/>
  <c r="F90" i="33"/>
  <c r="D92" i="7" s="1"/>
  <c r="E90" i="33"/>
  <c r="C92" i="7" s="1"/>
  <c r="F190" i="33"/>
  <c r="E190" i="33"/>
  <c r="D190" i="33"/>
  <c r="C190" i="33"/>
  <c r="C90" i="33"/>
  <c r="E92" i="33"/>
  <c r="C94" i="7" s="1"/>
  <c r="D92" i="33"/>
  <c r="B94" i="7" s="1"/>
  <c r="C92" i="33"/>
  <c r="F92" i="33"/>
  <c r="D94" i="7" s="1"/>
  <c r="E40" i="18"/>
  <c r="E85" i="18" s="1"/>
  <c r="E86" i="18" s="1"/>
  <c r="D40" i="18"/>
  <c r="D85" i="18" s="1"/>
  <c r="D86" i="18" s="1"/>
  <c r="C40" i="18"/>
  <c r="C85" i="18" s="1"/>
  <c r="C86" i="18" s="1"/>
  <c r="F40" i="18"/>
  <c r="B9" i="35"/>
  <c r="C8" i="35"/>
  <c r="C9" i="35"/>
  <c r="D8" i="35"/>
  <c r="D10" i="35" s="1"/>
  <c r="D11" i="35" s="1"/>
  <c r="F81" i="18"/>
  <c r="E9" i="35" s="1"/>
  <c r="E8" i="35"/>
  <c r="E10" i="35" s="1"/>
  <c r="D10" i="7" l="1"/>
  <c r="B75" i="7"/>
  <c r="B49" i="7"/>
  <c r="B57" i="7"/>
  <c r="C56" i="7"/>
  <c r="B79" i="7"/>
  <c r="D29" i="7"/>
  <c r="D79" i="7"/>
  <c r="B10" i="7"/>
  <c r="B29" i="7"/>
  <c r="D48" i="7"/>
  <c r="B30" i="7"/>
  <c r="B48" i="7"/>
  <c r="B56" i="7"/>
  <c r="C30" i="7"/>
  <c r="C75" i="7"/>
  <c r="C49" i="7"/>
  <c r="C57" i="7"/>
  <c r="C48" i="7"/>
  <c r="D56" i="7"/>
  <c r="C79" i="7"/>
  <c r="D30" i="7"/>
  <c r="D75" i="7"/>
  <c r="D49" i="7"/>
  <c r="D57" i="7"/>
  <c r="F157" i="33"/>
  <c r="C10" i="7"/>
  <c r="C29" i="7"/>
  <c r="D157" i="33"/>
  <c r="E157" i="33"/>
  <c r="E194" i="33"/>
  <c r="F194" i="33"/>
  <c r="D194" i="33"/>
  <c r="C194" i="33"/>
  <c r="B29" i="34"/>
  <c r="D59" i="33"/>
  <c r="E59" i="33"/>
  <c r="F59" i="33"/>
  <c r="C10" i="35"/>
  <c r="C11" i="35" s="1"/>
  <c r="D96" i="33"/>
  <c r="C96" i="33"/>
  <c r="E96" i="33"/>
  <c r="F96" i="33"/>
  <c r="C59" i="33"/>
  <c r="E11" i="35"/>
  <c r="F85" i="18"/>
  <c r="F86" i="18" s="1"/>
  <c r="C29" i="34"/>
  <c r="D31" i="34" s="1"/>
  <c r="C157" i="33"/>
  <c r="E196" i="33" l="1"/>
  <c r="F196" i="33"/>
  <c r="E31" i="35" s="1"/>
  <c r="E35" i="35" s="1"/>
  <c r="E43" i="35" s="1"/>
  <c r="B100" i="7"/>
  <c r="B102" i="7" s="1"/>
  <c r="C100" i="7"/>
  <c r="C102" i="7" s="1"/>
  <c r="D100" i="7"/>
  <c r="D102" i="7" s="1"/>
  <c r="D98" i="33"/>
  <c r="C8" i="22" s="1"/>
  <c r="D24" i="22" s="1"/>
  <c r="D196" i="33"/>
  <c r="F98" i="33"/>
  <c r="E98" i="33"/>
  <c r="C196" i="33"/>
  <c r="B14" i="22" s="1"/>
  <c r="C98" i="33"/>
  <c r="I29" i="15"/>
  <c r="E46" i="35" l="1"/>
  <c r="C9" i="10" s="1"/>
  <c r="C31" i="35"/>
  <c r="C35" i="35" s="1"/>
  <c r="D31" i="35"/>
  <c r="D35" i="35" s="1"/>
  <c r="F201" i="33"/>
  <c r="D200" i="33"/>
  <c r="E14" i="22"/>
  <c r="D14" i="22"/>
  <c r="E201" i="33"/>
  <c r="D201" i="33"/>
  <c r="D202" i="33" s="1"/>
  <c r="D203" i="33" s="1"/>
  <c r="C14" i="22"/>
  <c r="C15" i="22" s="1"/>
  <c r="C16" i="22" s="1"/>
  <c r="C17" i="22" s="1"/>
  <c r="F200" i="33"/>
  <c r="E8" i="22"/>
  <c r="E25" i="22" s="1"/>
  <c r="D8" i="22"/>
  <c r="E24" i="22" s="1"/>
  <c r="E200" i="33"/>
  <c r="C201" i="33"/>
  <c r="C200" i="33"/>
  <c r="B8" i="22"/>
  <c r="C25" i="22"/>
  <c r="C53" i="10" l="1"/>
  <c r="D53" i="10" s="1"/>
  <c r="E53" i="10" s="1"/>
  <c r="F53" i="10" s="1"/>
  <c r="G53" i="10" s="1"/>
  <c r="H53" i="10" s="1"/>
  <c r="I53" i="10" s="1"/>
  <c r="J53" i="10" s="1"/>
  <c r="C36" i="10"/>
  <c r="D36" i="10" s="1"/>
  <c r="E36" i="10" s="1"/>
  <c r="F36" i="10" s="1"/>
  <c r="G36" i="10" s="1"/>
  <c r="H36" i="10" s="1"/>
  <c r="I36" i="10" s="1"/>
  <c r="J36" i="10" s="1"/>
  <c r="D72" i="10"/>
  <c r="E72" i="10" s="1"/>
  <c r="F72" i="10" s="1"/>
  <c r="G72" i="10" s="1"/>
  <c r="H72" i="10" s="1"/>
  <c r="I72" i="10" s="1"/>
  <c r="J72" i="10" s="1"/>
  <c r="K72" i="10" s="1"/>
  <c r="F202" i="33"/>
  <c r="F203" i="33" s="1"/>
  <c r="E15" i="22"/>
  <c r="E16" i="22" s="1"/>
  <c r="E17" i="22" s="1"/>
  <c r="E202" i="33"/>
  <c r="E203" i="33" s="1"/>
  <c r="D15" i="22"/>
  <c r="D16" i="22" s="1"/>
  <c r="D17" i="22" s="1"/>
  <c r="D25" i="22"/>
  <c r="D26" i="22" s="1"/>
  <c r="E26" i="22"/>
  <c r="D9" i="22"/>
  <c r="D10" i="22" s="1"/>
  <c r="D11" i="22" s="1"/>
  <c r="E9" i="22"/>
  <c r="E10" i="22" s="1"/>
  <c r="E11" i="22" s="1"/>
  <c r="C202" i="33"/>
  <c r="C203" i="33" s="1"/>
  <c r="C24" i="22"/>
  <c r="C26" i="22" s="1"/>
  <c r="C27" i="22" s="1"/>
  <c r="C54" i="22" s="1"/>
  <c r="C9" i="22"/>
  <c r="C10" i="22" s="1"/>
  <c r="C11" i="22" s="1"/>
  <c r="E53" i="22" l="1"/>
  <c r="D53" i="22"/>
  <c r="C53" i="22"/>
  <c r="C55" i="22" s="1"/>
  <c r="B105" i="7"/>
  <c r="D105" i="7"/>
  <c r="E27" i="22"/>
  <c r="E54" i="22" s="1"/>
  <c r="E55" i="22" s="1"/>
  <c r="C105" i="7"/>
  <c r="D27" i="22"/>
  <c r="D54" i="22" s="1"/>
  <c r="D55" i="22" l="1"/>
  <c r="F9" i="13"/>
  <c r="E120" i="30"/>
  <c r="D135" i="30"/>
  <c r="F4" i="13" l="1"/>
  <c r="F6" i="13" s="1"/>
  <c r="F7" i="13" s="1"/>
  <c r="G15" i="13"/>
  <c r="G12" i="13"/>
  <c r="G13" i="13"/>
  <c r="G14" i="13"/>
  <c r="G10" i="13"/>
  <c r="G16" i="13"/>
  <c r="G11" i="13"/>
  <c r="G91" i="13"/>
  <c r="G81" i="13" s="1"/>
  <c r="G103" i="13"/>
  <c r="G93" i="13" s="1"/>
  <c r="G67" i="13" l="1"/>
  <c r="G57" i="13" s="1"/>
  <c r="G79" i="13"/>
  <c r="G69" i="13" s="1"/>
  <c r="G17" i="13"/>
  <c r="G19" i="13" s="1"/>
  <c r="G43" i="13" l="1"/>
  <c r="G33" i="13" s="1"/>
  <c r="G31" i="13"/>
  <c r="G21" i="13" s="1"/>
  <c r="G55" i="13"/>
  <c r="G45" i="13" s="1"/>
  <c r="D123" i="25"/>
  <c r="E115" i="25"/>
  <c r="G9" i="13" l="1"/>
  <c r="G4" i="13" l="1"/>
  <c r="G6" i="13" s="1"/>
  <c r="G7" i="13" s="1"/>
  <c r="H12" i="13"/>
  <c r="H11" i="13"/>
  <c r="H16" i="13"/>
  <c r="H15" i="13"/>
  <c r="H10" i="13"/>
  <c r="H13" i="13"/>
  <c r="H14" i="13"/>
  <c r="H103" i="13"/>
  <c r="H93" i="13" s="1"/>
  <c r="H91" i="13"/>
  <c r="H81" i="13" s="1"/>
  <c r="C69" i="2"/>
  <c r="H17" i="13" l="1"/>
  <c r="H19" i="13" s="1"/>
  <c r="H79" i="13"/>
  <c r="H69" i="13" s="1"/>
  <c r="H55" i="13"/>
  <c r="H45" i="13" s="1"/>
  <c r="H67" i="13"/>
  <c r="H57" i="13" s="1"/>
  <c r="H43" i="13" l="1"/>
  <c r="H33" i="13" s="1"/>
  <c r="H31" i="13"/>
  <c r="H21" i="13" s="1"/>
  <c r="B15" i="10"/>
  <c r="B21" i="10" s="1"/>
  <c r="B29" i="10"/>
  <c r="B47" i="10" s="1"/>
  <c r="H9" i="13" l="1"/>
  <c r="H4" i="13" s="1"/>
  <c r="B18" i="10"/>
  <c r="B48" i="10" s="1"/>
  <c r="B50" i="10"/>
  <c r="B68" i="10"/>
  <c r="B32" i="10"/>
  <c r="C6" i="10"/>
  <c r="C7" i="10"/>
  <c r="C29" i="10"/>
  <c r="C47" i="10" s="1"/>
  <c r="D3" i="25"/>
  <c r="B2" i="23"/>
  <c r="C43" i="18"/>
  <c r="B2" i="28"/>
  <c r="B45" i="28" s="1"/>
  <c r="I9" i="13" l="1"/>
  <c r="I4" i="13" s="1"/>
  <c r="H6" i="13"/>
  <c r="H7" i="13" s="1"/>
  <c r="B65" i="10"/>
  <c r="C13" i="10"/>
  <c r="C14" i="10" s="1"/>
  <c r="C19" i="10" s="1"/>
  <c r="D95" i="25"/>
  <c r="B3" i="29"/>
  <c r="D7" i="10"/>
  <c r="D6" i="10"/>
  <c r="D29" i="10"/>
  <c r="B3" i="27"/>
  <c r="C31" i="10" l="1"/>
  <c r="J9" i="13"/>
  <c r="J4" i="13" s="1"/>
  <c r="I6" i="13"/>
  <c r="I7" i="13" s="1"/>
  <c r="D13" i="10"/>
  <c r="C18" i="10"/>
  <c r="C30" i="10" s="1"/>
  <c r="C49" i="10"/>
  <c r="C51" i="10" s="1"/>
  <c r="C66" i="10"/>
  <c r="E29" i="10"/>
  <c r="E7" i="10"/>
  <c r="E6" i="10"/>
  <c r="D47" i="10"/>
  <c r="C3" i="33"/>
  <c r="D18" i="10" l="1"/>
  <c r="D30" i="10" s="1"/>
  <c r="K9" i="13"/>
  <c r="K4" i="13" s="1"/>
  <c r="H6" i="10" s="1"/>
  <c r="J6" i="13"/>
  <c r="J7" i="13" s="1"/>
  <c r="C54" i="10"/>
  <c r="C65" i="10"/>
  <c r="C48" i="10"/>
  <c r="D65" i="10"/>
  <c r="D48" i="10"/>
  <c r="D14" i="10"/>
  <c r="D19" i="10" s="1"/>
  <c r="C101" i="33"/>
  <c r="E47" i="10"/>
  <c r="F6" i="10"/>
  <c r="F7" i="10"/>
  <c r="E13" i="10"/>
  <c r="F29" i="10"/>
  <c r="D66" i="10" l="1"/>
  <c r="D67" i="10" s="1"/>
  <c r="D20" i="10"/>
  <c r="G6" i="10"/>
  <c r="L9" i="13"/>
  <c r="L4" i="13" s="1"/>
  <c r="I6" i="10" s="1"/>
  <c r="K6" i="13"/>
  <c r="K7" i="13" s="1"/>
  <c r="E18" i="10"/>
  <c r="E65" i="10" s="1"/>
  <c r="D49" i="10"/>
  <c r="D31" i="10"/>
  <c r="C9" i="15"/>
  <c r="F47" i="10"/>
  <c r="F13" i="10"/>
  <c r="E14" i="10"/>
  <c r="E19" i="10" s="1"/>
  <c r="E31" i="10" l="1"/>
  <c r="E20" i="10"/>
  <c r="M9" i="13"/>
  <c r="M4" i="13" s="1"/>
  <c r="J6" i="10" s="1"/>
  <c r="C50" i="15"/>
  <c r="C12" i="15"/>
  <c r="E48" i="10"/>
  <c r="E30" i="10"/>
  <c r="F18" i="10"/>
  <c r="F65" i="10" s="1"/>
  <c r="C55" i="15"/>
  <c r="C58" i="15"/>
  <c r="C62" i="15"/>
  <c r="C66" i="15"/>
  <c r="C70" i="15"/>
  <c r="C71" i="15"/>
  <c r="C18" i="15"/>
  <c r="C22" i="15"/>
  <c r="C26" i="15"/>
  <c r="C30" i="15"/>
  <c r="C34" i="15"/>
  <c r="C38" i="15"/>
  <c r="C42" i="15"/>
  <c r="C46" i="15"/>
  <c r="C51" i="15"/>
  <c r="C14" i="15"/>
  <c r="C69" i="15"/>
  <c r="C54" i="15"/>
  <c r="C37" i="15"/>
  <c r="C21" i="15"/>
  <c r="C63" i="15"/>
  <c r="C47" i="15"/>
  <c r="C31" i="15"/>
  <c r="C15" i="15"/>
  <c r="C60" i="15"/>
  <c r="C44" i="15"/>
  <c r="C28" i="15"/>
  <c r="C68" i="15"/>
  <c r="C53" i="15"/>
  <c r="C36" i="15"/>
  <c r="C20" i="15"/>
  <c r="C41" i="15"/>
  <c r="C25" i="15"/>
  <c r="C67" i="15"/>
  <c r="C52" i="15"/>
  <c r="C35" i="15"/>
  <c r="C19" i="15"/>
  <c r="C64" i="15"/>
  <c r="C48" i="15"/>
  <c r="C32" i="15"/>
  <c r="C16" i="15"/>
  <c r="C61" i="15"/>
  <c r="C45" i="15"/>
  <c r="C29" i="15"/>
  <c r="C13" i="15"/>
  <c r="C56" i="15"/>
  <c r="C65" i="15"/>
  <c r="C49" i="15"/>
  <c r="C33" i="15"/>
  <c r="C17" i="15"/>
  <c r="C59" i="15"/>
  <c r="C43" i="15"/>
  <c r="C27" i="15"/>
  <c r="C57" i="15"/>
  <c r="C40" i="15"/>
  <c r="C24" i="15"/>
  <c r="C39" i="15"/>
  <c r="C23" i="15"/>
  <c r="D9" i="15"/>
  <c r="G13" i="10"/>
  <c r="E49" i="10"/>
  <c r="E66" i="10"/>
  <c r="E67" i="10" s="1"/>
  <c r="F14" i="10"/>
  <c r="F19" i="10" s="1"/>
  <c r="F31" i="10" l="1"/>
  <c r="F20" i="10"/>
  <c r="L6" i="13"/>
  <c r="L7" i="13" s="1"/>
  <c r="H13" i="10"/>
  <c r="N9" i="13"/>
  <c r="N4" i="13" s="1"/>
  <c r="K6" i="10" s="1"/>
  <c r="M6" i="13"/>
  <c r="D50" i="15"/>
  <c r="D12" i="15"/>
  <c r="F30" i="10"/>
  <c r="F48" i="10"/>
  <c r="D15" i="15"/>
  <c r="D19" i="15"/>
  <c r="D23" i="15"/>
  <c r="D43" i="15"/>
  <c r="D27" i="15"/>
  <c r="D31" i="15"/>
  <c r="D35" i="15"/>
  <c r="D39" i="15"/>
  <c r="D47" i="15"/>
  <c r="D52" i="15"/>
  <c r="D56" i="15"/>
  <c r="D59" i="15"/>
  <c r="D63" i="15"/>
  <c r="D67" i="15"/>
  <c r="D71" i="15"/>
  <c r="D58" i="15"/>
  <c r="D42" i="15"/>
  <c r="D26" i="15"/>
  <c r="D68" i="15"/>
  <c r="D53" i="15"/>
  <c r="D36" i="15"/>
  <c r="D20" i="15"/>
  <c r="D65" i="15"/>
  <c r="D49" i="15"/>
  <c r="D33" i="15"/>
  <c r="D17" i="15"/>
  <c r="D21" i="15"/>
  <c r="D51" i="15"/>
  <c r="D34" i="15"/>
  <c r="D18" i="15"/>
  <c r="D60" i="15"/>
  <c r="D44" i="15"/>
  <c r="D28" i="15"/>
  <c r="D13" i="15"/>
  <c r="D62" i="15"/>
  <c r="D46" i="15"/>
  <c r="D30" i="15"/>
  <c r="D14" i="15"/>
  <c r="D57" i="15"/>
  <c r="D40" i="15"/>
  <c r="D24" i="15"/>
  <c r="D69" i="15"/>
  <c r="D54" i="15"/>
  <c r="D37" i="15"/>
  <c r="D41" i="15"/>
  <c r="D25" i="15"/>
  <c r="D70" i="15"/>
  <c r="D55" i="15"/>
  <c r="D38" i="15"/>
  <c r="D22" i="15"/>
  <c r="D64" i="15"/>
  <c r="D48" i="15"/>
  <c r="D32" i="15"/>
  <c r="D16" i="15"/>
  <c r="D61" i="15"/>
  <c r="D45" i="15"/>
  <c r="D29" i="15"/>
  <c r="D66" i="15"/>
  <c r="C73" i="15"/>
  <c r="F9" i="15"/>
  <c r="E9" i="15"/>
  <c r="E50" i="15" s="1"/>
  <c r="G18" i="10"/>
  <c r="F66" i="10"/>
  <c r="F67" i="10" s="1"/>
  <c r="F49" i="10"/>
  <c r="M7" i="13" l="1"/>
  <c r="N6" i="13"/>
  <c r="G30" i="10"/>
  <c r="G48" i="10"/>
  <c r="I13" i="10"/>
  <c r="I18" i="10" s="1"/>
  <c r="F50" i="15"/>
  <c r="F12" i="15"/>
  <c r="G12" i="15" s="1"/>
  <c r="H12" i="15" s="1"/>
  <c r="I12" i="15" s="1"/>
  <c r="E28" i="15"/>
  <c r="E32" i="15"/>
  <c r="E36" i="15"/>
  <c r="E40" i="15"/>
  <c r="E48" i="15"/>
  <c r="E53" i="15"/>
  <c r="E57" i="15"/>
  <c r="E60" i="15"/>
  <c r="E64" i="15"/>
  <c r="E68" i="15"/>
  <c r="E16" i="15"/>
  <c r="E20" i="15"/>
  <c r="E24" i="15"/>
  <c r="E44" i="15"/>
  <c r="E14" i="15"/>
  <c r="E63" i="15"/>
  <c r="E47" i="15"/>
  <c r="E31" i="15"/>
  <c r="E15" i="15"/>
  <c r="E41" i="15"/>
  <c r="E25" i="15"/>
  <c r="E70" i="15"/>
  <c r="E55" i="15"/>
  <c r="E38" i="15"/>
  <c r="E71" i="15"/>
  <c r="E67" i="15"/>
  <c r="E52" i="15"/>
  <c r="E35" i="15"/>
  <c r="E19" i="15"/>
  <c r="E61" i="15"/>
  <c r="E45" i="15"/>
  <c r="E29" i="15"/>
  <c r="E13" i="15"/>
  <c r="E58" i="15"/>
  <c r="E42" i="15"/>
  <c r="E49" i="15"/>
  <c r="E33" i="15"/>
  <c r="E17" i="15"/>
  <c r="E59" i="15"/>
  <c r="E43" i="15"/>
  <c r="E27" i="15"/>
  <c r="E69" i="15"/>
  <c r="E54" i="15"/>
  <c r="E37" i="15"/>
  <c r="E21" i="15"/>
  <c r="E12" i="15"/>
  <c r="E66" i="15"/>
  <c r="E51" i="15"/>
  <c r="E34" i="15"/>
  <c r="E18" i="15"/>
  <c r="E22" i="15"/>
  <c r="E26" i="15"/>
  <c r="E56" i="15"/>
  <c r="E39" i="15"/>
  <c r="E23" i="15"/>
  <c r="E65" i="15"/>
  <c r="E62" i="15"/>
  <c r="E46" i="15"/>
  <c r="E30"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1" i="15"/>
  <c r="F52" i="15"/>
  <c r="F53" i="15"/>
  <c r="F54" i="15"/>
  <c r="F55" i="15"/>
  <c r="F56" i="15"/>
  <c r="F57" i="15"/>
  <c r="F58" i="15"/>
  <c r="F59" i="15"/>
  <c r="F60" i="15"/>
  <c r="F61" i="15"/>
  <c r="F62" i="15"/>
  <c r="F63" i="15"/>
  <c r="F64" i="15"/>
  <c r="F65" i="15"/>
  <c r="F66" i="15"/>
  <c r="F67" i="15"/>
  <c r="F68" i="15"/>
  <c r="F69" i="15"/>
  <c r="F70" i="15"/>
  <c r="F71" i="15"/>
  <c r="D73" i="15"/>
  <c r="C75" i="15"/>
  <c r="G9" i="15"/>
  <c r="G20" i="15" s="1"/>
  <c r="G65" i="10"/>
  <c r="N7" i="13" l="1"/>
  <c r="C4" i="15"/>
  <c r="C79" i="15" s="1"/>
  <c r="I48" i="10"/>
  <c r="I30" i="10"/>
  <c r="I65" i="10"/>
  <c r="I14" i="10"/>
  <c r="I19" i="10" s="1"/>
  <c r="J13" i="10"/>
  <c r="G14" i="15"/>
  <c r="G73" i="15" s="1"/>
  <c r="G75" i="15" s="1"/>
  <c r="E73" i="15"/>
  <c r="F73" i="15"/>
  <c r="C78" i="15"/>
  <c r="H9" i="15"/>
  <c r="H20" i="15" s="1"/>
  <c r="D75" i="15"/>
  <c r="G4" i="15" l="1"/>
  <c r="G79" i="15" s="1"/>
  <c r="J18" i="10"/>
  <c r="K13" i="10"/>
  <c r="I49" i="10"/>
  <c r="I66" i="10"/>
  <c r="I31" i="10"/>
  <c r="J14" i="10"/>
  <c r="J19" i="10" s="1"/>
  <c r="J20" i="10" s="1"/>
  <c r="G14" i="10"/>
  <c r="G19" i="10" s="1"/>
  <c r="G20" i="10" s="1"/>
  <c r="H14" i="15"/>
  <c r="I14" i="15" s="1"/>
  <c r="E75" i="15"/>
  <c r="F75" i="15"/>
  <c r="I9" i="15"/>
  <c r="I20" i="15" s="1"/>
  <c r="D78" i="15"/>
  <c r="D4" i="15"/>
  <c r="D79" i="15" s="1"/>
  <c r="I73" i="15" l="1"/>
  <c r="I75" i="15" s="1"/>
  <c r="I4" i="15" s="1"/>
  <c r="F8" i="10" s="1"/>
  <c r="F4" i="15"/>
  <c r="F79" i="15" s="1"/>
  <c r="E78" i="15"/>
  <c r="K14" i="10"/>
  <c r="K19" i="10" s="1"/>
  <c r="K20" i="10" s="1"/>
  <c r="K18" i="10"/>
  <c r="J48" i="10"/>
  <c r="J65" i="10"/>
  <c r="J30" i="10"/>
  <c r="J31" i="10"/>
  <c r="J66" i="10"/>
  <c r="J67" i="10" s="1"/>
  <c r="J49" i="10"/>
  <c r="G31" i="10"/>
  <c r="G49" i="10"/>
  <c r="G66" i="10"/>
  <c r="G67" i="10" s="1"/>
  <c r="H18" i="10"/>
  <c r="H14" i="10"/>
  <c r="H19" i="10" s="1"/>
  <c r="H73" i="15"/>
  <c r="H75" i="15" s="1"/>
  <c r="E4" i="15"/>
  <c r="E79" i="15" s="1"/>
  <c r="H20" i="10" l="1"/>
  <c r="I20" i="10"/>
  <c r="I79" i="15"/>
  <c r="H4" i="15"/>
  <c r="H79" i="15" s="1"/>
  <c r="K65" i="10"/>
  <c r="K30" i="10"/>
  <c r="K48" i="10"/>
  <c r="H65" i="10"/>
  <c r="H48" i="10"/>
  <c r="H30" i="10"/>
  <c r="K31" i="10"/>
  <c r="K66" i="10"/>
  <c r="K67" i="10" s="1"/>
  <c r="K49" i="10"/>
  <c r="H31" i="10"/>
  <c r="H66" i="10"/>
  <c r="H49" i="10"/>
  <c r="C8" i="10"/>
  <c r="D8" i="10"/>
  <c r="E8" i="10" l="1"/>
  <c r="H67" i="10"/>
  <c r="I67" i="10"/>
  <c r="C15" i="10"/>
  <c r="C21" i="10" s="1"/>
  <c r="C32" i="10" s="1"/>
  <c r="D15" i="10"/>
  <c r="D21" i="10" s="1"/>
  <c r="J79" i="15"/>
  <c r="K4" i="15"/>
  <c r="H8" i="10" s="1"/>
  <c r="C68" i="10" l="1"/>
  <c r="C69" i="10" s="1"/>
  <c r="D70" i="10" s="1"/>
  <c r="C50" i="10"/>
  <c r="C22" i="10"/>
  <c r="C23" i="10" s="1"/>
  <c r="C33" i="10"/>
  <c r="C34" i="10" s="1"/>
  <c r="C37" i="10" s="1"/>
  <c r="L4" i="15"/>
  <c r="I8" i="10" s="1"/>
  <c r="K79" i="15"/>
  <c r="D68" i="10"/>
  <c r="D50" i="10"/>
  <c r="E51" i="10" s="1"/>
  <c r="D32" i="10"/>
  <c r="D22" i="10"/>
  <c r="D23" i="10" s="1"/>
  <c r="D25" i="10" l="1"/>
  <c r="D51" i="10"/>
  <c r="D54" i="10" s="1"/>
  <c r="D69" i="10"/>
  <c r="E70" i="10" s="1"/>
  <c r="E71" i="10" s="1"/>
  <c r="D33" i="10"/>
  <c r="D34" i="10" s="1"/>
  <c r="D37" i="10" s="1"/>
  <c r="M4" i="15"/>
  <c r="J8" i="10" s="1"/>
  <c r="L79" i="15"/>
  <c r="E54" i="10"/>
  <c r="D35" i="10" l="1"/>
  <c r="D52" i="10"/>
  <c r="E52" i="10"/>
  <c r="D73" i="10"/>
  <c r="N4" i="15"/>
  <c r="K8" i="10" s="1"/>
  <c r="M79" i="15"/>
  <c r="E73" i="10" l="1"/>
  <c r="N79" i="15"/>
  <c r="E15" i="10" l="1"/>
  <c r="E21" i="10" s="1"/>
  <c r="F15" i="10" l="1"/>
  <c r="F21" i="10" s="1"/>
  <c r="F68" i="10" s="1"/>
  <c r="E68" i="10"/>
  <c r="E69" i="10" s="1"/>
  <c r="F70" i="10" s="1"/>
  <c r="E50" i="10"/>
  <c r="F51" i="10" s="1"/>
  <c r="E32" i="10"/>
  <c r="E33" i="10" s="1"/>
  <c r="E34" i="10" s="1"/>
  <c r="E22" i="10"/>
  <c r="E23" i="10" s="1"/>
  <c r="E25" i="10" s="1"/>
  <c r="F50" i="10"/>
  <c r="G51" i="10" s="1"/>
  <c r="F32" i="10"/>
  <c r="D62" i="2"/>
  <c r="D64" i="2" s="1"/>
  <c r="E61" i="2" s="1"/>
  <c r="F73" i="10" l="1"/>
  <c r="F22" i="10"/>
  <c r="F23" i="10" s="1"/>
  <c r="F25" i="10" s="1"/>
  <c r="F69" i="10"/>
  <c r="G70" i="10" s="1"/>
  <c r="E35" i="10"/>
  <c r="E37" i="10"/>
  <c r="G15" i="10"/>
  <c r="G21" i="10" s="1"/>
  <c r="G32" i="10" s="1"/>
  <c r="G33" i="10" s="1"/>
  <c r="G34" i="10" s="1"/>
  <c r="F33" i="10"/>
  <c r="F34" i="10" s="1"/>
  <c r="F35" i="10" s="1"/>
  <c r="F54" i="10"/>
  <c r="F52" i="10"/>
  <c r="F71" i="10"/>
  <c r="G54" i="10"/>
  <c r="G52" i="10"/>
  <c r="C62" i="17"/>
  <c r="E118" i="25"/>
  <c r="F115" i="25" s="1"/>
  <c r="F118" i="25" s="1"/>
  <c r="G73" i="10" l="1"/>
  <c r="F37" i="10"/>
  <c r="B55" i="10"/>
  <c r="G68" i="10"/>
  <c r="G69" i="10" s="1"/>
  <c r="H70" i="10" s="1"/>
  <c r="G22" i="10"/>
  <c r="G23" i="10" s="1"/>
  <c r="G25" i="10" s="1"/>
  <c r="G50" i="10"/>
  <c r="H51" i="10" s="1"/>
  <c r="H15" i="10"/>
  <c r="H21" i="10" s="1"/>
  <c r="H32" i="10" s="1"/>
  <c r="H33" i="10" s="1"/>
  <c r="H34" i="10" s="1"/>
  <c r="G37" i="10"/>
  <c r="G35" i="10"/>
  <c r="F123" i="25"/>
  <c r="G115" i="25"/>
  <c r="G118" i="25" s="1"/>
  <c r="G123" i="25" s="1"/>
  <c r="E123" i="25"/>
  <c r="D69" i="2"/>
  <c r="F14" i="1"/>
  <c r="F16" i="1" s="1"/>
  <c r="F26" i="1" s="1"/>
  <c r="G59" i="24" s="1"/>
  <c r="E62" i="2"/>
  <c r="E64" i="2" s="1"/>
  <c r="G40" i="10" l="1"/>
  <c r="H37" i="10"/>
  <c r="G71" i="10"/>
  <c r="B38" i="10"/>
  <c r="H52" i="10"/>
  <c r="G57" i="10"/>
  <c r="H73" i="10"/>
  <c r="C74" i="10" s="1"/>
  <c r="H68" i="10"/>
  <c r="H69" i="10" s="1"/>
  <c r="I70" i="10" s="1"/>
  <c r="H54" i="10"/>
  <c r="H22" i="10"/>
  <c r="H23" i="10" s="1"/>
  <c r="H25" i="10" s="1"/>
  <c r="I15" i="10"/>
  <c r="I21" i="10" s="1"/>
  <c r="I50" i="10" s="1"/>
  <c r="J51" i="10" s="1"/>
  <c r="H50" i="10"/>
  <c r="H35" i="10"/>
  <c r="G41" i="10" s="1"/>
  <c r="B42" i="10" s="1"/>
  <c r="D62" i="17"/>
  <c r="E62" i="17"/>
  <c r="F62" i="2"/>
  <c r="G58" i="10" l="1"/>
  <c r="I51" i="10"/>
  <c r="I54" i="10" s="1"/>
  <c r="B59" i="10"/>
  <c r="I73" i="10"/>
  <c r="H71" i="10"/>
  <c r="I22" i="10"/>
  <c r="I23" i="10" s="1"/>
  <c r="I25" i="10" s="1"/>
  <c r="I32" i="10"/>
  <c r="I33" i="10" s="1"/>
  <c r="I34" i="10" s="1"/>
  <c r="J15" i="10"/>
  <c r="J21" i="10" s="1"/>
  <c r="J50" i="10" s="1"/>
  <c r="K51" i="10" s="1"/>
  <c r="I68" i="10"/>
  <c r="I69" i="10" s="1"/>
  <c r="J70" i="10" s="1"/>
  <c r="J54" i="10"/>
  <c r="E69" i="2"/>
  <c r="F61" i="2"/>
  <c r="F64" i="2" s="1"/>
  <c r="F69" i="2" s="1"/>
  <c r="I52" i="10" l="1"/>
  <c r="J52" i="10"/>
  <c r="I71" i="10"/>
  <c r="H76" i="10"/>
  <c r="I35" i="10"/>
  <c r="I37" i="10"/>
  <c r="J68" i="10"/>
  <c r="J69" i="10" s="1"/>
  <c r="K70" i="10" s="1"/>
  <c r="J22" i="10"/>
  <c r="J23" i="10" s="1"/>
  <c r="J25" i="10" s="1"/>
  <c r="J32" i="10"/>
  <c r="J33" i="10" s="1"/>
  <c r="J34" i="10" s="1"/>
  <c r="J35" i="10" s="1"/>
  <c r="J73" i="10"/>
  <c r="K52" i="10"/>
  <c r="K50" i="10"/>
  <c r="K68" i="10"/>
  <c r="E45" i="31"/>
  <c r="E47" i="31" s="1"/>
  <c r="E57" i="31" s="1"/>
  <c r="H77" i="10" l="1"/>
  <c r="C78" i="10" s="1"/>
  <c r="C79" i="10" s="1"/>
  <c r="B80" i="10" s="1"/>
  <c r="J71" i="10"/>
  <c r="K71" i="10"/>
  <c r="J37" i="10"/>
  <c r="B60" i="10"/>
  <c r="K69" i="10"/>
  <c r="D124" i="32"/>
  <c r="E64" i="31"/>
  <c r="E121" i="30"/>
  <c r="E123" i="30" s="1"/>
  <c r="K73" i="10" l="1"/>
  <c r="B43" i="10"/>
  <c r="B3" i="34" s="1"/>
  <c r="B5" i="34" s="1"/>
  <c r="F120" i="30"/>
  <c r="E135" i="30"/>
  <c r="D7" i="34" l="1"/>
  <c r="D33" i="34" s="1"/>
  <c r="B36" i="34" s="1"/>
  <c r="G45" i="31"/>
  <c r="G47" i="31" s="1"/>
  <c r="G57" i="31" s="1"/>
  <c r="F45" i="31"/>
  <c r="F47" i="31" s="1"/>
  <c r="F57" i="31" s="1"/>
  <c r="F124" i="32" l="1"/>
  <c r="G64" i="31"/>
  <c r="G121" i="30"/>
  <c r="F64" i="31"/>
  <c r="F121" i="30"/>
  <c r="F123" i="30" s="1"/>
  <c r="E124" i="32"/>
  <c r="F135" i="30" l="1"/>
  <c r="G120" i="30"/>
  <c r="G123" i="30" s="1"/>
  <c r="G135" i="3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Eccles</author>
  </authors>
  <commentList>
    <comment ref="B3" authorId="0" shapeId="0" xr:uid="{23639BAD-F449-4A9C-BC44-C04B694527E8}">
      <text>
        <r>
          <rPr>
            <sz val="9"/>
            <color indexed="81"/>
            <rFont val="Tahoma"/>
            <family val="2"/>
          </rPr>
          <t>Prof. O: in each yellow</t>
        </r>
        <r>
          <rPr>
            <b/>
            <sz val="9"/>
            <color indexed="81"/>
            <rFont val="Tahoma"/>
            <family val="2"/>
          </rPr>
          <t xml:space="preserve"> </t>
        </r>
        <r>
          <rPr>
            <sz val="9"/>
            <color indexed="81"/>
            <rFont val="Tahoma"/>
            <family val="2"/>
          </rPr>
          <t xml:space="preserve">cell, enter either "Operating", "Financial", "Split", or "Equity"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Eccles</author>
  </authors>
  <commentList>
    <comment ref="B3" authorId="0" shapeId="0" xr:uid="{F4EBC3E8-D5CA-4192-AD07-6A7D5DF70619}">
      <text>
        <r>
          <rPr>
            <sz val="9"/>
            <color indexed="81"/>
            <rFont val="Tahoma"/>
            <family val="2"/>
          </rPr>
          <t xml:space="preserve">Prof. O: in each yellow cell, enter either "Operating", "Financial", "Split", or "Equity"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Eccles</author>
  </authors>
  <commentList>
    <comment ref="B230" authorId="0" shapeId="0" xr:uid="{A9F50478-1BBA-4786-9FD3-1FF817E2F953}">
      <text>
        <r>
          <rPr>
            <b/>
            <sz val="9"/>
            <color indexed="81"/>
            <rFont val="Tahoma"/>
            <family val="2"/>
          </rPr>
          <t>Prof. O:
Let me explain what is going on down here....we're consolidating the analysis of the "Other" categories from the balance sheet: Other current assets, Other assets, Other current liabilities, and Other liabilties.
Up above, we found some details of things that were included within those categories - mostly deferred tax and pension/postretirement related items.
The purple-highlighted cells are quantities that we have replaced/grossed up using additional details up above; the non-purple-highlighted cells contain a few other details that we will now take over to the expanded statements...anything that we didn't specifically identify within each category will just go over as an "Other" line item, and will retain its "Operating" classification (because we don't know exactly what it is).
In this section, I included the formulae to do all of this partitioning so that you don't have to...but I encourage you to look at the formulae and use the "trace precedents" and "trace dependents" functions to make sure you understand how this information is getting transferred over to the "4 BS Expanded" and "4 IS Expanded" tabs.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Eccles</author>
  </authors>
  <commentList>
    <comment ref="A7" authorId="0" shapeId="0" xr:uid="{2F31F08A-6B77-4AA5-965B-A6E3702A5949}">
      <text>
        <r>
          <rPr>
            <b/>
            <sz val="9"/>
            <color indexed="81"/>
            <rFont val="Tahoma"/>
            <family val="2"/>
          </rPr>
          <t>Prof. O: we'll make the assumption referenced in the lecture that the value of the lease asset equals the value of the lease liability</t>
        </r>
      </text>
    </comment>
    <comment ref="A17" authorId="0" shapeId="0" xr:uid="{E2E0C315-EA15-42F9-9882-209AAC69F50F}">
      <text>
        <r>
          <rPr>
            <b/>
            <sz val="9"/>
            <color indexed="81"/>
            <rFont val="Tahoma"/>
            <family val="2"/>
          </rPr>
          <t>Prof. O:
Notice that on p.52 of the 10-K, Kellogg tells us that they will not adopt ASU 2016-02 until 2019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Eccles</author>
  </authors>
  <commentList>
    <comment ref="F1" authorId="0" shapeId="0" xr:uid="{E6431167-873F-4A90-AEBE-88544F56C7EF}">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G1" authorId="0" shapeId="0" xr:uid="{A401AD30-0903-4495-A10D-CB570818DA0A}">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H1" authorId="0" shapeId="0" xr:uid="{7FE06D9E-C54D-44AA-9E43-3CACE083E3D4}">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I1" authorId="0" shapeId="0" xr:uid="{C07CFECA-7E2D-4487-9EBF-DD9FD18C8470}">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J1" authorId="0" shapeId="0" xr:uid="{073BD075-85EF-4739-9993-BC18B6E3937A}">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K1" authorId="0" shapeId="0" xr:uid="{E61C2AAB-3444-42C0-98DE-CBA8532085DD}">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L1" authorId="0" shapeId="0" xr:uid="{71F5E7D6-6584-45EC-B6E0-2AE9EF8129F7}">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M1" authorId="0" shapeId="0" xr:uid="{BFE0A383-2E2E-4B4F-A571-780CA13DEAA6}">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 ref="N1" authorId="0" shapeId="0" xr:uid="{EFD788EB-BE17-4A93-B62D-F50B1FE8F2D8}">
      <text>
        <r>
          <rPr>
            <b/>
            <sz val="9"/>
            <color indexed="81"/>
            <rFont val="Tahoma"/>
            <family val="2"/>
          </rPr>
          <t>Eccles:</t>
        </r>
        <r>
          <rPr>
            <sz val="9"/>
            <color indexed="81"/>
            <rFont val="Tahoma"/>
            <family val="2"/>
          </rPr>
          <t xml:space="preserve">
whatever I think the the growth rate is "on it's own", add this to account for the fact that there will be a 53-week year every 5-6 years</t>
        </r>
      </text>
    </comment>
  </commentList>
</comments>
</file>

<file path=xl/sharedStrings.xml><?xml version="1.0" encoding="utf-8"?>
<sst xmlns="http://schemas.openxmlformats.org/spreadsheetml/2006/main" count="1715" uniqueCount="563">
  <si>
    <t>  </t>
  </si>
  <si>
    <t>NET SALES</t>
  </si>
  <si>
    <t>Cost of products sold</t>
  </si>
  <si>
    <t>Interest expense</t>
  </si>
  <si>
    <t>Assets</t>
  </si>
  <si>
    <t>Cash and cash equivalents</t>
  </si>
  <si>
    <t>Goodwill</t>
  </si>
  <si>
    <t>Liabilities and Shareholders' Equity</t>
  </si>
  <si>
    <t>Retained earnings</t>
  </si>
  <si>
    <t>Long-term debt</t>
  </si>
  <si>
    <t>Net sales</t>
  </si>
  <si>
    <t>RNFL</t>
  </si>
  <si>
    <t>FEAT</t>
  </si>
  <si>
    <t>Check:</t>
  </si>
  <si>
    <t>Assumptions</t>
  </si>
  <si>
    <t xml:space="preserve">  Profit margin</t>
  </si>
  <si>
    <t>Total Sales</t>
  </si>
  <si>
    <t>Actual</t>
  </si>
  <si>
    <t>Forecasts</t>
  </si>
  <si>
    <t>Gross Profit</t>
  </si>
  <si>
    <t>Accounts receivable, net</t>
  </si>
  <si>
    <t>Inventories</t>
  </si>
  <si>
    <t>Other current assets</t>
  </si>
  <si>
    <t>Net income attributable to noncontrolling interests</t>
  </si>
  <si>
    <t>Assigned</t>
  </si>
  <si>
    <t>Split</t>
  </si>
  <si>
    <t>From</t>
  </si>
  <si>
    <t>Reported</t>
  </si>
  <si>
    <t xml:space="preserve">  NFL based on as Reported</t>
  </si>
  <si>
    <t xml:space="preserve">  FEAT from as Reported</t>
  </si>
  <si>
    <t>Sales</t>
  </si>
  <si>
    <t>Sales growth</t>
  </si>
  <si>
    <t>Pension</t>
  </si>
  <si>
    <t>Other comprehensive income attributable to noncontrolling interests, net</t>
  </si>
  <si>
    <t>Common Shareholders' Equity:</t>
  </si>
  <si>
    <t>Footnote 7:</t>
  </si>
  <si>
    <t>Accounts Receivable:</t>
  </si>
  <si>
    <t xml:space="preserve"> Other</t>
  </si>
  <si>
    <t xml:space="preserve"> Allowance for doubtful accounts</t>
  </si>
  <si>
    <t>Inventories:</t>
  </si>
  <si>
    <t xml:space="preserve"> Buildings</t>
  </si>
  <si>
    <t xml:space="preserve"> Machinery and equipment</t>
  </si>
  <si>
    <t xml:space="preserve"> Land</t>
  </si>
  <si>
    <t xml:space="preserve"> Construction in progress</t>
  </si>
  <si>
    <t xml:space="preserve"> Accumulated depreciation</t>
  </si>
  <si>
    <t>As reported:</t>
  </si>
  <si>
    <t>Funded status:</t>
  </si>
  <si>
    <t>Net periodic benefit cost</t>
  </si>
  <si>
    <t xml:space="preserve"> Service cost</t>
  </si>
  <si>
    <t xml:space="preserve"> Interest cost</t>
  </si>
  <si>
    <t xml:space="preserve"> Expected return on plan assets</t>
  </si>
  <si>
    <t xml:space="preserve"> Recognized net actuarial loss</t>
  </si>
  <si>
    <t>Year-end closing share price (Yahoo)</t>
  </si>
  <si>
    <t>Footnote 8:</t>
  </si>
  <si>
    <t xml:space="preserve">  Outstanding at end of year</t>
  </si>
  <si>
    <t>Future Operating Lease payments</t>
  </si>
  <si>
    <t xml:space="preserve">  Year plus 1</t>
  </si>
  <si>
    <t xml:space="preserve">  Year plus 2</t>
  </si>
  <si>
    <t xml:space="preserve">  Year plus 3</t>
  </si>
  <si>
    <t xml:space="preserve">  Year plus 4</t>
  </si>
  <si>
    <t xml:space="preserve">  Year plus 5</t>
  </si>
  <si>
    <t xml:space="preserve">  Thereafter</t>
  </si>
  <si>
    <t>Spread out payments!</t>
  </si>
  <si>
    <t>Adjustment for Leases</t>
  </si>
  <si>
    <t xml:space="preserve">    Calculated lease liability</t>
  </si>
  <si>
    <t xml:space="preserve">    Assumed lease assets @ 100%</t>
  </si>
  <si>
    <t>Estimated interest payment</t>
  </si>
  <si>
    <t>Estimated principal payment</t>
  </si>
  <si>
    <t>Estimate depreciation equal to principal payment</t>
  </si>
  <si>
    <t>Record liability and asset</t>
  </si>
  <si>
    <t>Asset under capital lease</t>
  </si>
  <si>
    <t>Reclassify payments</t>
  </si>
  <si>
    <t>SG&amp;A - Operating lease expense</t>
  </si>
  <si>
    <t>Depreciation expense</t>
  </si>
  <si>
    <t>Max (0, Price  - exercise)</t>
  </si>
  <si>
    <t>Ending price</t>
  </si>
  <si>
    <t>NFL</t>
  </si>
  <si>
    <t>Capitalized lease asset</t>
  </si>
  <si>
    <t>Depreciation on capitalized leases</t>
  </si>
  <si>
    <t>RE adjustment for stock-based compensation</t>
  </si>
  <si>
    <t xml:space="preserve">From </t>
  </si>
  <si>
    <t>Adjusted</t>
  </si>
  <si>
    <t>Net Financial Liabilities</t>
  </si>
  <si>
    <t xml:space="preserve">  Common Shareholders Equity</t>
  </si>
  <si>
    <t>Pension -  Service cost</t>
  </si>
  <si>
    <t>Pension -  Interest cost</t>
  </si>
  <si>
    <t>Pension -  Expected return on plan assets</t>
  </si>
  <si>
    <t>Pension -  Recognized net actuarial loss</t>
  </si>
  <si>
    <t>Average NFL</t>
  </si>
  <si>
    <t xml:space="preserve">  Sales growth</t>
  </si>
  <si>
    <t xml:space="preserve">  Asset turnover ratio</t>
  </si>
  <si>
    <t>Discounted Cash Flow Model</t>
  </si>
  <si>
    <t>Continuing value</t>
  </si>
  <si>
    <t>Present value of continuing value</t>
  </si>
  <si>
    <t>Total to be capitalized</t>
  </si>
  <si>
    <t>Estimated value per share</t>
  </si>
  <si>
    <t>Cost of debt estimate 2:</t>
  </si>
  <si>
    <t>Interest bearing debt</t>
  </si>
  <si>
    <t xml:space="preserve">  Pretax borrowing rate</t>
  </si>
  <si>
    <t>Cost of debt estimate 3:</t>
  </si>
  <si>
    <t>Long-term weighted average interest rate</t>
  </si>
  <si>
    <t>Chosen value</t>
  </si>
  <si>
    <t>Cost of equity capital</t>
  </si>
  <si>
    <t xml:space="preserve">  Beta</t>
  </si>
  <si>
    <t xml:space="preserve">  Risk-free rate</t>
  </si>
  <si>
    <t xml:space="preserve">  Market premium</t>
  </si>
  <si>
    <t>Book value of NFL</t>
  </si>
  <si>
    <t xml:space="preserve">  Adjustment</t>
  </si>
  <si>
    <t>Common shares outstanding</t>
  </si>
  <si>
    <t>Per Yahoo! Finance</t>
  </si>
  <si>
    <t>Deferred income taxes</t>
  </si>
  <si>
    <t>Footnote 11:</t>
  </si>
  <si>
    <t>Avg exercise price for ending outstanding</t>
  </si>
  <si>
    <t>End number of options outstanding</t>
  </si>
  <si>
    <t>Value of option overhang liability</t>
  </si>
  <si>
    <t>Value of RSU overhang liability</t>
  </si>
  <si>
    <t>Stock-based compensation liability (NFL)</t>
  </si>
  <si>
    <t>Balance sheet in balance</t>
  </si>
  <si>
    <t>Checks:</t>
  </si>
  <si>
    <t xml:space="preserve">  Weighted avg. exercise price, Outstanding</t>
  </si>
  <si>
    <t xml:space="preserve">  Weighted avg. exercise price, ending</t>
  </si>
  <si>
    <t>Stock options:</t>
  </si>
  <si>
    <t>Related DTA (Financial)</t>
  </si>
  <si>
    <t>Adjustments for Options</t>
  </si>
  <si>
    <t>Increase (decrease) in related financial DTA</t>
  </si>
  <si>
    <t>Increase (decrease) in FEAT</t>
  </si>
  <si>
    <t>Summary of adjustments:</t>
  </si>
  <si>
    <t>Opening balances:</t>
  </si>
  <si>
    <t>Opening share based compensation liability</t>
  </si>
  <si>
    <t>Opening DTA (Financial)</t>
  </si>
  <si>
    <t>Prior period adjustment to CSE</t>
  </si>
  <si>
    <t>Current year effects:</t>
  </si>
  <si>
    <t>Adjustment to share based compensation liability</t>
  </si>
  <si>
    <t>Adjustment to DTA (Financial)</t>
  </si>
  <si>
    <t>Adjustment to FEAT</t>
  </si>
  <si>
    <t>Financial stock-based compensation expense, net of tax</t>
  </si>
  <si>
    <t>Capitalized lease obligation</t>
  </si>
  <si>
    <t>Capitalized lease liability</t>
  </si>
  <si>
    <t>Implied</t>
  </si>
  <si>
    <t xml:space="preserve">  Unadjusted FEAT</t>
  </si>
  <si>
    <t xml:space="preserve">  Unadjusted beginning NFL</t>
  </si>
  <si>
    <t xml:space="preserve">  Unadjusted ending NFL</t>
  </si>
  <si>
    <t>Unadjusted interest expense</t>
  </si>
  <si>
    <t>Cost of goods sold</t>
  </si>
  <si>
    <t>Financial</t>
  </si>
  <si>
    <t>Equity</t>
  </si>
  <si>
    <t>Common shareholders' equity</t>
  </si>
  <si>
    <t>Clean surplus relation:</t>
  </si>
  <si>
    <t>Beginning shareholders' equity</t>
  </si>
  <si>
    <t>Ending shareholders' equity</t>
  </si>
  <si>
    <t>Shareholders' equity balance</t>
  </si>
  <si>
    <t>Operating profit</t>
  </si>
  <si>
    <t>Income before income taxes, equity interests and extraordinary loss</t>
  </si>
  <si>
    <t>Net income</t>
  </si>
  <si>
    <t>Comprehensive income items:</t>
  </si>
  <si>
    <t>Current assets</t>
  </si>
  <si>
    <t>Total current assets</t>
  </si>
  <si>
    <t>Total assets</t>
  </si>
  <si>
    <t>Current liabilities</t>
  </si>
  <si>
    <t>Total current liabilities</t>
  </si>
  <si>
    <t>Total liabilities</t>
  </si>
  <si>
    <t>Shareholders' equity</t>
  </si>
  <si>
    <t>Total shareholders' equity</t>
  </si>
  <si>
    <t>Total liabilities and shareholders' equity</t>
  </si>
  <si>
    <t>Other assets</t>
  </si>
  <si>
    <t>Difference between check figure and CSE from BS reported</t>
  </si>
  <si>
    <t>Gross profit</t>
  </si>
  <si>
    <t>Advertising expense</t>
  </si>
  <si>
    <t>Other liabilities</t>
  </si>
  <si>
    <t>No change in equity from BS Reported</t>
  </si>
  <si>
    <t>No change in comprehensive income from IS Reported</t>
  </si>
  <si>
    <t>Common shareholders' equity from BS Expanded</t>
  </si>
  <si>
    <t>Adjustment for leases</t>
  </si>
  <si>
    <t>Adjustment for options</t>
  </si>
  <si>
    <t>Adjusted common shareholders' equity</t>
  </si>
  <si>
    <t>Total financial assets</t>
  </si>
  <si>
    <t>Total financial liabilities</t>
  </si>
  <si>
    <t xml:space="preserve">  Cost of financial liabilities capital after tax</t>
  </si>
  <si>
    <t xml:space="preserve">  Fair value of long-term debt</t>
  </si>
  <si>
    <t xml:space="preserve">  Book value of long-term debt</t>
  </si>
  <si>
    <t>Common Equity</t>
  </si>
  <si>
    <t>NFL elements:</t>
  </si>
  <si>
    <t>Assume unchanged</t>
  </si>
  <si>
    <t>Estimated value of NFL</t>
  </si>
  <si>
    <t>Common shareholders' equity balance</t>
  </si>
  <si>
    <t>Beginning common shareholders' equity</t>
  </si>
  <si>
    <t>Ending common shareholders' equity</t>
  </si>
  <si>
    <t>Operating</t>
  </si>
  <si>
    <t>Net Operating Assets</t>
  </si>
  <si>
    <t>Operating value</t>
  </si>
  <si>
    <t>Residual Operating Income Model</t>
  </si>
  <si>
    <t>Abnormal Operating Income Growth Model</t>
  </si>
  <si>
    <t>Total operating assets</t>
  </si>
  <si>
    <t>Total operating liabilities</t>
  </si>
  <si>
    <t xml:space="preserve">  NOA based on as Reported</t>
  </si>
  <si>
    <t>Net of NOA - NFL</t>
  </si>
  <si>
    <t xml:space="preserve">  NOPAT from as Reported</t>
  </si>
  <si>
    <t>NOPAT</t>
  </si>
  <si>
    <t>NOA</t>
  </si>
  <si>
    <t>Average NOA</t>
  </si>
  <si>
    <t>RNOA</t>
  </si>
  <si>
    <t>Operating PM</t>
  </si>
  <si>
    <t>Beginning NOA</t>
  </si>
  <si>
    <t>Ending NOA</t>
  </si>
  <si>
    <t>Operating ATO</t>
  </si>
  <si>
    <t>NOPAT from Sales</t>
  </si>
  <si>
    <t>Operating PM from Sales</t>
  </si>
  <si>
    <t xml:space="preserve"> RNOA</t>
  </si>
  <si>
    <t>Check: Same as Operating PM on Analyzing</t>
  </si>
  <si>
    <t>Inverse of Operating ATO</t>
  </si>
  <si>
    <t>Check: Same Operating ATO as Analyzing</t>
  </si>
  <si>
    <t>Check: For historical, same Operating PM as Analyzing</t>
  </si>
  <si>
    <t>Implied Operating ATO</t>
  </si>
  <si>
    <t>Inverse of OPERATING ASSET TURNOVERS (ATO)</t>
  </si>
  <si>
    <t xml:space="preserve">  Weighted average cost of capital for operations</t>
  </si>
  <si>
    <t>FCF</t>
  </si>
  <si>
    <t>Present value of free cash flow from operations</t>
  </si>
  <si>
    <t>Sum of present value of free cash flows</t>
  </si>
  <si>
    <t xml:space="preserve">  Nonvested at end of year</t>
  </si>
  <si>
    <t>Assumed future tax rate</t>
  </si>
  <si>
    <t xml:space="preserve">    Implied cost of financial liabilities before current tax</t>
  </si>
  <si>
    <t>Forecasted sales</t>
  </si>
  <si>
    <t>Profit margin</t>
  </si>
  <si>
    <t>Asset turnover</t>
  </si>
  <si>
    <t>Expanded</t>
  </si>
  <si>
    <t>Other current liabilities</t>
  </si>
  <si>
    <t>Common stock - $0.25 par value</t>
  </si>
  <si>
    <t>Notes payable</t>
  </si>
  <si>
    <t>Accumulated other comprehensive (income)/loss</t>
  </si>
  <si>
    <t>Kellogg</t>
  </si>
  <si>
    <t>Property, net</t>
  </si>
  <si>
    <t>Other intangibles, net</t>
  </si>
  <si>
    <t>Investments in unconsolidated entities</t>
  </si>
  <si>
    <t>Current maturities of long-term debt</t>
  </si>
  <si>
    <t>Accounts payable</t>
  </si>
  <si>
    <t>Pension liability</t>
  </si>
  <si>
    <t>Capital in excess of par value</t>
  </si>
  <si>
    <t>Treasury stock, at cost</t>
  </si>
  <si>
    <t>Noncontrolling interests</t>
  </si>
  <si>
    <t>Selling, general and administrative expense</t>
  </si>
  <si>
    <t>Other income (expense), net</t>
  </si>
  <si>
    <t>Income before income taxes</t>
  </si>
  <si>
    <t>Income taxes</t>
  </si>
  <si>
    <t>Earnings from  unconsolidated entities</t>
  </si>
  <si>
    <t>Net income attributable to Kellogg Company</t>
  </si>
  <si>
    <t>Foreign currency translation adjustments, net of tax</t>
  </si>
  <si>
    <t>Cash flow hedges, net of tax</t>
  </si>
  <si>
    <t>Postretirement and postemployment benefits, net of tax</t>
  </si>
  <si>
    <t>Venezuela deconsolidation loss</t>
  </si>
  <si>
    <t>Comprehensive income attributable to Kellogg</t>
  </si>
  <si>
    <t>Comprehensive (income) loss attributable to K</t>
  </si>
  <si>
    <t>Common stock repurchases</t>
  </si>
  <si>
    <t>Stock compensation</t>
  </si>
  <si>
    <t>Stock options exercised and other</t>
  </si>
  <si>
    <t>Dividends</t>
  </si>
  <si>
    <t>Footnote 3:</t>
  </si>
  <si>
    <t xml:space="preserve"> US Morning Foods</t>
  </si>
  <si>
    <t xml:space="preserve"> US Snacks</t>
  </si>
  <si>
    <t xml:space="preserve"> US Specialty</t>
  </si>
  <si>
    <t xml:space="preserve"> North America Other</t>
  </si>
  <si>
    <t xml:space="preserve"> Europe</t>
  </si>
  <si>
    <t xml:space="preserve"> Latin America</t>
  </si>
  <si>
    <t xml:space="preserve"> Asia Pacific</t>
  </si>
  <si>
    <t>Footnote 10:</t>
  </si>
  <si>
    <t xml:space="preserve"> Amortization of unrecognized prior service cost</t>
  </si>
  <si>
    <t xml:space="preserve"> Curtailment and special termination benefits</t>
  </si>
  <si>
    <t>401k plan expense</t>
  </si>
  <si>
    <t xml:space="preserve"> Defined contribution plans</t>
  </si>
  <si>
    <t xml:space="preserve"> Recognized net (gain) loss</t>
  </si>
  <si>
    <t xml:space="preserve"> Curtailment</t>
  </si>
  <si>
    <t>Postretirement</t>
  </si>
  <si>
    <t>Net periodic benefit cost:</t>
  </si>
  <si>
    <t xml:space="preserve"> Other non-current assets</t>
  </si>
  <si>
    <t xml:space="preserve"> Other current liabilities</t>
  </si>
  <si>
    <t xml:space="preserve"> Other liabilities</t>
  </si>
  <si>
    <t>Postemployment</t>
  </si>
  <si>
    <t xml:space="preserve"> Benefit obligation</t>
  </si>
  <si>
    <t xml:space="preserve"> Plan assets</t>
  </si>
  <si>
    <t xml:space="preserve"> Advertising and promotion-related</t>
  </si>
  <si>
    <t xml:space="preserve"> Wages and payroll taxes</t>
  </si>
  <si>
    <t xml:space="preserve"> Inventory valuation</t>
  </si>
  <si>
    <t xml:space="preserve"> Employee benefits</t>
  </si>
  <si>
    <t xml:space="preserve"> Operating loss, credit and other carryforwards</t>
  </si>
  <si>
    <t xml:space="preserve"> Hedging transactions</t>
  </si>
  <si>
    <t xml:space="preserve"> Deferred compensation</t>
  </si>
  <si>
    <t xml:space="preserve"> Stock options</t>
  </si>
  <si>
    <t xml:space="preserve"> Valuation allowance</t>
  </si>
  <si>
    <t xml:space="preserve"> Depreciation and asset disposals</t>
  </si>
  <si>
    <t xml:space="preserve"> Trademarks and other intangibles</t>
  </si>
  <si>
    <t xml:space="preserve"> US state income taxes</t>
  </si>
  <si>
    <t>Deferred taxes as reported:</t>
  </si>
  <si>
    <t xml:space="preserve"> Other assets</t>
  </si>
  <si>
    <t>Footnote 18:</t>
  </si>
  <si>
    <t>Footnote 19:</t>
  </si>
  <si>
    <t>Research and development expense</t>
  </si>
  <si>
    <t xml:space="preserve"> Trade</t>
  </si>
  <si>
    <t xml:space="preserve"> Refundable income taxes</t>
  </si>
  <si>
    <t xml:space="preserve"> Other receivables</t>
  </si>
  <si>
    <t xml:space="preserve"> Raw materials and supplies</t>
  </si>
  <si>
    <t xml:space="preserve"> Finished goods and materials in progress</t>
  </si>
  <si>
    <t xml:space="preserve"> Capitalized software</t>
  </si>
  <si>
    <t>Property, net:</t>
  </si>
  <si>
    <t>Other assets:</t>
  </si>
  <si>
    <t xml:space="preserve"> Pension</t>
  </si>
  <si>
    <t xml:space="preserve"> Deferred income taxes</t>
  </si>
  <si>
    <t>Other current liabilities:</t>
  </si>
  <si>
    <t xml:space="preserve"> Accrued income taxes</t>
  </si>
  <si>
    <t xml:space="preserve"> Accrued salaries and wages</t>
  </si>
  <si>
    <t xml:space="preserve"> Accured advertising and promotion</t>
  </si>
  <si>
    <t>Other liabilities:</t>
  </si>
  <si>
    <t xml:space="preserve"> Income taxes payable</t>
  </si>
  <si>
    <t xml:space="preserve"> Nonpension postretirement benefits</t>
  </si>
  <si>
    <t>Bad debt expense (additions to allow doubtful accts)</t>
  </si>
  <si>
    <t xml:space="preserve"> Other current assets</t>
  </si>
  <si>
    <t>Other current assets:</t>
  </si>
  <si>
    <t xml:space="preserve"> Unremitted foreign earnings</t>
  </si>
  <si>
    <t>Goodwill:</t>
  </si>
  <si>
    <t>Intangible assets subject to amortization:</t>
  </si>
  <si>
    <t>Intangible assets accumulated amortization:</t>
  </si>
  <si>
    <t>Intangible assets not subject to amortization:</t>
  </si>
  <si>
    <t>Deferred tax assets:</t>
  </si>
  <si>
    <t>Postretirement:</t>
  </si>
  <si>
    <t>Pension:</t>
  </si>
  <si>
    <t>Postemployment:</t>
  </si>
  <si>
    <t>Notes payable:</t>
  </si>
  <si>
    <t xml:space="preserve"> US commercial paper</t>
  </si>
  <si>
    <t xml:space="preserve"> Europe commercial paper</t>
  </si>
  <si>
    <t xml:space="preserve"> Bank borrowings</t>
  </si>
  <si>
    <t>Deferred tax liabilities:</t>
  </si>
  <si>
    <t>Deferred income taxes - Non-current</t>
  </si>
  <si>
    <t xml:space="preserve"> Postemployment</t>
  </si>
  <si>
    <t xml:space="preserve"> Postretirement</t>
  </si>
  <si>
    <t>Pension liability - Non-current</t>
  </si>
  <si>
    <t xml:space="preserve"> Pension (other than below)</t>
  </si>
  <si>
    <t>Other liabilities: Pension</t>
  </si>
  <si>
    <t>Bad debt expense</t>
  </si>
  <si>
    <t>Other selling, general and administrative expense</t>
  </si>
  <si>
    <t>Accounts Receivable: Trade</t>
  </si>
  <si>
    <t>Accounts Receivable: Allowance for doubtful accounts</t>
  </si>
  <si>
    <t>Accounts Receivable: Refundable income taxes</t>
  </si>
  <si>
    <t>Accounts Receivable: Other receivables</t>
  </si>
  <si>
    <t>Inventories: Raw materials and supplies</t>
  </si>
  <si>
    <t>Inventories: Finished goods and materials in progress</t>
  </si>
  <si>
    <t>Property, net: Land</t>
  </si>
  <si>
    <t>Property, net: Buildings</t>
  </si>
  <si>
    <t>Property, net: Machinery and equipment</t>
  </si>
  <si>
    <t>Property, net: Capitalized software</t>
  </si>
  <si>
    <t>Property, net: Construction in progress</t>
  </si>
  <si>
    <t>Property, net: Accumulated depreciation</t>
  </si>
  <si>
    <t>Goodwill: US Morning Foods</t>
  </si>
  <si>
    <t>Goodwill: US Snacks</t>
  </si>
  <si>
    <t>Goodwill: US Specialty</t>
  </si>
  <si>
    <t>Goodwill: North America Other</t>
  </si>
  <si>
    <t>Goodwill: Europe</t>
  </si>
  <si>
    <t>Goodwill: Latin America</t>
  </si>
  <si>
    <t>Goodwill: Asia Pacific</t>
  </si>
  <si>
    <t>Intangible assets subject to amortization: US Morning Foods</t>
  </si>
  <si>
    <t>Intangible assets subject to amortization: US Snacks</t>
  </si>
  <si>
    <t>Intangible assets subject to amortization: North America Other</t>
  </si>
  <si>
    <t>Intangible assets subject to amortization: Europe</t>
  </si>
  <si>
    <t>Intangible assets subject to amortization: Latin America</t>
  </si>
  <si>
    <t>Intangible assets subject to amortization: Asia Pacific</t>
  </si>
  <si>
    <t>Intangible assets accumulated amortization: US Morning Foods</t>
  </si>
  <si>
    <t>Intangible assets accumulated amortization: US Snacks</t>
  </si>
  <si>
    <t>Intangible assets accumulated amortization: North America Other</t>
  </si>
  <si>
    <t>Intangible assets accumulated amortization: Europe</t>
  </si>
  <si>
    <t>Intangible assets accumulated amortization: Latin America</t>
  </si>
  <si>
    <t>Intangible assets accumulated amortization: Asia Pacific</t>
  </si>
  <si>
    <t>Intangible assets not subject to amortization: US Snacks</t>
  </si>
  <si>
    <t>Intangible assets not subject to amortization: North America Other</t>
  </si>
  <si>
    <t>Intangible assets not subject to amortization: Europe</t>
  </si>
  <si>
    <t>Intangible assets not subject to amortization: Latin America</t>
  </si>
  <si>
    <t>Deferred tax assets: US state income taxes</t>
  </si>
  <si>
    <t>Deferred tax assets: Advertising and promotion-related</t>
  </si>
  <si>
    <t>Deferred tax assets: Wages and payroll taxes</t>
  </si>
  <si>
    <t>Deferred tax assets: Inventory valuation</t>
  </si>
  <si>
    <t>Deferred tax assets: Employee benefits</t>
  </si>
  <si>
    <t>Deferred tax assets: Operating loss, credit and other carryforwards</t>
  </si>
  <si>
    <t>Deferred tax assets: Hedging transactions</t>
  </si>
  <si>
    <t>Deferred tax assets: Deferred compensation</t>
  </si>
  <si>
    <t>Deferred tax assets: Stock options</t>
  </si>
  <si>
    <t>Deferred tax assets: Other</t>
  </si>
  <si>
    <t>Deferred tax assets: Valuation allowance</t>
  </si>
  <si>
    <t>Pension: Plan assets</t>
  </si>
  <si>
    <t>Postretirement: Plan assets</t>
  </si>
  <si>
    <t>Notes payable: US commercial paper</t>
  </si>
  <si>
    <t>Notes payable: Europe commercial paper</t>
  </si>
  <si>
    <t>Notes payable: Bank borrowings</t>
  </si>
  <si>
    <t>Other current liabilities: Accrued income taxes</t>
  </si>
  <si>
    <t>Other current liabilities: Accrued salaries and wages</t>
  </si>
  <si>
    <t>Other current liabilities: Accured advertising and promotion</t>
  </si>
  <si>
    <t>Other current liabilities: Other</t>
  </si>
  <si>
    <t>Deferred tax liabilities: US state income taxes</t>
  </si>
  <si>
    <t>Deferred tax liabilities: Hedging transactions</t>
  </si>
  <si>
    <t>Deferred tax liabilities: Depreciation and asset disposals</t>
  </si>
  <si>
    <t>Deferred tax liabilities: Trademarks and other intangibles</t>
  </si>
  <si>
    <t>Deferred tax liabilities: Unremitted foreign earnings</t>
  </si>
  <si>
    <t>Pension: Benefit obligation</t>
  </si>
  <si>
    <t>Postretirement: Benefit obligation</t>
  </si>
  <si>
    <t>Postemployment: Benefit obligation</t>
  </si>
  <si>
    <t>Other liabilities: Income taxes payable</t>
  </si>
  <si>
    <t>Other liabilities: Nonpension postretirement benefits</t>
  </si>
  <si>
    <t>Net sales - US Morning Foods</t>
  </si>
  <si>
    <t>Net sales - US Snacks</t>
  </si>
  <si>
    <t>Net sales - US Specialty</t>
  </si>
  <si>
    <t>Net sales - North America Other</t>
  </si>
  <si>
    <t>Net sales - Europe</t>
  </si>
  <si>
    <t>Net sales - Latin America</t>
  </si>
  <si>
    <t>Net sales - Asia Pacific</t>
  </si>
  <si>
    <t>Pension -  Amortization of unrecognized prior service cost</t>
  </si>
  <si>
    <t>Pension -  Curtailment and special termination benefits</t>
  </si>
  <si>
    <t>Pension -  Defined contribution plans</t>
  </si>
  <si>
    <t>Postretirement -  Service cost</t>
  </si>
  <si>
    <t>Postretirement -  Interest cost</t>
  </si>
  <si>
    <t>Postretirement -  Expected return on plan assets</t>
  </si>
  <si>
    <t>Postretirement -  Amortization of unrecognized prior service cost</t>
  </si>
  <si>
    <t>Postretirement -  Recognized net (gain) loss</t>
  </si>
  <si>
    <t>Postretirement -  Curtailment</t>
  </si>
  <si>
    <t>Postretirement -  Defined contribution plans</t>
  </si>
  <si>
    <t>Postemployment -  Service cost</t>
  </si>
  <si>
    <t>Postemployment -  Interest cost</t>
  </si>
  <si>
    <t>Postemployment -  Amortization of unrecognized prior service cost</t>
  </si>
  <si>
    <t>Postemployment -  Recognized net (gain) loss</t>
  </si>
  <si>
    <t>Comprehensive income attrib to K from IS Expanded</t>
  </si>
  <si>
    <t>Adjusted comprehensive income attrib to K</t>
  </si>
  <si>
    <t>Comprehensive income attributable to K from above</t>
  </si>
  <si>
    <r>
      <t xml:space="preserve">Operating </t>
    </r>
    <r>
      <rPr>
        <b/>
        <i/>
        <sz val="11"/>
        <color theme="1"/>
        <rFont val="Calibri"/>
        <family val="2"/>
        <scheme val="minor"/>
      </rPr>
      <t>PM</t>
    </r>
  </si>
  <si>
    <r>
      <t xml:space="preserve">Inverse of Operating </t>
    </r>
    <r>
      <rPr>
        <b/>
        <i/>
        <sz val="11"/>
        <color theme="1"/>
        <rFont val="Calibri"/>
        <family val="2"/>
        <scheme val="minor"/>
      </rPr>
      <t>ATO</t>
    </r>
  </si>
  <si>
    <r>
      <t xml:space="preserve">Operating </t>
    </r>
    <r>
      <rPr>
        <b/>
        <i/>
        <sz val="11"/>
        <color theme="1"/>
        <rFont val="Calibri"/>
        <family val="2"/>
        <scheme val="minor"/>
      </rPr>
      <t>ATO</t>
    </r>
  </si>
  <si>
    <t>US Morning Foods</t>
  </si>
  <si>
    <t>Acquisitions/divestitures</t>
  </si>
  <si>
    <t>Shipping day differences</t>
  </si>
  <si>
    <t>Venezuela operations impact</t>
  </si>
  <si>
    <t>Foreign currency impact</t>
  </si>
  <si>
    <t>Total</t>
  </si>
  <si>
    <t>US Snacks</t>
  </si>
  <si>
    <t>US Specialty</t>
  </si>
  <si>
    <t>North America Other</t>
  </si>
  <si>
    <t>Europe</t>
  </si>
  <si>
    <t>Latin America</t>
  </si>
  <si>
    <t>Asia Pacific</t>
  </si>
  <si>
    <t>Project K and cost reduction activities</t>
  </si>
  <si>
    <t>Integration and transaction costs</t>
  </si>
  <si>
    <t>Amounts in millions</t>
  </si>
  <si>
    <t>K</t>
  </si>
  <si>
    <t>Postretirement and postemployment benefits, net of tax:</t>
  </si>
  <si>
    <t xml:space="preserve"> Net experience gain</t>
  </si>
  <si>
    <t xml:space="preserve"> Prior service credit</t>
  </si>
  <si>
    <t>Prior period adjustment</t>
  </si>
  <si>
    <t>Assumed current marginal tax rate:</t>
  </si>
  <si>
    <t>Assumed future marginal tax rate as of May 1:</t>
  </si>
  <si>
    <t>Footnote 13:</t>
  </si>
  <si>
    <t xml:space="preserve"> US Specialty Channels</t>
  </si>
  <si>
    <t>Items in purple replaced with detail of deferred income taxes</t>
  </si>
  <si>
    <t>Intangible assets not subject to amortization: Asia Pacific</t>
  </si>
  <si>
    <t>Net sales - US Specialty Channels</t>
  </si>
  <si>
    <t>Weeks in year</t>
  </si>
  <si>
    <t>52/53 week adjusted ATO</t>
  </si>
  <si>
    <t>Calculation of long-term debt average rate</t>
  </si>
  <si>
    <t>Organic growth</t>
  </si>
  <si>
    <r>
      <t xml:space="preserve">Change in </t>
    </r>
    <r>
      <rPr>
        <i/>
        <sz val="11"/>
        <color theme="1"/>
        <rFont val="Calibri"/>
        <family val="2"/>
        <scheme val="minor"/>
      </rPr>
      <t>NOA</t>
    </r>
  </si>
  <si>
    <r>
      <t>NOPAT</t>
    </r>
    <r>
      <rPr>
        <sz val="11"/>
        <color theme="1"/>
        <rFont val="Calibri"/>
        <family val="2"/>
        <scheme val="minor"/>
      </rPr>
      <t xml:space="preserve"> (Sales X </t>
    </r>
    <r>
      <rPr>
        <i/>
        <sz val="11"/>
        <color theme="1"/>
        <rFont val="Calibri"/>
        <family val="2"/>
        <scheme val="minor"/>
      </rPr>
      <t>PM</t>
    </r>
    <r>
      <rPr>
        <sz val="11"/>
        <color theme="1"/>
        <rFont val="Calibri"/>
        <family val="2"/>
        <scheme val="minor"/>
      </rPr>
      <t>)</t>
    </r>
  </si>
  <si>
    <r>
      <t>NOA</t>
    </r>
    <r>
      <rPr>
        <sz val="11"/>
        <color theme="1"/>
        <rFont val="Calibri"/>
        <family val="2"/>
        <scheme val="minor"/>
      </rPr>
      <t xml:space="preserve"> (Sales / </t>
    </r>
    <r>
      <rPr>
        <i/>
        <sz val="11"/>
        <color theme="1"/>
        <rFont val="Calibri"/>
        <family val="2"/>
        <scheme val="minor"/>
      </rPr>
      <t>ATO</t>
    </r>
    <r>
      <rPr>
        <sz val="11"/>
        <color theme="1"/>
        <rFont val="Calibri"/>
        <family val="2"/>
        <scheme val="minor"/>
      </rPr>
      <t>)</t>
    </r>
  </si>
  <si>
    <r>
      <t>∆</t>
    </r>
    <r>
      <rPr>
        <i/>
        <sz val="11"/>
        <color theme="1"/>
        <rFont val="Calibri"/>
        <family val="2"/>
        <scheme val="minor"/>
      </rPr>
      <t>NOA</t>
    </r>
  </si>
  <si>
    <r>
      <t>FCF</t>
    </r>
    <r>
      <rPr>
        <sz val="11"/>
        <color theme="1"/>
        <rFont val="Calibri"/>
        <family val="2"/>
        <scheme val="minor"/>
      </rPr>
      <t xml:space="preserve"> (</t>
    </r>
    <r>
      <rPr>
        <i/>
        <sz val="11"/>
        <color theme="1"/>
        <rFont val="Calibri"/>
        <family val="2"/>
        <scheme val="minor"/>
      </rPr>
      <t>NOPAT</t>
    </r>
    <r>
      <rPr>
        <sz val="11"/>
        <color theme="1"/>
        <rFont val="Calibri"/>
        <family val="2"/>
        <scheme val="minor"/>
      </rPr>
      <t>–∆</t>
    </r>
    <r>
      <rPr>
        <i/>
        <sz val="11"/>
        <color theme="1"/>
        <rFont val="Calibri"/>
        <family val="2"/>
        <scheme val="minor"/>
      </rPr>
      <t>NOA</t>
    </r>
    <r>
      <rPr>
        <sz val="11"/>
        <color theme="1"/>
        <rFont val="Calibri"/>
        <family val="2"/>
        <scheme val="minor"/>
      </rPr>
      <t>)</t>
    </r>
  </si>
  <si>
    <r>
      <rPr>
        <sz val="11"/>
        <color theme="1"/>
        <rFont val="Calibri"/>
        <family val="2"/>
        <scheme val="minor"/>
      </rPr>
      <t xml:space="preserve">Growth in </t>
    </r>
    <r>
      <rPr>
        <i/>
        <sz val="11"/>
        <color theme="1"/>
        <rFont val="Calibri"/>
        <family val="2"/>
        <scheme val="minor"/>
      </rPr>
      <t>FCF</t>
    </r>
  </si>
  <si>
    <r>
      <t xml:space="preserve">Discount factor (1 + </t>
    </r>
    <r>
      <rPr>
        <i/>
        <sz val="11"/>
        <color rgb="FF000000"/>
        <rFont val="Calibri"/>
        <family val="2"/>
        <scheme val="minor"/>
      </rPr>
      <t>r</t>
    </r>
    <r>
      <rPr>
        <i/>
        <vertAlign val="subscript"/>
        <sz val="11"/>
        <color rgb="FF000000"/>
        <rFont val="Calibri"/>
        <family val="2"/>
        <scheme val="minor"/>
      </rPr>
      <t>WACC</t>
    </r>
    <r>
      <rPr>
        <sz val="11"/>
        <color rgb="FF000000"/>
        <rFont val="Calibri"/>
        <family val="2"/>
        <scheme val="minor"/>
      </rPr>
      <t>)</t>
    </r>
    <r>
      <rPr>
        <i/>
        <vertAlign val="superscript"/>
        <sz val="11"/>
        <color rgb="FF000000"/>
        <rFont val="Calibri"/>
        <family val="2"/>
        <scheme val="minor"/>
      </rPr>
      <t>t</t>
    </r>
  </si>
  <si>
    <r>
      <t>ROPI</t>
    </r>
    <r>
      <rPr>
        <sz val="11"/>
        <color theme="1"/>
        <rFont val="Calibri"/>
        <family val="2"/>
        <scheme val="minor"/>
      </rPr>
      <t xml:space="preserve"> (</t>
    </r>
    <r>
      <rPr>
        <i/>
        <sz val="11"/>
        <color theme="1"/>
        <rFont val="Calibri"/>
        <family val="2"/>
        <scheme val="minor"/>
      </rPr>
      <t>NOPAT</t>
    </r>
    <r>
      <rPr>
        <i/>
        <vertAlign val="subscript"/>
        <sz val="11"/>
        <color theme="1"/>
        <rFont val="Calibri"/>
        <family val="2"/>
        <scheme val="minor"/>
      </rPr>
      <t xml:space="preserve">t </t>
    </r>
    <r>
      <rPr>
        <sz val="11"/>
        <color theme="1"/>
        <rFont val="Calibri"/>
        <family val="2"/>
        <scheme val="minor"/>
      </rPr>
      <t xml:space="preserve">– </t>
    </r>
    <r>
      <rPr>
        <i/>
        <sz val="11"/>
        <color theme="1"/>
        <rFont val="Calibri"/>
        <family val="2"/>
        <scheme val="minor"/>
      </rPr>
      <t>r</t>
    </r>
    <r>
      <rPr>
        <i/>
        <vertAlign val="subscript"/>
        <sz val="11"/>
        <color theme="1"/>
        <rFont val="Calibri"/>
        <family val="2"/>
        <scheme val="minor"/>
      </rPr>
      <t xml:space="preserve">WACC </t>
    </r>
    <r>
      <rPr>
        <sz val="11"/>
        <color theme="1"/>
        <rFont val="Calibri"/>
        <family val="2"/>
        <scheme val="minor"/>
      </rPr>
      <t xml:space="preserve">∙ </t>
    </r>
    <r>
      <rPr>
        <i/>
        <sz val="11"/>
        <color theme="1"/>
        <rFont val="Calibri"/>
        <family val="2"/>
        <scheme val="minor"/>
      </rPr>
      <t>NOA</t>
    </r>
    <r>
      <rPr>
        <i/>
        <vertAlign val="subscript"/>
        <sz val="11"/>
        <color theme="1"/>
        <rFont val="Calibri"/>
        <family val="2"/>
        <scheme val="minor"/>
      </rPr>
      <t>t</t>
    </r>
    <r>
      <rPr>
        <vertAlign val="subscript"/>
        <sz val="11"/>
        <color theme="1"/>
        <rFont val="Calibri"/>
        <family val="2"/>
        <scheme val="minor"/>
      </rPr>
      <t>-1</t>
    </r>
    <r>
      <rPr>
        <sz val="11"/>
        <color theme="1"/>
        <rFont val="Calibri"/>
        <family val="2"/>
        <scheme val="minor"/>
      </rPr>
      <t>)</t>
    </r>
  </si>
  <si>
    <r>
      <t xml:space="preserve">Growth in </t>
    </r>
    <r>
      <rPr>
        <i/>
        <sz val="11"/>
        <color theme="1"/>
        <rFont val="Calibri"/>
        <family val="2"/>
        <scheme val="minor"/>
      </rPr>
      <t>ROPI</t>
    </r>
  </si>
  <si>
    <r>
      <t xml:space="preserve">Present value of </t>
    </r>
    <r>
      <rPr>
        <i/>
        <sz val="11"/>
        <color theme="1"/>
        <rFont val="Calibri"/>
        <family val="2"/>
        <scheme val="minor"/>
      </rPr>
      <t>ROPI</t>
    </r>
    <r>
      <rPr>
        <i/>
        <vertAlign val="subscript"/>
        <sz val="11"/>
        <color theme="1"/>
        <rFont val="Calibri"/>
        <family val="2"/>
        <scheme val="minor"/>
      </rPr>
      <t>t</t>
    </r>
  </si>
  <si>
    <r>
      <t xml:space="preserve">Sum of present value of </t>
    </r>
    <r>
      <rPr>
        <i/>
        <sz val="11"/>
        <color theme="1"/>
        <rFont val="Calibri"/>
        <family val="2"/>
        <scheme val="minor"/>
      </rPr>
      <t>ROPI</t>
    </r>
    <r>
      <rPr>
        <i/>
        <vertAlign val="subscript"/>
        <sz val="11"/>
        <color theme="1"/>
        <rFont val="Calibri"/>
        <family val="2"/>
        <scheme val="minor"/>
      </rPr>
      <t>t</t>
    </r>
  </si>
  <si>
    <r>
      <t xml:space="preserve">Growth in </t>
    </r>
    <r>
      <rPr>
        <i/>
        <sz val="11"/>
        <color rgb="FF000000"/>
        <rFont val="Calibri"/>
        <family val="2"/>
        <scheme val="minor"/>
      </rPr>
      <t>AOIG</t>
    </r>
  </si>
  <si>
    <r>
      <t xml:space="preserve">  </t>
    </r>
    <r>
      <rPr>
        <i/>
        <sz val="11"/>
        <color rgb="FF000000"/>
        <rFont val="Calibri"/>
        <family val="2"/>
        <scheme val="minor"/>
      </rPr>
      <t xml:space="preserve">FCF </t>
    </r>
    <r>
      <rPr>
        <sz val="11"/>
        <color rgb="FF000000"/>
        <rFont val="Calibri"/>
        <family val="2"/>
        <scheme val="minor"/>
      </rPr>
      <t>at horizon</t>
    </r>
  </si>
  <si>
    <t xml:space="preserve">  Capitalized</t>
  </si>
  <si>
    <r>
      <t xml:space="preserve">  </t>
    </r>
    <r>
      <rPr>
        <i/>
        <sz val="11"/>
        <color rgb="FF000000"/>
        <rFont val="Calibri"/>
        <family val="2"/>
        <scheme val="minor"/>
      </rPr>
      <t xml:space="preserve">ROPI </t>
    </r>
    <r>
      <rPr>
        <sz val="11"/>
        <color rgb="FF000000"/>
        <rFont val="Calibri"/>
        <family val="2"/>
        <scheme val="minor"/>
      </rPr>
      <t>at horizon</t>
    </r>
  </si>
  <si>
    <r>
      <t xml:space="preserve">  </t>
    </r>
    <r>
      <rPr>
        <i/>
        <sz val="11"/>
        <color rgb="FF000000"/>
        <rFont val="Calibri"/>
        <family val="2"/>
        <scheme val="minor"/>
      </rPr>
      <t xml:space="preserve">AOIG </t>
    </r>
    <r>
      <rPr>
        <sz val="11"/>
        <color rgb="FF000000"/>
        <rFont val="Calibri"/>
        <family val="2"/>
        <scheme val="minor"/>
      </rPr>
      <t>at horizon</t>
    </r>
  </si>
  <si>
    <t>Free cash flow to equity holders</t>
  </si>
  <si>
    <t>Employee and Director Stock Options (Millions)</t>
  </si>
  <si>
    <t>Restricted Stock and Share Units (Thousands)</t>
  </si>
  <si>
    <t>Opening SBC liability</t>
  </si>
  <si>
    <t>Decrease (increase) in SBC overhang</t>
  </si>
  <si>
    <t>Share Unit RSUs:</t>
  </si>
  <si>
    <t>Adjustments for Share Unit RSUs:</t>
  </si>
  <si>
    <t>Sorting out the "Other" asset and liability categories:</t>
  </si>
  <si>
    <t>READ THIS COMMENT</t>
  </si>
  <si>
    <t>Items in purple replaced with detail of pensions</t>
  </si>
  <si>
    <t>Items in purple replaced with detail of postretirement</t>
  </si>
  <si>
    <t>Items in purple replaced with detail of postemployment</t>
  </si>
  <si>
    <t>Footnote 9:</t>
  </si>
  <si>
    <r>
      <t>Operating lease payments (</t>
    </r>
    <r>
      <rPr>
        <b/>
        <sz val="11"/>
        <color theme="1"/>
        <rFont val="Calibri"/>
        <family val="2"/>
        <scheme val="minor"/>
      </rPr>
      <t>disclosed in Note 7</t>
    </r>
    <r>
      <rPr>
        <sz val="11"/>
        <color theme="1"/>
        <rFont val="Calibri"/>
        <family val="2"/>
        <scheme val="minor"/>
      </rPr>
      <t>)</t>
    </r>
  </si>
  <si>
    <t xml:space="preserve">  Check figure - should equal 0:</t>
  </si>
  <si>
    <t>note: keep scrolling down...</t>
  </si>
  <si>
    <t>note: although this line item already existed, the adjustments augment the value - input the correct cell formula</t>
  </si>
  <si>
    <t>note: this is a new line item because of the adjustments</t>
  </si>
  <si>
    <t>Sanity checks:</t>
  </si>
  <si>
    <t>Balance sheet in balance (should equal 0)</t>
  </si>
  <si>
    <t>Matches above (i.e., should equal 0)</t>
  </si>
  <si>
    <t>Shareholders' equity balance (should equal 0)</t>
  </si>
  <si>
    <t>Matches above (should equal 0)</t>
  </si>
  <si>
    <t>CSE matches BS Adjusted (i.e., should equal 0)</t>
  </si>
  <si>
    <t>Difference from comprehensive income attrib to K from IS Reported (should equal 0)</t>
  </si>
  <si>
    <r>
      <t xml:space="preserve">52/53 week adjusted </t>
    </r>
    <r>
      <rPr>
        <b/>
        <i/>
        <sz val="11"/>
        <color theme="1"/>
        <rFont val="Calibri"/>
        <family val="2"/>
        <scheme val="minor"/>
      </rPr>
      <t>RNFL</t>
    </r>
  </si>
  <si>
    <r>
      <t xml:space="preserve">52/53 week adjusted </t>
    </r>
    <r>
      <rPr>
        <b/>
        <i/>
        <sz val="11"/>
        <color theme="1"/>
        <rFont val="Calibri"/>
        <family val="2"/>
        <scheme val="minor"/>
      </rPr>
      <t>RNOA</t>
    </r>
  </si>
  <si>
    <t>PM x ATO</t>
  </si>
  <si>
    <t>Difference</t>
  </si>
  <si>
    <t>Excluding taxes</t>
  </si>
  <si>
    <t>Excluding taxes, foreign currency, and hedges</t>
  </si>
  <si>
    <t xml:space="preserve">Sales growth </t>
  </si>
  <si>
    <t>53-week Adjustment</t>
  </si>
  <si>
    <t>Terminal</t>
  </si>
  <si>
    <t>Implied effective tax rate</t>
  </si>
  <si>
    <t>Check: For historical, same Operating ATO as Analyzing (Diff = 0)</t>
  </si>
  <si>
    <t>Cost of debt estimate 1 (pre-tax RNFL):</t>
  </si>
  <si>
    <t>Beta is estimated in secondary spreadsheet</t>
  </si>
  <si>
    <t>Cost of equity capital:</t>
  </si>
  <si>
    <t>Estimated fair value of NFL</t>
  </si>
  <si>
    <t>Market price per share at May 1, 2019</t>
  </si>
  <si>
    <t>Market value of net operating assets</t>
  </si>
  <si>
    <t>Market value of common stockholders' equity</t>
  </si>
  <si>
    <t>Weighted-Average Cost of Capital</t>
  </si>
  <si>
    <t>Per 10-K or more recent 10-Q</t>
  </si>
  <si>
    <t>This just brings the WACC estimate up from the bottom of the sheet</t>
  </si>
  <si>
    <t>These two cells are adjusting our NFL for any reported difference between fair value and book value of debt (found in financial statement footnotes)</t>
  </si>
  <si>
    <t>Hint: search the 10-K for "Other fair value measurements"</t>
  </si>
  <si>
    <t>Total Sales (with 53 week fcast adj)</t>
  </si>
  <si>
    <t>Growth in FCF</t>
  </si>
  <si>
    <t>Forecasts (amounts in millions)</t>
  </si>
  <si>
    <t>Year Ending</t>
  </si>
  <si>
    <r>
      <t>∆</t>
    </r>
    <r>
      <rPr>
        <i/>
        <sz val="11"/>
        <color theme="1"/>
        <rFont val="Calibri"/>
        <family val="2"/>
        <scheme val="minor"/>
      </rPr>
      <t>NOPAT</t>
    </r>
  </si>
  <si>
    <r>
      <rPr>
        <i/>
        <sz val="11"/>
        <color rgb="FF000000"/>
        <rFont val="Calibri"/>
        <family val="2"/>
        <scheme val="minor"/>
      </rPr>
      <t>AOIG</t>
    </r>
    <r>
      <rPr>
        <vertAlign val="subscript"/>
        <sz val="11"/>
        <color rgb="FF000000"/>
        <rFont val="Calibri"/>
        <family val="2"/>
        <scheme val="minor"/>
      </rPr>
      <t>t+1</t>
    </r>
    <r>
      <rPr>
        <sz val="11"/>
        <color rgb="FF000000"/>
        <rFont val="Calibri"/>
        <family val="2"/>
        <scheme val="minor"/>
      </rPr>
      <t xml:space="preserve"> [</t>
    </r>
    <r>
      <rPr>
        <i/>
        <sz val="11"/>
        <color rgb="FF000000"/>
        <rFont val="Calibri"/>
        <family val="2"/>
        <scheme val="minor"/>
      </rPr>
      <t>∆NOPAT</t>
    </r>
    <r>
      <rPr>
        <i/>
        <vertAlign val="subscript"/>
        <sz val="11"/>
        <color rgb="FF000000"/>
        <rFont val="Calibri"/>
        <family val="2"/>
        <scheme val="minor"/>
      </rPr>
      <t>t+1</t>
    </r>
    <r>
      <rPr>
        <i/>
        <sz val="11"/>
        <color rgb="FF000000"/>
        <rFont val="Calibri"/>
        <family val="2"/>
        <scheme val="minor"/>
      </rPr>
      <t xml:space="preserve"> - r</t>
    </r>
    <r>
      <rPr>
        <i/>
        <vertAlign val="subscript"/>
        <sz val="11"/>
        <color rgb="FF000000"/>
        <rFont val="Calibri"/>
        <family val="2"/>
        <scheme val="minor"/>
      </rPr>
      <t>WACC</t>
    </r>
    <r>
      <rPr>
        <i/>
        <sz val="11"/>
        <color rgb="FF000000"/>
        <rFont val="Calibri"/>
        <family val="2"/>
        <scheme val="minor"/>
      </rPr>
      <t>*</t>
    </r>
    <r>
      <rPr>
        <sz val="11"/>
        <color rgb="FF000000"/>
        <rFont val="Calibri"/>
        <family val="2"/>
      </rPr>
      <t>Δ</t>
    </r>
    <r>
      <rPr>
        <i/>
        <sz val="11"/>
        <color rgb="FF000000"/>
        <rFont val="Calibri"/>
        <family val="2"/>
      </rPr>
      <t>NOA</t>
    </r>
    <r>
      <rPr>
        <i/>
        <vertAlign val="subscript"/>
        <sz val="11"/>
        <color rgb="FF000000"/>
        <rFont val="Calibri"/>
        <family val="2"/>
      </rPr>
      <t>t</t>
    </r>
    <r>
      <rPr>
        <sz val="11"/>
        <color rgb="FF000000"/>
        <rFont val="Calibri"/>
        <family val="2"/>
        <scheme val="minor"/>
      </rPr>
      <t>]</t>
    </r>
  </si>
  <si>
    <t>Change in NOPAT</t>
  </si>
  <si>
    <t>Reminder that valuation date is May 1, 2019</t>
  </si>
  <si>
    <t>10-K Value</t>
  </si>
  <si>
    <t>Update</t>
  </si>
  <si>
    <t>Note: first quarter 10-Q not filed until 5/3, so it's unavailable as of the May 1, 2019 valuation date!</t>
  </si>
  <si>
    <t>Estimated value of common equity</t>
  </si>
  <si>
    <t>Shares outstanding as of 2018 10-K</t>
  </si>
  <si>
    <t>Closing stock price on May 1, 2019</t>
  </si>
  <si>
    <t>Sensitivity  Analysis</t>
  </si>
  <si>
    <t>Term. SG</t>
  </si>
  <si>
    <t>Term. PM</t>
  </si>
  <si>
    <t>Term. ATO</t>
  </si>
  <si>
    <t>WACC</t>
  </si>
  <si>
    <t>Value Per Share</t>
  </si>
  <si>
    <t>Our Forecast</t>
  </si>
  <si>
    <t>Worst Case</t>
  </si>
  <si>
    <t>Best Case</t>
  </si>
  <si>
    <t>Prior Service Credit</t>
  </si>
  <si>
    <r>
      <t xml:space="preserve">Present value of </t>
    </r>
    <r>
      <rPr>
        <i/>
        <sz val="11"/>
        <color rgb="FF000000"/>
        <rFont val="Calibri"/>
        <family val="2"/>
        <scheme val="minor"/>
      </rPr>
      <t>AOIG</t>
    </r>
    <r>
      <rPr>
        <i/>
        <vertAlign val="subscript"/>
        <sz val="11"/>
        <color rgb="FF000000"/>
        <rFont val="Calibri"/>
        <family val="2"/>
        <scheme val="minor"/>
      </rPr>
      <t>t</t>
    </r>
    <r>
      <rPr>
        <vertAlign val="subscript"/>
        <sz val="11"/>
        <color rgb="FF000000"/>
        <rFont val="Calibri"/>
        <family val="2"/>
        <scheme val="minor"/>
      </rPr>
      <t>+1</t>
    </r>
  </si>
  <si>
    <r>
      <t xml:space="preserve">Sum of present value of </t>
    </r>
    <r>
      <rPr>
        <i/>
        <sz val="11"/>
        <color rgb="FF000000"/>
        <rFont val="Calibri"/>
        <family val="2"/>
        <scheme val="minor"/>
      </rPr>
      <t>AOIG</t>
    </r>
    <r>
      <rPr>
        <i/>
        <vertAlign val="subscript"/>
        <sz val="11"/>
        <color rgb="FF000000"/>
        <rFont val="Calibri"/>
        <family val="2"/>
        <scheme val="minor"/>
      </rPr>
      <t>t</t>
    </r>
    <r>
      <rPr>
        <vertAlign val="subscript"/>
        <sz val="11"/>
        <color rgb="FF000000"/>
        <rFont val="Calibri"/>
        <family val="2"/>
        <scheme val="minor"/>
      </rPr>
      <t>+1</t>
    </r>
  </si>
  <si>
    <t>Your answers for this homework will all be recorded in the tab "13 Final"</t>
  </si>
  <si>
    <t>Color-Coding Key for Cells in "13 Final" (for each cell with one of these colors, you need to input something):</t>
  </si>
  <si>
    <t>In each blue cell, enter a hard-coded number (that you have calculated)</t>
  </si>
  <si>
    <t>In each orange cell, enter a cell reference or cell formula (i.e., not a hard-coded number)</t>
  </si>
  <si>
    <t>Refer to the General Mills spreadsheet example for guidance</t>
  </si>
  <si>
    <t>Per last 10-K (we have this in the "9 Cost of Capital" tab)</t>
  </si>
  <si>
    <t>Per Yahoo! Finance (we have this in the "9 Cost of Capital" tab)</t>
  </si>
  <si>
    <t>Valuation from 10-12 Valuation</t>
  </si>
  <si>
    <t>Mid-year adjustment</t>
  </si>
  <si>
    <t>Valuation date adjustment (to May 1, 2019)</t>
  </si>
  <si>
    <t>Value of operations</t>
  </si>
  <si>
    <t>Note that the sensitivity analysis will require you to come back into the forecast and cost of capital tabs to change some assumptions - I've left some</t>
  </si>
  <si>
    <t>notes in those tabs to give you some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</si>
</sst>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 #,##0_);_(* \(#,##0\);_(* &quot;-&quot;??_);_(@_)"/>
    <numFmt numFmtId="165" formatCode="0.0%"/>
    <numFmt numFmtId="166" formatCode="0.0000"/>
    <numFmt numFmtId="167" formatCode="_(* #,##0.000_);_(* \(#,##0.000\);_(* &quot;-&quot;??_);_(@_)"/>
    <numFmt numFmtId="168" formatCode="_(* #,##0.0_);_(* \(#,##0.0\);_(* &quot;-&quot;??_);_(@_)"/>
    <numFmt numFmtId="169" formatCode="_(&quot;$&quot;* #,##0_);_(&quot;$&quot;* \(#,##0\);_(&quot;$&quot;* &quot;-&quot;??_);_(@_)"/>
    <numFmt numFmtId="170" formatCode="0.00%;\(0.00\)%"/>
    <numFmt numFmtId="171" formatCode="#,##0.000_);\(#,##0.000\)"/>
    <numFmt numFmtId="172" formatCode="0.000"/>
    <numFmt numFmtId="173" formatCode="0.000%"/>
    <numFmt numFmtId="174" formatCode="_(* #,##0.00000_);_(* \(#,##0.00000\);_(* &quot;-&quot;??_);_(@_)"/>
  </numFmts>
  <fonts count="2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1"/>
      <color rgb="FFC00000"/>
      <name val="Calibri"/>
      <family val="2"/>
      <scheme val="minor"/>
    </font>
    <font>
      <b/>
      <sz val="11"/>
      <name val="Calibri"/>
      <family val="2"/>
      <scheme val="minor"/>
    </font>
    <font>
      <sz val="11"/>
      <name val="Calibri"/>
      <family val="2"/>
      <scheme val="minor"/>
    </font>
    <font>
      <vertAlign val="subscript"/>
      <sz val="11"/>
      <color theme="1"/>
      <name val="Calibri"/>
      <family val="2"/>
      <scheme val="minor"/>
    </font>
    <font>
      <u/>
      <sz val="11"/>
      <color theme="10"/>
      <name val="Calibri"/>
      <family val="2"/>
      <scheme val="minor"/>
    </font>
    <font>
      <b/>
      <i/>
      <sz val="11"/>
      <color theme="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i/>
      <vertAlign val="subscript"/>
      <sz val="11"/>
      <color rgb="FF000000"/>
      <name val="Calibri"/>
      <family val="2"/>
      <scheme val="minor"/>
    </font>
    <font>
      <i/>
      <vertAlign val="superscript"/>
      <sz val="11"/>
      <color rgb="FF000000"/>
      <name val="Calibri"/>
      <family val="2"/>
      <scheme val="minor"/>
    </font>
    <font>
      <vertAlign val="subscript"/>
      <sz val="11"/>
      <color rgb="FF000000"/>
      <name val="Calibri"/>
      <family val="2"/>
      <scheme val="minor"/>
    </font>
    <font>
      <i/>
      <vertAlign val="subscript"/>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b/>
      <i/>
      <sz val="11"/>
      <color rgb="FFFF0000"/>
      <name val="Calibri"/>
      <family val="2"/>
      <scheme val="minor"/>
    </font>
    <font>
      <sz val="11"/>
      <color rgb="FF000000"/>
      <name val="Calibri"/>
      <family val="2"/>
    </font>
    <font>
      <i/>
      <sz val="11"/>
      <color rgb="FF000000"/>
      <name val="Calibri"/>
      <family val="2"/>
    </font>
    <font>
      <i/>
      <vertAlign val="subscript"/>
      <sz val="11"/>
      <color rgb="FF000000"/>
      <name val="Calibri"/>
      <family val="2"/>
    </font>
  </fonts>
  <fills count="18">
    <fill>
      <patternFill patternType="none"/>
    </fill>
    <fill>
      <patternFill patternType="gray125"/>
    </fill>
    <fill>
      <patternFill patternType="solid">
        <fgColor theme="5"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rgb="FFFF0000"/>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thin">
        <color indexed="64"/>
      </top>
      <bottom style="double">
        <color indexed="64"/>
      </bottom>
      <diagonal/>
    </border>
    <border>
      <left/>
      <right/>
      <top/>
      <bottom style="medium">
        <color indexed="64"/>
      </bottom>
      <diagonal/>
    </border>
    <border>
      <left/>
      <right/>
      <top style="double">
        <color indexed="64"/>
      </top>
      <bottom/>
      <diagonal/>
    </border>
    <border>
      <left/>
      <right/>
      <top style="medium">
        <color indexed="64"/>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8" fillId="0" borderId="0" applyNumberFormat="0" applyFill="0" applyBorder="0" applyAlignment="0" applyProtection="0"/>
  </cellStyleXfs>
  <cellXfs count="391">
    <xf numFmtId="0" fontId="0" fillId="0" borderId="0" xfId="0"/>
    <xf numFmtId="0" fontId="0" fillId="0" borderId="0" xfId="0" applyAlignment="1">
      <alignment horizontal="center"/>
    </xf>
    <xf numFmtId="37" fontId="0" fillId="0" borderId="0" xfId="0" applyNumberFormat="1"/>
    <xf numFmtId="0" fontId="0" fillId="0" borderId="0" xfId="0" applyFont="1"/>
    <xf numFmtId="37" fontId="0" fillId="0" borderId="2" xfId="0" applyNumberFormat="1" applyBorder="1"/>
    <xf numFmtId="37" fontId="0" fillId="0" borderId="4" xfId="0" applyNumberFormat="1" applyBorder="1"/>
    <xf numFmtId="37" fontId="0" fillId="0" borderId="5" xfId="0" applyNumberFormat="1" applyBorder="1"/>
    <xf numFmtId="37" fontId="0" fillId="0" borderId="0" xfId="0" applyNumberFormat="1" applyBorder="1"/>
    <xf numFmtId="164" fontId="0" fillId="0" borderId="0" xfId="1" applyNumberFormat="1" applyFont="1"/>
    <xf numFmtId="9" fontId="0" fillId="0" borderId="0" xfId="2" applyFont="1"/>
    <xf numFmtId="10" fontId="0" fillId="0" borderId="0" xfId="2" applyNumberFormat="1" applyFont="1"/>
    <xf numFmtId="10" fontId="0" fillId="0" borderId="0" xfId="0" applyNumberFormat="1"/>
    <xf numFmtId="0" fontId="3" fillId="0" borderId="0" xfId="0" applyFont="1"/>
    <xf numFmtId="0" fontId="1" fillId="0" borderId="0" xfId="0" applyFont="1"/>
    <xf numFmtId="0" fontId="0" fillId="0" borderId="0" xfId="0" applyFill="1"/>
    <xf numFmtId="165" fontId="0" fillId="0" borderId="0" xfId="2" applyNumberFormat="1" applyFont="1"/>
    <xf numFmtId="10" fontId="0" fillId="0" borderId="0" xfId="0" applyNumberFormat="1" applyFill="1"/>
    <xf numFmtId="164" fontId="0" fillId="0" borderId="5" xfId="1" applyNumberFormat="1" applyFont="1" applyBorder="1"/>
    <xf numFmtId="164" fontId="0" fillId="0" borderId="3" xfId="1" applyNumberFormat="1" applyFont="1" applyBorder="1"/>
    <xf numFmtId="164" fontId="0" fillId="0" borderId="0" xfId="0" applyNumberFormat="1"/>
    <xf numFmtId="164" fontId="0" fillId="0" borderId="0" xfId="0" applyNumberFormat="1" applyFont="1"/>
    <xf numFmtId="165" fontId="0" fillId="0" borderId="0" xfId="2" applyNumberFormat="1" applyFont="1" applyFill="1"/>
    <xf numFmtId="0" fontId="0" fillId="0" borderId="0" xfId="0" applyBorder="1" applyAlignment="1">
      <alignment horizontal="center"/>
    </xf>
    <xf numFmtId="37" fontId="0" fillId="0" borderId="0" xfId="0" applyNumberFormat="1" applyFill="1" applyBorder="1"/>
    <xf numFmtId="0" fontId="0" fillId="0" borderId="0" xfId="0" applyBorder="1"/>
    <xf numFmtId="167" fontId="0" fillId="0" borderId="0" xfId="1" applyNumberFormat="1" applyFont="1" applyFill="1"/>
    <xf numFmtId="164" fontId="0" fillId="0" borderId="0" xfId="1" applyNumberFormat="1" applyFont="1" applyFill="1"/>
    <xf numFmtId="10" fontId="0" fillId="0" borderId="0" xfId="2" applyNumberFormat="1" applyFont="1" applyFill="1"/>
    <xf numFmtId="37" fontId="0" fillId="0" borderId="0" xfId="0" applyNumberFormat="1" applyFill="1"/>
    <xf numFmtId="164" fontId="0" fillId="0" borderId="2" xfId="1" applyNumberFormat="1" applyFont="1" applyFill="1" applyBorder="1"/>
    <xf numFmtId="10" fontId="0" fillId="0" borderId="0" xfId="2" applyNumberFormat="1" applyFont="1" applyBorder="1" applyAlignment="1">
      <alignment horizontal="right"/>
    </xf>
    <xf numFmtId="168" fontId="0" fillId="0" borderId="0" xfId="0" applyNumberFormat="1"/>
    <xf numFmtId="43" fontId="0" fillId="0" borderId="0" xfId="0" applyNumberFormat="1"/>
    <xf numFmtId="0" fontId="0" fillId="0" borderId="0" xfId="0" applyFill="1" applyBorder="1" applyAlignment="1">
      <alignment horizontal="center"/>
    </xf>
    <xf numFmtId="164" fontId="0" fillId="0" borderId="0" xfId="1" applyNumberFormat="1" applyFont="1" applyFill="1" applyBorder="1" applyAlignment="1">
      <alignment horizontal="center"/>
    </xf>
    <xf numFmtId="164" fontId="0" fillId="0" borderId="5" xfId="0" applyNumberFormat="1" applyFill="1" applyBorder="1" applyAlignment="1">
      <alignment horizontal="center"/>
    </xf>
    <xf numFmtId="164" fontId="0" fillId="0" borderId="0" xfId="1" applyNumberFormat="1" applyFont="1" applyBorder="1" applyAlignment="1">
      <alignment horizontal="right"/>
    </xf>
    <xf numFmtId="164" fontId="0" fillId="0" borderId="0" xfId="1" applyNumberFormat="1" applyFont="1" applyBorder="1" applyAlignment="1">
      <alignment horizontal="center"/>
    </xf>
    <xf numFmtId="164" fontId="0" fillId="0" borderId="0" xfId="1" applyNumberFormat="1" applyFont="1" applyFill="1" applyBorder="1"/>
    <xf numFmtId="164" fontId="0" fillId="0" borderId="1" xfId="1" applyNumberFormat="1" applyFont="1" applyBorder="1"/>
    <xf numFmtId="164" fontId="0" fillId="0" borderId="5" xfId="0" applyNumberFormat="1" applyBorder="1"/>
    <xf numFmtId="37" fontId="0" fillId="0" borderId="2" xfId="0" applyNumberFormat="1" applyFill="1" applyBorder="1"/>
    <xf numFmtId="0" fontId="0" fillId="3" borderId="0" xfId="0" applyFill="1"/>
    <xf numFmtId="0" fontId="0" fillId="4" borderId="0" xfId="0" applyFill="1"/>
    <xf numFmtId="43" fontId="0" fillId="0" borderId="0" xfId="1" applyFont="1"/>
    <xf numFmtId="43" fontId="0" fillId="0" borderId="0" xfId="1" applyFont="1" applyBorder="1" applyAlignment="1">
      <alignment horizontal="center"/>
    </xf>
    <xf numFmtId="164" fontId="0" fillId="0" borderId="7" xfId="0" applyNumberFormat="1" applyBorder="1"/>
    <xf numFmtId="164" fontId="0" fillId="0" borderId="4" xfId="0" applyNumberFormat="1" applyBorder="1"/>
    <xf numFmtId="164" fontId="0" fillId="0" borderId="0" xfId="0" applyNumberFormat="1" applyBorder="1"/>
    <xf numFmtId="43" fontId="0" fillId="0" borderId="2" xfId="0" applyNumberFormat="1" applyBorder="1"/>
    <xf numFmtId="167" fontId="0" fillId="0" borderId="0" xfId="1" applyNumberFormat="1" applyFont="1"/>
    <xf numFmtId="0" fontId="0" fillId="0" borderId="0" xfId="0" applyFill="1" applyAlignment="1">
      <alignment horizontal="center"/>
    </xf>
    <xf numFmtId="164" fontId="0" fillId="5" borderId="0" xfId="1" applyNumberFormat="1" applyFont="1" applyFill="1"/>
    <xf numFmtId="37" fontId="0" fillId="0" borderId="0" xfId="0" applyNumberFormat="1" applyAlignment="1">
      <alignment horizontal="right"/>
    </xf>
    <xf numFmtId="169" fontId="0" fillId="0" borderId="0" xfId="3" applyNumberFormat="1" applyFont="1"/>
    <xf numFmtId="170" fontId="0" fillId="0" borderId="0" xfId="2" applyNumberFormat="1" applyFont="1"/>
    <xf numFmtId="170" fontId="0" fillId="0" borderId="2" xfId="2" applyNumberFormat="1" applyFont="1" applyBorder="1"/>
    <xf numFmtId="164" fontId="0" fillId="0" borderId="0" xfId="1" applyNumberFormat="1" applyFont="1" applyBorder="1"/>
    <xf numFmtId="171" fontId="0" fillId="0" borderId="0" xfId="1" applyNumberFormat="1" applyFont="1"/>
    <xf numFmtId="164" fontId="0" fillId="0" borderId="0" xfId="0" applyNumberFormat="1" applyFill="1"/>
    <xf numFmtId="165" fontId="0" fillId="0" borderId="5" xfId="0" applyNumberFormat="1" applyFill="1" applyBorder="1"/>
    <xf numFmtId="170" fontId="0" fillId="0" borderId="0" xfId="2" applyNumberFormat="1" applyFont="1" applyFill="1"/>
    <xf numFmtId="170" fontId="0" fillId="0" borderId="3" xfId="2" applyNumberFormat="1" applyFont="1" applyFill="1" applyBorder="1"/>
    <xf numFmtId="170" fontId="0" fillId="0" borderId="0" xfId="2" applyNumberFormat="1" applyFont="1" applyFill="1" applyBorder="1"/>
    <xf numFmtId="170" fontId="0" fillId="0" borderId="2" xfId="2" applyNumberFormat="1" applyFont="1" applyFill="1" applyBorder="1"/>
    <xf numFmtId="171" fontId="0" fillId="0" borderId="0" xfId="1" applyNumberFormat="1" applyFont="1" applyFill="1"/>
    <xf numFmtId="37" fontId="0" fillId="0" borderId="0" xfId="0" applyNumberFormat="1" applyBorder="1" applyAlignment="1">
      <alignment horizontal="right"/>
    </xf>
    <xf numFmtId="164" fontId="0" fillId="0" borderId="2" xfId="1" applyNumberFormat="1" applyFont="1" applyBorder="1"/>
    <xf numFmtId="0" fontId="4" fillId="0" borderId="0" xfId="0" applyFont="1"/>
    <xf numFmtId="43" fontId="0" fillId="0" borderId="2" xfId="1" applyFont="1" applyBorder="1"/>
    <xf numFmtId="9" fontId="0" fillId="0" borderId="2" xfId="2" applyFont="1" applyBorder="1"/>
    <xf numFmtId="0" fontId="5" fillId="0" borderId="0" xfId="0" applyFont="1"/>
    <xf numFmtId="0" fontId="6" fillId="0" borderId="0" xfId="0" applyFont="1"/>
    <xf numFmtId="37" fontId="0" fillId="0" borderId="0" xfId="0" applyNumberFormat="1" applyFont="1" applyBorder="1"/>
    <xf numFmtId="0" fontId="1" fillId="0" borderId="0" xfId="0" applyFont="1" applyFill="1"/>
    <xf numFmtId="0" fontId="3" fillId="0" borderId="0" xfId="0" applyFont="1" applyFill="1"/>
    <xf numFmtId="37" fontId="0" fillId="0" borderId="0" xfId="0" applyNumberFormat="1" applyFill="1" applyBorder="1" applyAlignment="1">
      <alignment horizontal="right"/>
    </xf>
    <xf numFmtId="168" fontId="0" fillId="0" borderId="0" xfId="0" applyNumberFormat="1" applyFill="1"/>
    <xf numFmtId="167" fontId="0" fillId="0" borderId="0" xfId="0" applyNumberFormat="1"/>
    <xf numFmtId="172" fontId="0" fillId="0" borderId="0" xfId="0" applyNumberFormat="1"/>
    <xf numFmtId="164" fontId="0" fillId="0" borderId="2" xfId="0" applyNumberFormat="1" applyBorder="1"/>
    <xf numFmtId="167" fontId="0" fillId="0" borderId="0" xfId="0" applyNumberFormat="1" applyBorder="1" applyAlignment="1">
      <alignment horizontal="center"/>
    </xf>
    <xf numFmtId="164" fontId="0" fillId="7" borderId="0" xfId="1" applyNumberFormat="1" applyFont="1" applyFill="1"/>
    <xf numFmtId="164" fontId="0" fillId="7" borderId="0" xfId="0" applyNumberFormat="1" applyFill="1"/>
    <xf numFmtId="164" fontId="0" fillId="8" borderId="0" xfId="1" applyNumberFormat="1" applyFont="1" applyFill="1"/>
    <xf numFmtId="164" fontId="0" fillId="7" borderId="3" xfId="0" applyNumberFormat="1" applyFill="1" applyBorder="1"/>
    <xf numFmtId="164" fontId="0" fillId="7" borderId="9" xfId="0" applyNumberFormat="1" applyFill="1" applyBorder="1"/>
    <xf numFmtId="0" fontId="0" fillId="0" borderId="2" xfId="0" applyBorder="1"/>
    <xf numFmtId="164" fontId="0" fillId="5" borderId="0" xfId="1" applyNumberFormat="1" applyFont="1" applyFill="1" applyBorder="1"/>
    <xf numFmtId="169" fontId="0" fillId="0" borderId="0" xfId="3" applyNumberFormat="1" applyFont="1" applyFill="1"/>
    <xf numFmtId="171" fontId="0" fillId="0" borderId="0" xfId="1" applyNumberFormat="1" applyFont="1" applyFill="1" applyBorder="1"/>
    <xf numFmtId="171" fontId="0" fillId="0" borderId="0" xfId="1" applyNumberFormat="1" applyFont="1" applyBorder="1"/>
    <xf numFmtId="0" fontId="1" fillId="0" borderId="0" xfId="0" applyFont="1" applyAlignment="1">
      <alignment horizontal="center"/>
    </xf>
    <xf numFmtId="14" fontId="0" fillId="0" borderId="6" xfId="0" applyNumberFormat="1" applyBorder="1" applyAlignment="1">
      <alignment horizontal="center"/>
    </xf>
    <xf numFmtId="14" fontId="0" fillId="0" borderId="6" xfId="0" applyNumberFormat="1" applyFill="1" applyBorder="1" applyAlignment="1">
      <alignment horizontal="center"/>
    </xf>
    <xf numFmtId="10" fontId="0" fillId="0" borderId="5" xfId="2" applyNumberFormat="1" applyFont="1" applyFill="1" applyBorder="1"/>
    <xf numFmtId="0" fontId="0" fillId="0" borderId="0" xfId="0" applyNumberFormat="1" applyBorder="1" applyAlignment="1">
      <alignment horizontal="center"/>
    </xf>
    <xf numFmtId="14" fontId="0" fillId="0" borderId="0" xfId="0" applyNumberFormat="1" applyBorder="1"/>
    <xf numFmtId="173" fontId="0" fillId="0" borderId="12" xfId="2" applyNumberFormat="1" applyFont="1" applyBorder="1"/>
    <xf numFmtId="0" fontId="0" fillId="0" borderId="9" xfId="0" applyBorder="1"/>
    <xf numFmtId="173" fontId="0" fillId="0" borderId="13" xfId="2" applyNumberFormat="1" applyFont="1" applyBorder="1"/>
    <xf numFmtId="0" fontId="0" fillId="0" borderId="10" xfId="0" applyBorder="1"/>
    <xf numFmtId="0" fontId="0" fillId="0" borderId="13" xfId="0" applyBorder="1"/>
    <xf numFmtId="10" fontId="0" fillId="0" borderId="14" xfId="2" applyNumberFormat="1" applyFont="1" applyBorder="1"/>
    <xf numFmtId="0" fontId="0" fillId="0" borderId="15" xfId="0" applyBorder="1"/>
    <xf numFmtId="0" fontId="0" fillId="0" borderId="11" xfId="0" applyBorder="1"/>
    <xf numFmtId="0" fontId="10" fillId="0" borderId="0" xfId="0" applyFont="1"/>
    <xf numFmtId="165" fontId="0" fillId="0" borderId="2" xfId="2" applyNumberFormat="1" applyFont="1" applyFill="1" applyBorder="1"/>
    <xf numFmtId="10" fontId="0" fillId="0" borderId="0" xfId="0" applyNumberFormat="1" applyFont="1" applyFill="1"/>
    <xf numFmtId="172" fontId="0" fillId="0" borderId="0" xfId="0" applyNumberFormat="1" applyFont="1" applyFill="1"/>
    <xf numFmtId="2" fontId="0" fillId="0" borderId="0" xfId="0" applyNumberFormat="1" applyFont="1" applyFill="1"/>
    <xf numFmtId="0" fontId="1" fillId="0" borderId="0" xfId="0" applyFont="1" applyBorder="1"/>
    <xf numFmtId="0" fontId="0" fillId="0" borderId="0" xfId="0" applyFont="1" applyBorder="1"/>
    <xf numFmtId="0" fontId="0" fillId="0" borderId="0" xfId="0" applyFont="1" applyBorder="1" applyAlignment="1">
      <alignment vertical="center" wrapText="1"/>
    </xf>
    <xf numFmtId="169" fontId="0" fillId="0" borderId="0" xfId="3" applyNumberFormat="1" applyFont="1" applyBorder="1" applyAlignment="1">
      <alignment horizontal="center" vertical="center" wrapText="1"/>
    </xf>
    <xf numFmtId="169" fontId="0" fillId="0" borderId="0" xfId="3" applyNumberFormat="1" applyFont="1" applyFill="1" applyAlignment="1">
      <alignment horizontal="center"/>
    </xf>
    <xf numFmtId="0" fontId="3" fillId="0" borderId="0" xfId="0" applyFont="1" applyAlignment="1">
      <alignment vertical="center" wrapText="1"/>
    </xf>
    <xf numFmtId="164" fontId="0" fillId="0" borderId="0" xfId="1" applyNumberFormat="1" applyFont="1" applyAlignment="1">
      <alignment horizontal="center" vertical="center" wrapText="1"/>
    </xf>
    <xf numFmtId="169" fontId="0" fillId="0" borderId="0" xfId="3" applyNumberFormat="1" applyFont="1" applyAlignment="1">
      <alignment horizontal="center" vertical="center" wrapText="1"/>
    </xf>
    <xf numFmtId="0" fontId="0" fillId="0" borderId="0" xfId="0" applyFont="1" applyAlignment="1">
      <alignment vertical="center" wrapText="1"/>
    </xf>
    <xf numFmtId="0" fontId="0" fillId="0" borderId="0" xfId="0" applyNumberFormat="1" applyFont="1" applyFill="1"/>
    <xf numFmtId="0" fontId="11" fillId="0" borderId="0" xfId="0" applyFont="1" applyAlignment="1">
      <alignment vertical="center"/>
    </xf>
    <xf numFmtId="0" fontId="12" fillId="0" borderId="0" xfId="0" applyFont="1" applyAlignment="1">
      <alignment vertical="center"/>
    </xf>
    <xf numFmtId="0" fontId="0" fillId="0" borderId="0" xfId="0" applyFont="1" applyAlignment="1">
      <alignment vertical="center"/>
    </xf>
    <xf numFmtId="164" fontId="0" fillId="0" borderId="0" xfId="1" applyNumberFormat="1" applyFont="1" applyAlignment="1">
      <alignment horizontal="right" vertical="center"/>
    </xf>
    <xf numFmtId="0" fontId="3" fillId="0" borderId="0" xfId="0" applyFont="1" applyAlignment="1">
      <alignment vertical="center"/>
    </xf>
    <xf numFmtId="0" fontId="0" fillId="0" borderId="0" xfId="0" applyFont="1" applyAlignment="1">
      <alignment horizontal="right" vertical="center"/>
    </xf>
    <xf numFmtId="166" fontId="12" fillId="0" borderId="2" xfId="1" applyNumberFormat="1" applyFont="1" applyBorder="1" applyAlignment="1">
      <alignment horizontal="right" vertical="center"/>
    </xf>
    <xf numFmtId="166" fontId="12" fillId="0" borderId="0" xfId="1" applyNumberFormat="1" applyFont="1" applyBorder="1" applyAlignment="1">
      <alignment horizontal="right" vertical="center"/>
    </xf>
    <xf numFmtId="164" fontId="12" fillId="0" borderId="0" xfId="1" applyNumberFormat="1" applyFont="1" applyBorder="1" applyAlignment="1">
      <alignment horizontal="right" vertical="center"/>
    </xf>
    <xf numFmtId="0" fontId="0" fillId="0" borderId="0" xfId="0" applyNumberFormat="1" applyFont="1" applyFill="1" applyBorder="1"/>
    <xf numFmtId="164" fontId="12" fillId="0" borderId="0" xfId="1" applyNumberFormat="1" applyFont="1" applyBorder="1" applyAlignment="1">
      <alignment vertical="center"/>
    </xf>
    <xf numFmtId="164" fontId="12" fillId="0" borderId="5" xfId="1" applyNumberFormat="1" applyFont="1" applyBorder="1" applyAlignment="1">
      <alignment horizontal="right" vertical="center"/>
    </xf>
    <xf numFmtId="0" fontId="0" fillId="0" borderId="0" xfId="0" applyFont="1" applyFill="1"/>
    <xf numFmtId="0" fontId="0" fillId="0" borderId="0" xfId="1" applyNumberFormat="1" applyFont="1" applyFill="1"/>
    <xf numFmtId="3" fontId="0" fillId="0" borderId="0" xfId="0" applyNumberFormat="1" applyFont="1" applyAlignment="1">
      <alignment horizontal="right" vertical="center"/>
    </xf>
    <xf numFmtId="10" fontId="0" fillId="0" borderId="0" xfId="2" applyNumberFormat="1" applyFont="1" applyAlignment="1">
      <alignment horizontal="right" vertical="center"/>
    </xf>
    <xf numFmtId="3" fontId="12" fillId="0" borderId="0" xfId="0" applyNumberFormat="1" applyFont="1" applyAlignment="1">
      <alignment horizontal="right" vertical="center"/>
    </xf>
    <xf numFmtId="3" fontId="12" fillId="0" borderId="0" xfId="0" applyNumberFormat="1" applyFont="1" applyBorder="1" applyAlignment="1">
      <alignment horizontal="right" vertical="center"/>
    </xf>
    <xf numFmtId="3" fontId="0" fillId="0" borderId="0" xfId="0" applyNumberFormat="1" applyFont="1"/>
    <xf numFmtId="3" fontId="12" fillId="0" borderId="8" xfId="0" applyNumberFormat="1" applyFont="1" applyBorder="1" applyAlignment="1">
      <alignment horizontal="right" vertical="center"/>
    </xf>
    <xf numFmtId="3" fontId="0" fillId="0" borderId="0" xfId="0" applyNumberFormat="1" applyFont="1" applyBorder="1" applyAlignment="1">
      <alignment horizontal="right" vertical="center"/>
    </xf>
    <xf numFmtId="14" fontId="0" fillId="0" borderId="0" xfId="0" applyNumberFormat="1" applyFill="1" applyBorder="1" applyAlignment="1">
      <alignment horizontal="center"/>
    </xf>
    <xf numFmtId="0" fontId="0" fillId="0" borderId="0" xfId="0" applyFill="1" applyBorder="1"/>
    <xf numFmtId="172" fontId="0" fillId="0" borderId="5" xfId="0" applyNumberFormat="1" applyBorder="1"/>
    <xf numFmtId="14" fontId="1" fillId="0" borderId="6" xfId="0" applyNumberFormat="1" applyFont="1" applyBorder="1" applyAlignment="1">
      <alignment horizontal="center"/>
    </xf>
    <xf numFmtId="37" fontId="1" fillId="0" borderId="0" xfId="0" applyNumberFormat="1" applyFont="1"/>
    <xf numFmtId="37" fontId="1" fillId="0" borderId="5" xfId="0" applyNumberFormat="1" applyFont="1" applyBorder="1"/>
    <xf numFmtId="37" fontId="1" fillId="0" borderId="2" xfId="0" applyNumberFormat="1" applyFont="1" applyBorder="1"/>
    <xf numFmtId="14" fontId="1" fillId="0" borderId="6" xfId="0" applyNumberFormat="1" applyFont="1" applyFill="1" applyBorder="1" applyAlignment="1">
      <alignment horizontal="center"/>
    </xf>
    <xf numFmtId="164" fontId="1" fillId="0" borderId="0" xfId="1" applyNumberFormat="1" applyFont="1" applyFill="1"/>
    <xf numFmtId="164" fontId="1" fillId="0" borderId="0" xfId="1" applyNumberFormat="1" applyFont="1" applyFill="1" applyBorder="1"/>
    <xf numFmtId="37" fontId="1" fillId="0" borderId="0" xfId="0" applyNumberFormat="1" applyFont="1" applyBorder="1"/>
    <xf numFmtId="164" fontId="1" fillId="0" borderId="0" xfId="0" applyNumberFormat="1" applyFont="1" applyBorder="1"/>
    <xf numFmtId="164" fontId="1" fillId="0" borderId="0" xfId="0" applyNumberFormat="1" applyFont="1"/>
    <xf numFmtId="37" fontId="1" fillId="0" borderId="1" xfId="0" applyNumberFormat="1" applyFont="1" applyBorder="1"/>
    <xf numFmtId="164" fontId="1" fillId="0" borderId="4" xfId="1" applyNumberFormat="1" applyFont="1" applyBorder="1"/>
    <xf numFmtId="164" fontId="1" fillId="0" borderId="0" xfId="1" applyNumberFormat="1" applyFont="1"/>
    <xf numFmtId="164" fontId="1" fillId="0" borderId="1" xfId="1" applyNumberFormat="1" applyFont="1" applyBorder="1"/>
    <xf numFmtId="0" fontId="1" fillId="9" borderId="0" xfId="0" applyFont="1" applyFill="1"/>
    <xf numFmtId="165" fontId="1" fillId="9" borderId="0" xfId="2" applyNumberFormat="1" applyFont="1" applyFill="1"/>
    <xf numFmtId="0" fontId="0" fillId="6" borderId="0" xfId="0" applyFill="1" applyAlignment="1">
      <alignment horizontal="center"/>
    </xf>
    <xf numFmtId="37" fontId="0" fillId="5" borderId="0" xfId="0" applyNumberFormat="1" applyFill="1"/>
    <xf numFmtId="37" fontId="0" fillId="5" borderId="2" xfId="0" applyNumberFormat="1" applyFill="1" applyBorder="1"/>
    <xf numFmtId="37" fontId="0" fillId="5" borderId="0" xfId="0" applyNumberFormat="1" applyFill="1" applyBorder="1"/>
    <xf numFmtId="37" fontId="0" fillId="8" borderId="0" xfId="0" applyNumberFormat="1" applyFill="1"/>
    <xf numFmtId="37" fontId="0" fillId="8" borderId="2" xfId="0" applyNumberFormat="1" applyFill="1" applyBorder="1"/>
    <xf numFmtId="0" fontId="3" fillId="10" borderId="0" xfId="0" applyFont="1" applyFill="1"/>
    <xf numFmtId="0" fontId="0" fillId="10" borderId="0" xfId="0" applyFill="1" applyAlignment="1">
      <alignment horizontal="center"/>
    </xf>
    <xf numFmtId="0" fontId="0" fillId="10" borderId="0" xfId="0" applyFill="1"/>
    <xf numFmtId="37" fontId="0" fillId="10" borderId="0" xfId="0" applyNumberFormat="1" applyFill="1"/>
    <xf numFmtId="37" fontId="0" fillId="10" borderId="0" xfId="0" applyNumberFormat="1" applyFill="1" applyBorder="1"/>
    <xf numFmtId="164" fontId="0" fillId="11" borderId="5" xfId="1" applyNumberFormat="1" applyFont="1" applyFill="1" applyBorder="1"/>
    <xf numFmtId="164" fontId="0" fillId="11" borderId="5" xfId="0" applyNumberFormat="1" applyFill="1" applyBorder="1" applyAlignment="1">
      <alignment horizontal="center"/>
    </xf>
    <xf numFmtId="164" fontId="0" fillId="11" borderId="1" xfId="1" applyNumberFormat="1" applyFont="1" applyFill="1" applyBorder="1"/>
    <xf numFmtId="164" fontId="0" fillId="11" borderId="3" xfId="1" applyNumberFormat="1" applyFont="1" applyFill="1" applyBorder="1"/>
    <xf numFmtId="164" fontId="0" fillId="11" borderId="5" xfId="0" applyNumberFormat="1" applyFill="1" applyBorder="1"/>
    <xf numFmtId="37" fontId="0" fillId="11" borderId="5" xfId="0" applyNumberFormat="1" applyFill="1" applyBorder="1"/>
    <xf numFmtId="0" fontId="9" fillId="0" borderId="0" xfId="0" applyFont="1"/>
    <xf numFmtId="0" fontId="0" fillId="2" borderId="0" xfId="0" applyFont="1" applyFill="1"/>
    <xf numFmtId="165" fontId="0" fillId="2" borderId="0" xfId="2" applyNumberFormat="1" applyFont="1" applyFill="1"/>
    <xf numFmtId="0" fontId="0" fillId="2" borderId="0" xfId="0" applyFill="1"/>
    <xf numFmtId="164" fontId="0" fillId="2" borderId="0" xfId="1" applyNumberFormat="1" applyFont="1" applyFill="1"/>
    <xf numFmtId="0" fontId="1" fillId="2" borderId="0" xfId="0" applyFont="1" applyFill="1"/>
    <xf numFmtId="0" fontId="0" fillId="12" borderId="0" xfId="0" applyFill="1"/>
    <xf numFmtId="0" fontId="20" fillId="0" borderId="0" xfId="0" applyFont="1"/>
    <xf numFmtId="37" fontId="0" fillId="7" borderId="0" xfId="0" applyNumberFormat="1" applyFill="1"/>
    <xf numFmtId="164" fontId="0" fillId="7" borderId="0" xfId="0" applyNumberFormat="1" applyFill="1" applyBorder="1"/>
    <xf numFmtId="164" fontId="0" fillId="7" borderId="10" xfId="0" applyNumberFormat="1" applyFill="1" applyBorder="1"/>
    <xf numFmtId="164" fontId="0" fillId="7" borderId="2" xfId="0" applyNumberFormat="1" applyFill="1" applyBorder="1"/>
    <xf numFmtId="164" fontId="0" fillId="7" borderId="11" xfId="0" applyNumberFormat="1" applyFill="1" applyBorder="1"/>
    <xf numFmtId="0" fontId="1" fillId="0" borderId="0" xfId="0" applyFont="1" applyFill="1" applyAlignment="1">
      <alignment horizontal="center"/>
    </xf>
    <xf numFmtId="37" fontId="1" fillId="0" borderId="5" xfId="0" applyNumberFormat="1" applyFont="1" applyFill="1" applyBorder="1"/>
    <xf numFmtId="37" fontId="1" fillId="0" borderId="0" xfId="0" applyNumberFormat="1" applyFont="1" applyFill="1"/>
    <xf numFmtId="37" fontId="1" fillId="0" borderId="1" xfId="0" applyNumberFormat="1" applyFont="1" applyFill="1" applyBorder="1"/>
    <xf numFmtId="0" fontId="0" fillId="13" borderId="0" xfId="0" applyFill="1"/>
    <xf numFmtId="0" fontId="0" fillId="13" borderId="0" xfId="0" applyFill="1" applyAlignment="1">
      <alignment horizontal="center"/>
    </xf>
    <xf numFmtId="37" fontId="0" fillId="13" borderId="0" xfId="0" applyNumberFormat="1" applyFill="1"/>
    <xf numFmtId="14" fontId="0" fillId="13" borderId="6" xfId="0" applyNumberFormat="1" applyFill="1" applyBorder="1" applyAlignment="1">
      <alignment horizontal="center"/>
    </xf>
    <xf numFmtId="0" fontId="1" fillId="13" borderId="0" xfId="0" applyFont="1" applyFill="1"/>
    <xf numFmtId="37" fontId="0" fillId="13" borderId="5" xfId="0" applyNumberFormat="1" applyFill="1" applyBorder="1"/>
    <xf numFmtId="37" fontId="0" fillId="13" borderId="2" xfId="0" applyNumberFormat="1" applyFill="1" applyBorder="1"/>
    <xf numFmtId="37" fontId="0" fillId="13" borderId="4" xfId="0" applyNumberFormat="1" applyFill="1" applyBorder="1"/>
    <xf numFmtId="0" fontId="9" fillId="13" borderId="0" xfId="0" applyFont="1" applyFill="1"/>
    <xf numFmtId="0" fontId="1" fillId="13" borderId="0" xfId="0" applyFont="1" applyFill="1" applyAlignment="1">
      <alignment horizontal="center"/>
    </xf>
    <xf numFmtId="37" fontId="1" fillId="13" borderId="0" xfId="0" applyNumberFormat="1" applyFont="1" applyFill="1"/>
    <xf numFmtId="37" fontId="1" fillId="13" borderId="0" xfId="0" applyNumberFormat="1" applyFont="1" applyFill="1" applyBorder="1"/>
    <xf numFmtId="0" fontId="1" fillId="13" borderId="0" xfId="0" applyFont="1" applyFill="1" applyBorder="1"/>
    <xf numFmtId="164" fontId="1" fillId="0" borderId="3" xfId="1" applyNumberFormat="1" applyFont="1" applyFill="1" applyBorder="1"/>
    <xf numFmtId="164" fontId="1" fillId="0" borderId="5" xfId="1" applyNumberFormat="1" applyFont="1" applyFill="1" applyBorder="1"/>
    <xf numFmtId="43" fontId="0" fillId="5" borderId="0" xfId="1" applyFont="1" applyFill="1" applyBorder="1" applyAlignment="1">
      <alignment horizontal="center"/>
    </xf>
    <xf numFmtId="43" fontId="0" fillId="5" borderId="0" xfId="1" applyFont="1" applyFill="1"/>
    <xf numFmtId="164" fontId="0" fillId="11" borderId="0" xfId="0" applyNumberFormat="1" applyFill="1"/>
    <xf numFmtId="164" fontId="0" fillId="5" borderId="3" xfId="1" applyNumberFormat="1" applyFont="1" applyFill="1" applyBorder="1"/>
    <xf numFmtId="0" fontId="0" fillId="11" borderId="9" xfId="0" applyFill="1" applyBorder="1"/>
    <xf numFmtId="0" fontId="0" fillId="11" borderId="10" xfId="0" applyFill="1" applyBorder="1"/>
    <xf numFmtId="10" fontId="0" fillId="11" borderId="14" xfId="2" applyNumberFormat="1" applyFont="1" applyFill="1" applyBorder="1"/>
    <xf numFmtId="164" fontId="0" fillId="11" borderId="0" xfId="1" applyNumberFormat="1" applyFont="1" applyFill="1"/>
    <xf numFmtId="164" fontId="0" fillId="11" borderId="4" xfId="0" applyNumberFormat="1" applyFill="1" applyBorder="1"/>
    <xf numFmtId="43" fontId="0" fillId="11" borderId="0" xfId="1" applyFont="1" applyFill="1"/>
    <xf numFmtId="43" fontId="0" fillId="11" borderId="2" xfId="0" applyNumberFormat="1" applyFill="1" applyBorder="1"/>
    <xf numFmtId="43" fontId="0" fillId="11" borderId="0" xfId="0" applyNumberFormat="1" applyFill="1"/>
    <xf numFmtId="164" fontId="0" fillId="11" borderId="2" xfId="1" applyNumberFormat="1" applyFont="1" applyFill="1" applyBorder="1"/>
    <xf numFmtId="9" fontId="0" fillId="11" borderId="2" xfId="2" applyFont="1" applyFill="1" applyBorder="1"/>
    <xf numFmtId="0" fontId="0" fillId="2" borderId="0" xfId="0" applyFill="1" applyBorder="1"/>
    <xf numFmtId="9" fontId="0" fillId="2" borderId="0" xfId="2" applyFont="1" applyFill="1" applyBorder="1"/>
    <xf numFmtId="164" fontId="0" fillId="2" borderId="0" xfId="1" applyNumberFormat="1" applyFont="1" applyFill="1" applyBorder="1"/>
    <xf numFmtId="0" fontId="4" fillId="2" borderId="0" xfId="0" applyFont="1" applyFill="1" applyBorder="1"/>
    <xf numFmtId="164" fontId="0" fillId="2" borderId="0" xfId="1" applyNumberFormat="1" applyFont="1" applyFill="1" applyBorder="1" applyAlignment="1">
      <alignment horizontal="center"/>
    </xf>
    <xf numFmtId="0" fontId="1" fillId="2" borderId="0" xfId="0" applyFont="1" applyFill="1" applyBorder="1"/>
    <xf numFmtId="164" fontId="0" fillId="2" borderId="0" xfId="0" applyNumberFormat="1" applyFill="1"/>
    <xf numFmtId="164" fontId="9" fillId="13" borderId="0" xfId="0" applyNumberFormat="1" applyFont="1" applyFill="1"/>
    <xf numFmtId="1" fontId="9" fillId="13" borderId="0" xfId="0" applyNumberFormat="1" applyFont="1" applyFill="1"/>
    <xf numFmtId="43" fontId="0" fillId="11" borderId="2" xfId="1" applyFont="1" applyFill="1" applyBorder="1"/>
    <xf numFmtId="0" fontId="21" fillId="0" borderId="0" xfId="0" applyFont="1"/>
    <xf numFmtId="37" fontId="0" fillId="11" borderId="0" xfId="0" applyNumberFormat="1" applyFill="1"/>
    <xf numFmtId="0" fontId="21" fillId="0" borderId="0" xfId="0" applyFont="1" applyFill="1"/>
    <xf numFmtId="0" fontId="3" fillId="13" borderId="0" xfId="0" applyFont="1" applyFill="1"/>
    <xf numFmtId="14" fontId="1" fillId="13" borderId="6" xfId="0" applyNumberFormat="1" applyFont="1" applyFill="1" applyBorder="1" applyAlignment="1">
      <alignment horizontal="center"/>
    </xf>
    <xf numFmtId="37" fontId="0" fillId="13" borderId="0" xfId="0" applyNumberFormat="1" applyFill="1" applyBorder="1"/>
    <xf numFmtId="14" fontId="1" fillId="0" borderId="2" xfId="0" applyNumberFormat="1" applyFont="1" applyFill="1" applyBorder="1" applyAlignment="1">
      <alignment horizontal="center"/>
    </xf>
    <xf numFmtId="164" fontId="1" fillId="13" borderId="0" xfId="1" applyNumberFormat="1" applyFont="1" applyFill="1" applyBorder="1"/>
    <xf numFmtId="164" fontId="1" fillId="13" borderId="0" xfId="1" applyNumberFormat="1" applyFont="1" applyFill="1"/>
    <xf numFmtId="164" fontId="1" fillId="13" borderId="5" xfId="1" applyNumberFormat="1" applyFont="1" applyFill="1" applyBorder="1"/>
    <xf numFmtId="43" fontId="1" fillId="13" borderId="0" xfId="1" applyFont="1" applyFill="1"/>
    <xf numFmtId="0" fontId="0" fillId="6" borderId="0" xfId="0" applyFill="1"/>
    <xf numFmtId="164" fontId="0" fillId="11" borderId="0" xfId="1" applyNumberFormat="1" applyFont="1" applyFill="1" applyBorder="1"/>
    <xf numFmtId="0" fontId="1" fillId="14" borderId="0" xfId="0" applyFont="1" applyFill="1"/>
    <xf numFmtId="0" fontId="0" fillId="14" borderId="0" xfId="0" applyFill="1" applyAlignment="1">
      <alignment horizontal="center"/>
    </xf>
    <xf numFmtId="0" fontId="0" fillId="14" borderId="0" xfId="0" applyFill="1"/>
    <xf numFmtId="37" fontId="0" fillId="14" borderId="0" xfId="0" applyNumberFormat="1" applyFill="1"/>
    <xf numFmtId="0" fontId="1" fillId="14" borderId="0" xfId="0" applyFont="1" applyFill="1" applyAlignment="1">
      <alignment horizontal="center"/>
    </xf>
    <xf numFmtId="37" fontId="1" fillId="14" borderId="1" xfId="0" applyNumberFormat="1" applyFont="1" applyFill="1" applyBorder="1"/>
    <xf numFmtId="37" fontId="1" fillId="14" borderId="0" xfId="0" applyNumberFormat="1" applyFont="1" applyFill="1"/>
    <xf numFmtId="37" fontId="1" fillId="14" borderId="4" xfId="0" applyNumberFormat="1" applyFont="1" applyFill="1" applyBorder="1"/>
    <xf numFmtId="0" fontId="1" fillId="2" borderId="0" xfId="0" applyFont="1" applyFill="1" applyAlignment="1">
      <alignment horizontal="center"/>
    </xf>
    <xf numFmtId="14" fontId="1" fillId="2" borderId="6" xfId="0" applyNumberFormat="1" applyFont="1" applyFill="1" applyBorder="1" applyAlignment="1">
      <alignment horizontal="center"/>
    </xf>
    <xf numFmtId="0" fontId="0" fillId="2" borderId="0" xfId="0" applyFill="1" applyAlignment="1">
      <alignment horizontal="center"/>
    </xf>
    <xf numFmtId="37" fontId="0" fillId="2" borderId="0" xfId="0" applyNumberFormat="1" applyFill="1"/>
    <xf numFmtId="37" fontId="1" fillId="2" borderId="1" xfId="0" applyNumberFormat="1" applyFont="1" applyFill="1" applyBorder="1"/>
    <xf numFmtId="37" fontId="1" fillId="2" borderId="0" xfId="0" applyNumberFormat="1" applyFont="1" applyFill="1"/>
    <xf numFmtId="37" fontId="1" fillId="2" borderId="4" xfId="0" applyNumberFormat="1" applyFont="1" applyFill="1" applyBorder="1"/>
    <xf numFmtId="0" fontId="0" fillId="14" borderId="0" xfId="0" applyFill="1" applyBorder="1"/>
    <xf numFmtId="37" fontId="0" fillId="14" borderId="0" xfId="0" applyNumberFormat="1" applyFill="1" applyBorder="1"/>
    <xf numFmtId="37" fontId="1" fillId="14" borderId="0" xfId="0" applyNumberFormat="1" applyFont="1" applyFill="1" applyBorder="1"/>
    <xf numFmtId="37" fontId="1" fillId="14" borderId="5" xfId="0" applyNumberFormat="1" applyFont="1" applyFill="1" applyBorder="1"/>
    <xf numFmtId="14" fontId="1" fillId="2" borderId="2" xfId="0" applyNumberFormat="1" applyFont="1" applyFill="1" applyBorder="1" applyAlignment="1">
      <alignment horizontal="center"/>
    </xf>
    <xf numFmtId="0" fontId="0" fillId="2" borderId="0" xfId="0" applyFill="1" applyBorder="1" applyAlignment="1">
      <alignment horizontal="center"/>
    </xf>
    <xf numFmtId="37" fontId="0" fillId="2" borderId="0" xfId="0" applyNumberFormat="1" applyFill="1" applyBorder="1"/>
    <xf numFmtId="0" fontId="9" fillId="2" borderId="0" xfId="0" applyFont="1" applyFill="1"/>
    <xf numFmtId="37" fontId="1" fillId="2" borderId="0" xfId="0" applyNumberFormat="1" applyFont="1" applyFill="1" applyBorder="1"/>
    <xf numFmtId="37" fontId="1" fillId="2" borderId="5" xfId="0" applyNumberFormat="1" applyFont="1" applyFill="1" applyBorder="1"/>
    <xf numFmtId="10" fontId="1" fillId="0" borderId="0" xfId="2" applyNumberFormat="1" applyFont="1" applyFill="1"/>
    <xf numFmtId="167" fontId="1" fillId="0" borderId="0" xfId="0" applyNumberFormat="1" applyFont="1"/>
    <xf numFmtId="10" fontId="1" fillId="0" borderId="0" xfId="2" applyNumberFormat="1" applyFont="1"/>
    <xf numFmtId="169" fontId="1" fillId="0" borderId="5" xfId="3" applyNumberFormat="1" applyFont="1" applyBorder="1"/>
    <xf numFmtId="0" fontId="9" fillId="10" borderId="0" xfId="0" applyFont="1" applyFill="1"/>
    <xf numFmtId="0" fontId="1" fillId="10" borderId="0" xfId="0" applyFont="1" applyFill="1"/>
    <xf numFmtId="10" fontId="1" fillId="10" borderId="0" xfId="0" applyNumberFormat="1" applyFont="1" applyFill="1"/>
    <xf numFmtId="166" fontId="1" fillId="10" borderId="0" xfId="0" applyNumberFormat="1" applyFont="1" applyFill="1"/>
    <xf numFmtId="170" fontId="1" fillId="0" borderId="5" xfId="0" applyNumberFormat="1" applyFont="1" applyBorder="1"/>
    <xf numFmtId="10" fontId="1" fillId="10" borderId="0" xfId="2" applyNumberFormat="1" applyFont="1" applyFill="1"/>
    <xf numFmtId="170" fontId="1" fillId="0" borderId="0" xfId="0" applyNumberFormat="1" applyFont="1" applyBorder="1"/>
    <xf numFmtId="169" fontId="1" fillId="0" borderId="0" xfId="3" applyNumberFormat="1" applyFont="1"/>
    <xf numFmtId="172" fontId="1" fillId="0" borderId="4" xfId="0" applyNumberFormat="1" applyFont="1" applyBorder="1"/>
    <xf numFmtId="172" fontId="1" fillId="10" borderId="0" xfId="0" applyNumberFormat="1" applyFont="1" applyFill="1"/>
    <xf numFmtId="0" fontId="0" fillId="15" borderId="0" xfId="0" applyFill="1"/>
    <xf numFmtId="10" fontId="0" fillId="14" borderId="0" xfId="2" applyNumberFormat="1" applyFont="1" applyFill="1"/>
    <xf numFmtId="0" fontId="1" fillId="15" borderId="0" xfId="0" applyFont="1" applyFill="1"/>
    <xf numFmtId="14" fontId="0" fillId="15" borderId="6" xfId="0" applyNumberFormat="1" applyFill="1" applyBorder="1" applyAlignment="1">
      <alignment horizontal="center"/>
    </xf>
    <xf numFmtId="14" fontId="0" fillId="14" borderId="6" xfId="0" applyNumberFormat="1" applyFill="1" applyBorder="1" applyAlignment="1">
      <alignment horizontal="center"/>
    </xf>
    <xf numFmtId="10" fontId="0" fillId="5" borderId="0" xfId="2" applyNumberFormat="1" applyFont="1" applyFill="1"/>
    <xf numFmtId="165" fontId="0" fillId="5" borderId="2" xfId="2" applyNumberFormat="1" applyFont="1" applyFill="1" applyBorder="1"/>
    <xf numFmtId="165" fontId="1" fillId="0" borderId="5" xfId="2" applyNumberFormat="1" applyFont="1" applyBorder="1"/>
    <xf numFmtId="165" fontId="1" fillId="0" borderId="5" xfId="0" applyNumberFormat="1" applyFont="1" applyFill="1" applyBorder="1"/>
    <xf numFmtId="10" fontId="1" fillId="0" borderId="5" xfId="0" applyNumberFormat="1" applyFont="1" applyFill="1" applyBorder="1"/>
    <xf numFmtId="10" fontId="1" fillId="0" borderId="0" xfId="0" applyNumberFormat="1" applyFont="1" applyBorder="1" applyAlignment="1">
      <alignment horizontal="right"/>
    </xf>
    <xf numFmtId="165" fontId="6" fillId="0" borderId="0" xfId="2" applyNumberFormat="1" applyFont="1" applyFill="1"/>
    <xf numFmtId="170" fontId="0" fillId="5" borderId="2" xfId="2" applyNumberFormat="1" applyFont="1" applyFill="1" applyBorder="1"/>
    <xf numFmtId="170" fontId="0" fillId="5" borderId="0" xfId="2" applyNumberFormat="1" applyFont="1" applyFill="1"/>
    <xf numFmtId="170" fontId="0" fillId="5" borderId="0" xfId="2" applyNumberFormat="1" applyFont="1" applyFill="1" applyBorder="1"/>
    <xf numFmtId="170" fontId="0" fillId="0" borderId="5" xfId="2" applyNumberFormat="1" applyFont="1" applyFill="1" applyBorder="1"/>
    <xf numFmtId="165" fontId="1" fillId="10" borderId="0" xfId="2" applyNumberFormat="1" applyFont="1" applyFill="1"/>
    <xf numFmtId="170" fontId="1" fillId="0" borderId="0" xfId="0" applyNumberFormat="1" applyFont="1" applyBorder="1" applyAlignment="1">
      <alignment horizontal="right"/>
    </xf>
    <xf numFmtId="170" fontId="1" fillId="0" borderId="0" xfId="0" applyNumberFormat="1" applyFont="1"/>
    <xf numFmtId="167" fontId="0" fillId="5" borderId="0" xfId="0" applyNumberFormat="1" applyFill="1"/>
    <xf numFmtId="171" fontId="0" fillId="10" borderId="0" xfId="1" applyNumberFormat="1" applyFont="1" applyFill="1"/>
    <xf numFmtId="14" fontId="0" fillId="10" borderId="6" xfId="0" applyNumberFormat="1" applyFill="1" applyBorder="1" applyAlignment="1">
      <alignment horizontal="center"/>
    </xf>
    <xf numFmtId="171" fontId="0" fillId="5" borderId="0" xfId="1" applyNumberFormat="1" applyFont="1" applyFill="1"/>
    <xf numFmtId="171" fontId="1" fillId="0" borderId="0" xfId="0" applyNumberFormat="1" applyFont="1" applyBorder="1"/>
    <xf numFmtId="171" fontId="1" fillId="0" borderId="5" xfId="0" applyNumberFormat="1" applyFont="1" applyBorder="1"/>
    <xf numFmtId="167" fontId="1" fillId="0" borderId="0" xfId="1" applyNumberFormat="1" applyFont="1" applyBorder="1"/>
    <xf numFmtId="167" fontId="1" fillId="0" borderId="0" xfId="1" applyNumberFormat="1" applyFont="1"/>
    <xf numFmtId="167" fontId="1" fillId="10" borderId="0" xfId="0" applyNumberFormat="1" applyFont="1" applyFill="1"/>
    <xf numFmtId="174" fontId="1" fillId="10" borderId="0" xfId="0" applyNumberFormat="1" applyFont="1" applyFill="1"/>
    <xf numFmtId="10" fontId="0" fillId="11" borderId="0" xfId="2" applyNumberFormat="1" applyFont="1" applyFill="1" applyBorder="1" applyAlignment="1">
      <alignment horizontal="right"/>
    </xf>
    <xf numFmtId="37" fontId="0" fillId="11" borderId="0" xfId="0" applyNumberFormat="1" applyFill="1" applyAlignment="1">
      <alignment horizontal="right"/>
    </xf>
    <xf numFmtId="168" fontId="0" fillId="11" borderId="0" xfId="0" applyNumberFormat="1" applyFill="1"/>
    <xf numFmtId="10" fontId="1" fillId="11" borderId="0" xfId="2" applyNumberFormat="1" applyFont="1" applyFill="1"/>
    <xf numFmtId="37" fontId="0" fillId="11" borderId="0" xfId="0" applyNumberFormat="1" applyFill="1" applyBorder="1" applyAlignment="1">
      <alignment horizontal="right"/>
    </xf>
    <xf numFmtId="164" fontId="0" fillId="11" borderId="0" xfId="1" applyNumberFormat="1" applyFont="1" applyFill="1" applyBorder="1" applyAlignment="1">
      <alignment horizontal="center"/>
    </xf>
    <xf numFmtId="169" fontId="0" fillId="11" borderId="0" xfId="3" applyNumberFormat="1" applyFont="1" applyFill="1"/>
    <xf numFmtId="167" fontId="1" fillId="11" borderId="0" xfId="0" applyNumberFormat="1" applyFont="1" applyFill="1"/>
    <xf numFmtId="169" fontId="1" fillId="11" borderId="5" xfId="3" applyNumberFormat="1" applyFont="1" applyFill="1" applyBorder="1"/>
    <xf numFmtId="170" fontId="0" fillId="11" borderId="0" xfId="2" applyNumberFormat="1" applyFont="1" applyFill="1"/>
    <xf numFmtId="170" fontId="0" fillId="11" borderId="2" xfId="2" applyNumberFormat="1" applyFont="1" applyFill="1" applyBorder="1"/>
    <xf numFmtId="170" fontId="1" fillId="11" borderId="5" xfId="0" applyNumberFormat="1" applyFont="1" applyFill="1" applyBorder="1"/>
    <xf numFmtId="170" fontId="1" fillId="11" borderId="0" xfId="0" applyNumberFormat="1" applyFont="1" applyFill="1" applyBorder="1"/>
    <xf numFmtId="169" fontId="1" fillId="11" borderId="0" xfId="3" applyNumberFormat="1" applyFont="1" applyFill="1"/>
    <xf numFmtId="171" fontId="0" fillId="11" borderId="0" xfId="1" applyNumberFormat="1" applyFont="1" applyFill="1"/>
    <xf numFmtId="172" fontId="0" fillId="11" borderId="5" xfId="0" applyNumberFormat="1" applyFill="1" applyBorder="1"/>
    <xf numFmtId="172" fontId="1" fillId="11" borderId="4" xfId="0" applyNumberFormat="1" applyFont="1" applyFill="1" applyBorder="1"/>
    <xf numFmtId="10" fontId="1" fillId="0" borderId="0" xfId="0" applyNumberFormat="1" applyFont="1"/>
    <xf numFmtId="164" fontId="0" fillId="11" borderId="0" xfId="1" applyNumberFormat="1" applyFont="1" applyFill="1" applyBorder="1" applyAlignment="1">
      <alignment horizontal="right"/>
    </xf>
    <xf numFmtId="10" fontId="0" fillId="11" borderId="0" xfId="0" applyNumberFormat="1" applyFill="1"/>
    <xf numFmtId="10" fontId="0" fillId="11" borderId="0" xfId="2" applyNumberFormat="1" applyFont="1" applyFill="1"/>
    <xf numFmtId="10" fontId="1" fillId="4" borderId="0" xfId="0" applyNumberFormat="1" applyFont="1" applyFill="1"/>
    <xf numFmtId="167" fontId="0" fillId="4" borderId="0" xfId="1" applyNumberFormat="1" applyFont="1" applyFill="1"/>
    <xf numFmtId="10" fontId="0" fillId="4" borderId="0" xfId="2" applyNumberFormat="1" applyFont="1" applyFill="1"/>
    <xf numFmtId="10" fontId="1" fillId="11" borderId="0" xfId="0" applyNumberFormat="1" applyFont="1" applyFill="1"/>
    <xf numFmtId="10" fontId="0" fillId="0" borderId="2" xfId="2" applyNumberFormat="1" applyFont="1" applyBorder="1"/>
    <xf numFmtId="10" fontId="0" fillId="4" borderId="2" xfId="2" applyNumberFormat="1" applyFont="1" applyFill="1" applyBorder="1"/>
    <xf numFmtId="37" fontId="0" fillId="4" borderId="0" xfId="0" applyNumberFormat="1" applyFill="1"/>
    <xf numFmtId="37" fontId="0" fillId="4" borderId="2" xfId="0" applyNumberFormat="1" applyFill="1" applyBorder="1"/>
    <xf numFmtId="43" fontId="0" fillId="4" borderId="0" xfId="0" applyNumberFormat="1" applyFill="1"/>
    <xf numFmtId="164" fontId="1" fillId="11" borderId="0" xfId="1" applyNumberFormat="1" applyFont="1" applyFill="1"/>
    <xf numFmtId="0" fontId="1" fillId="0" borderId="0" xfId="0" applyFont="1" applyAlignment="1">
      <alignment vertical="center"/>
    </xf>
    <xf numFmtId="164" fontId="0" fillId="0" borderId="0" xfId="0" applyNumberFormat="1" applyBorder="1" applyAlignment="1">
      <alignment horizontal="center"/>
    </xf>
    <xf numFmtId="14" fontId="1" fillId="0" borderId="2" xfId="0" applyNumberFormat="1" applyFont="1" applyBorder="1" applyAlignment="1">
      <alignment horizontal="center"/>
    </xf>
    <xf numFmtId="10" fontId="1" fillId="0" borderId="0" xfId="0" applyNumberFormat="1" applyFont="1" applyFill="1"/>
    <xf numFmtId="0" fontId="1" fillId="16" borderId="2" xfId="0" applyFont="1" applyFill="1" applyBorder="1"/>
    <xf numFmtId="0" fontId="11" fillId="0" borderId="0" xfId="0" applyFont="1" applyFill="1" applyAlignment="1">
      <alignment vertical="center"/>
    </xf>
    <xf numFmtId="0" fontId="12" fillId="0" borderId="0" xfId="0" applyFont="1" applyFill="1" applyAlignment="1">
      <alignment horizontal="right" vertical="center"/>
    </xf>
    <xf numFmtId="0" fontId="12" fillId="0" borderId="0" xfId="0" applyFont="1" applyFill="1" applyAlignment="1">
      <alignment vertical="center"/>
    </xf>
    <xf numFmtId="0" fontId="0" fillId="0" borderId="0" xfId="0" applyFont="1" applyFill="1" applyAlignment="1">
      <alignment vertical="center"/>
    </xf>
    <xf numFmtId="3" fontId="0" fillId="0" borderId="0" xfId="0" applyNumberFormat="1" applyFont="1" applyFill="1" applyAlignment="1">
      <alignment horizontal="right" vertical="center"/>
    </xf>
    <xf numFmtId="0" fontId="3" fillId="0" borderId="0" xfId="0" applyFont="1" applyFill="1" applyAlignment="1">
      <alignment vertical="center"/>
    </xf>
    <xf numFmtId="0" fontId="0" fillId="0" borderId="0" xfId="0" applyFont="1" applyFill="1" applyAlignment="1">
      <alignment vertical="top"/>
    </xf>
    <xf numFmtId="0" fontId="0" fillId="0" borderId="0" xfId="0" applyFont="1" applyFill="1" applyAlignment="1">
      <alignment horizontal="right" vertical="center"/>
    </xf>
    <xf numFmtId="164" fontId="0" fillId="0" borderId="0" xfId="1" applyNumberFormat="1" applyFont="1" applyFill="1" applyAlignment="1">
      <alignment horizontal="right" vertical="center"/>
    </xf>
    <xf numFmtId="10" fontId="0" fillId="0" borderId="0" xfId="2" applyNumberFormat="1" applyFont="1" applyFill="1" applyAlignment="1">
      <alignment horizontal="right" vertical="center"/>
    </xf>
    <xf numFmtId="166" fontId="12" fillId="0" borderId="2" xfId="1" applyNumberFormat="1" applyFont="1" applyFill="1" applyBorder="1" applyAlignment="1">
      <alignment horizontal="right" vertical="center"/>
    </xf>
    <xf numFmtId="1" fontId="0" fillId="0" borderId="0" xfId="0" applyNumberFormat="1" applyFont="1" applyFill="1"/>
    <xf numFmtId="164" fontId="12" fillId="0" borderId="0" xfId="1" applyNumberFormat="1" applyFont="1" applyFill="1" applyAlignment="1">
      <alignment vertical="center"/>
    </xf>
    <xf numFmtId="164" fontId="12" fillId="0" borderId="6" xfId="1" applyNumberFormat="1" applyFont="1" applyFill="1" applyBorder="1" applyAlignment="1">
      <alignment horizontal="right" vertical="center"/>
    </xf>
    <xf numFmtId="3" fontId="12" fillId="0" borderId="0" xfId="0" applyNumberFormat="1" applyFont="1" applyFill="1" applyAlignment="1">
      <alignment horizontal="right" vertical="center"/>
    </xf>
    <xf numFmtId="3" fontId="12" fillId="0" borderId="4" xfId="0" applyNumberFormat="1" applyFont="1" applyFill="1" applyBorder="1" applyAlignment="1">
      <alignment horizontal="right" vertical="center"/>
    </xf>
    <xf numFmtId="0" fontId="1" fillId="0" borderId="2" xfId="0" applyFont="1" applyBorder="1"/>
    <xf numFmtId="14" fontId="11" fillId="0" borderId="2" xfId="0" applyNumberFormat="1" applyFont="1" applyBorder="1" applyAlignment="1">
      <alignment horizontal="center" vertical="center"/>
    </xf>
    <xf numFmtId="0" fontId="11" fillId="0" borderId="2" xfId="0" applyFont="1" applyBorder="1" applyAlignment="1">
      <alignment vertical="center"/>
    </xf>
    <xf numFmtId="0" fontId="11" fillId="0" borderId="2" xfId="0" applyFont="1" applyFill="1" applyBorder="1" applyAlignment="1">
      <alignment vertical="center"/>
    </xf>
    <xf numFmtId="14" fontId="11" fillId="0" borderId="2" xfId="0" applyNumberFormat="1" applyFont="1" applyFill="1" applyBorder="1" applyAlignment="1">
      <alignment horizontal="center" vertical="center"/>
    </xf>
    <xf numFmtId="0" fontId="20" fillId="0" borderId="0" xfId="0" quotePrefix="1" applyFont="1" applyAlignment="1">
      <alignment horizontal="center"/>
    </xf>
    <xf numFmtId="2" fontId="1" fillId="0" borderId="0" xfId="0" applyNumberFormat="1" applyFont="1"/>
    <xf numFmtId="43" fontId="1" fillId="0" borderId="0" xfId="0" applyNumberFormat="1" applyFont="1"/>
    <xf numFmtId="0" fontId="1" fillId="10" borderId="0" xfId="0" applyFont="1" applyFill="1" applyAlignment="1">
      <alignment horizontal="center"/>
    </xf>
    <xf numFmtId="0" fontId="0" fillId="16" borderId="0" xfId="0" applyFill="1"/>
    <xf numFmtId="0" fontId="1" fillId="16" borderId="0" xfId="0" applyFont="1" applyFill="1"/>
    <xf numFmtId="10" fontId="0" fillId="16" borderId="0" xfId="2" applyNumberFormat="1" applyFont="1" applyFill="1"/>
    <xf numFmtId="172" fontId="0" fillId="16" borderId="0" xfId="0" applyNumberFormat="1" applyFill="1"/>
    <xf numFmtId="166" fontId="0" fillId="11" borderId="2" xfId="0" applyNumberFormat="1" applyFill="1" applyBorder="1"/>
    <xf numFmtId="2" fontId="1" fillId="11" borderId="16" xfId="0" applyNumberFormat="1" applyFont="1" applyFill="1" applyBorder="1"/>
    <xf numFmtId="44" fontId="1" fillId="4" borderId="0" xfId="3" applyFont="1" applyFill="1"/>
    <xf numFmtId="0" fontId="0" fillId="17" borderId="0" xfId="0" applyFill="1" applyAlignment="1">
      <alignment horizontal="center"/>
    </xf>
    <xf numFmtId="164" fontId="0" fillId="6" borderId="0" xfId="1" applyNumberFormat="1" applyFont="1" applyFill="1"/>
    <xf numFmtId="0" fontId="12" fillId="16" borderId="0" xfId="0" applyFont="1" applyFill="1" applyAlignment="1">
      <alignment vertical="center"/>
    </xf>
    <xf numFmtId="0" fontId="20" fillId="16" borderId="0" xfId="0" applyFont="1" applyFill="1"/>
    <xf numFmtId="0" fontId="6" fillId="4" borderId="0" xfId="0" applyFont="1" applyFill="1"/>
    <xf numFmtId="0" fontId="0" fillId="11" borderId="0" xfId="0" applyFill="1"/>
    <xf numFmtId="0" fontId="8" fillId="0" borderId="0" xfId="4" applyFill="1"/>
    <xf numFmtId="0" fontId="0" fillId="16" borderId="0" xfId="0" applyFont="1" applyFill="1"/>
  </cellXfs>
  <cellStyles count="5">
    <cellStyle name="Comma" xfId="1" builtinId="3"/>
    <cellStyle name="Currency" xfId="3" builtinId="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484907</xdr:colOff>
      <xdr:row>9</xdr:row>
      <xdr:rowOff>129887</xdr:rowOff>
    </xdr:from>
    <xdr:to>
      <xdr:col>18</xdr:col>
      <xdr:colOff>476250</xdr:colOff>
      <xdr:row>15</xdr:row>
      <xdr:rowOff>121227</xdr:rowOff>
    </xdr:to>
    <xdr:sp macro="" textlink="">
      <xdr:nvSpPr>
        <xdr:cNvPr id="2" name="TextBox 1">
          <a:extLst>
            <a:ext uri="{FF2B5EF4-FFF2-40B4-BE49-F238E27FC236}">
              <a16:creationId xmlns:a16="http://schemas.microsoft.com/office/drawing/2014/main" id="{7ACFBEE7-8B78-412A-9CAF-2123543CCF4F}"/>
            </a:ext>
          </a:extLst>
        </xdr:cNvPr>
        <xdr:cNvSpPr txBox="1"/>
      </xdr:nvSpPr>
      <xdr:spPr>
        <a:xfrm>
          <a:off x="10390907" y="1853046"/>
          <a:ext cx="3576207" cy="11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when you change the terminal sales growth</a:t>
          </a:r>
          <a:r>
            <a:rPr lang="en-US" sz="1100" baseline="0">
              <a:solidFill>
                <a:srgbClr val="FF0000"/>
              </a:solidFill>
            </a:rPr>
            <a:t> assumption for sensitivity analysis, just hard code the new terminal assumption right here in cell K17 (remember that the adjustment above adds 0.35%, so if you want 1.25% as your terminal sales growth assumption you need to put 0.90% down here</a:t>
          </a:r>
          <a:endParaRPr lang="en-US" sz="1100">
            <a:solidFill>
              <a:srgbClr val="FF0000"/>
            </a:solidFill>
          </a:endParaRPr>
        </a:p>
      </xdr:txBody>
    </xdr:sp>
    <xdr:clientData/>
  </xdr:twoCellAnchor>
  <xdr:twoCellAnchor>
    <xdr:from>
      <xdr:col>10</xdr:col>
      <xdr:colOff>632115</xdr:colOff>
      <xdr:row>12</xdr:row>
      <xdr:rowOff>125557</xdr:rowOff>
    </xdr:from>
    <xdr:to>
      <xdr:col>12</xdr:col>
      <xdr:colOff>484907</xdr:colOff>
      <xdr:row>15</xdr:row>
      <xdr:rowOff>173182</xdr:rowOff>
    </xdr:to>
    <xdr:cxnSp macro="">
      <xdr:nvCxnSpPr>
        <xdr:cNvPr id="3" name="Straight Arrow Connector 2">
          <a:extLst>
            <a:ext uri="{FF2B5EF4-FFF2-40B4-BE49-F238E27FC236}">
              <a16:creationId xmlns:a16="http://schemas.microsoft.com/office/drawing/2014/main" id="{AEE4E221-299B-4800-990A-CA503FDA0362}"/>
            </a:ext>
          </a:extLst>
        </xdr:cNvPr>
        <xdr:cNvCxnSpPr>
          <a:stCxn id="2" idx="1"/>
        </xdr:cNvCxnSpPr>
      </xdr:nvCxnSpPr>
      <xdr:spPr>
        <a:xfrm flipH="1">
          <a:off x="9239251" y="2420216"/>
          <a:ext cx="1151656" cy="6191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428625</xdr:colOff>
      <xdr:row>6</xdr:row>
      <xdr:rowOff>161925</xdr:rowOff>
    </xdr:from>
    <xdr:to>
      <xdr:col>13</xdr:col>
      <xdr:colOff>447675</xdr:colOff>
      <xdr:row>11</xdr:row>
      <xdr:rowOff>0</xdr:rowOff>
    </xdr:to>
    <xdr:sp macro="" textlink="">
      <xdr:nvSpPr>
        <xdr:cNvPr id="2" name="TextBox 1">
          <a:extLst>
            <a:ext uri="{FF2B5EF4-FFF2-40B4-BE49-F238E27FC236}">
              <a16:creationId xmlns:a16="http://schemas.microsoft.com/office/drawing/2014/main" id="{A720E348-EF9A-47E3-8BB3-FC28BF92D67E}"/>
            </a:ext>
          </a:extLst>
        </xdr:cNvPr>
        <xdr:cNvSpPr txBox="1"/>
      </xdr:nvSpPr>
      <xdr:spPr>
        <a:xfrm>
          <a:off x="9991725" y="1314450"/>
          <a:ext cx="2476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when you change the terminal PM</a:t>
          </a:r>
          <a:r>
            <a:rPr lang="en-US" sz="1100" baseline="0">
              <a:solidFill>
                <a:srgbClr val="FF0000"/>
              </a:solidFill>
            </a:rPr>
            <a:t> assumption for sensitivity analysis, just hard code the new terminal assumption right here</a:t>
          </a:r>
          <a:endParaRPr lang="en-US" sz="1100">
            <a:solidFill>
              <a:srgbClr val="FF0000"/>
            </a:solidFill>
          </a:endParaRPr>
        </a:p>
      </xdr:txBody>
    </xdr:sp>
    <xdr:clientData/>
  </xdr:twoCellAnchor>
  <xdr:twoCellAnchor>
    <xdr:from>
      <xdr:col>8</xdr:col>
      <xdr:colOff>514351</xdr:colOff>
      <xdr:row>4</xdr:row>
      <xdr:rowOff>1</xdr:rowOff>
    </xdr:from>
    <xdr:to>
      <xdr:col>10</xdr:col>
      <xdr:colOff>266700</xdr:colOff>
      <xdr:row>6</xdr:row>
      <xdr:rowOff>142875</xdr:rowOff>
    </xdr:to>
    <xdr:cxnSp macro="">
      <xdr:nvCxnSpPr>
        <xdr:cNvPr id="3" name="Straight Arrow Connector 2">
          <a:extLst>
            <a:ext uri="{FF2B5EF4-FFF2-40B4-BE49-F238E27FC236}">
              <a16:creationId xmlns:a16="http://schemas.microsoft.com/office/drawing/2014/main" id="{CC430390-53F2-4B2A-AFD8-E3C1ADC539ED}"/>
            </a:ext>
          </a:extLst>
        </xdr:cNvPr>
        <xdr:cNvCxnSpPr/>
      </xdr:nvCxnSpPr>
      <xdr:spPr>
        <a:xfrm flipH="1" flipV="1">
          <a:off x="9363076" y="771526"/>
          <a:ext cx="1181099" cy="5238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238125</xdr:colOff>
      <xdr:row>7</xdr:row>
      <xdr:rowOff>180975</xdr:rowOff>
    </xdr:from>
    <xdr:to>
      <xdr:col>14</xdr:col>
      <xdr:colOff>257175</xdr:colOff>
      <xdr:row>13</xdr:row>
      <xdr:rowOff>9525</xdr:rowOff>
    </xdr:to>
    <xdr:sp macro="" textlink="">
      <xdr:nvSpPr>
        <xdr:cNvPr id="2" name="TextBox 1">
          <a:extLst>
            <a:ext uri="{FF2B5EF4-FFF2-40B4-BE49-F238E27FC236}">
              <a16:creationId xmlns:a16="http://schemas.microsoft.com/office/drawing/2014/main" id="{42F3BDBB-F725-4218-93BC-3C735BEA67CB}"/>
            </a:ext>
          </a:extLst>
        </xdr:cNvPr>
        <xdr:cNvSpPr txBox="1"/>
      </xdr:nvSpPr>
      <xdr:spPr>
        <a:xfrm>
          <a:off x="10391775" y="1524000"/>
          <a:ext cx="2476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when you change the terminal ATO</a:t>
          </a:r>
          <a:r>
            <a:rPr lang="en-US" sz="1100" baseline="0">
              <a:solidFill>
                <a:srgbClr val="FF0000"/>
              </a:solidFill>
            </a:rPr>
            <a:t> assumption for sensitivity analysis, just hard code the new terminal assumption right here</a:t>
          </a:r>
          <a:endParaRPr lang="en-US" sz="1100">
            <a:solidFill>
              <a:srgbClr val="FF0000"/>
            </a:solidFill>
          </a:endParaRPr>
        </a:p>
      </xdr:txBody>
    </xdr:sp>
    <xdr:clientData/>
  </xdr:twoCellAnchor>
  <xdr:twoCellAnchor>
    <xdr:from>
      <xdr:col>9</xdr:col>
      <xdr:colOff>533401</xdr:colOff>
      <xdr:row>4</xdr:row>
      <xdr:rowOff>28575</xdr:rowOff>
    </xdr:from>
    <xdr:to>
      <xdr:col>11</xdr:col>
      <xdr:colOff>276225</xdr:colOff>
      <xdr:row>7</xdr:row>
      <xdr:rowOff>171450</xdr:rowOff>
    </xdr:to>
    <xdr:cxnSp macro="">
      <xdr:nvCxnSpPr>
        <xdr:cNvPr id="3" name="Straight Arrow Connector 2">
          <a:extLst>
            <a:ext uri="{FF2B5EF4-FFF2-40B4-BE49-F238E27FC236}">
              <a16:creationId xmlns:a16="http://schemas.microsoft.com/office/drawing/2014/main" id="{3D9E5DC4-B24F-4CCF-B278-78AF941B03C6}"/>
            </a:ext>
          </a:extLst>
        </xdr:cNvPr>
        <xdr:cNvCxnSpPr/>
      </xdr:nvCxnSpPr>
      <xdr:spPr>
        <a:xfrm flipH="1" flipV="1">
          <a:off x="9972676" y="800100"/>
          <a:ext cx="1171574" cy="7143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257175</xdr:colOff>
      <xdr:row>5</xdr:row>
      <xdr:rowOff>0</xdr:rowOff>
    </xdr:from>
    <xdr:to>
      <xdr:col>10</xdr:col>
      <xdr:colOff>161925</xdr:colOff>
      <xdr:row>9</xdr:row>
      <xdr:rowOff>95250</xdr:rowOff>
    </xdr:to>
    <xdr:sp macro="" textlink="">
      <xdr:nvSpPr>
        <xdr:cNvPr id="2" name="TextBox 1">
          <a:extLst>
            <a:ext uri="{FF2B5EF4-FFF2-40B4-BE49-F238E27FC236}">
              <a16:creationId xmlns:a16="http://schemas.microsoft.com/office/drawing/2014/main" id="{F225CE33-D497-4863-86D5-98AB5F937616}"/>
            </a:ext>
          </a:extLst>
        </xdr:cNvPr>
        <xdr:cNvSpPr txBox="1"/>
      </xdr:nvSpPr>
      <xdr:spPr>
        <a:xfrm>
          <a:off x="7429500" y="1228725"/>
          <a:ext cx="2476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when you change the WACC</a:t>
          </a:r>
          <a:r>
            <a:rPr lang="en-US" sz="1100" baseline="0">
              <a:solidFill>
                <a:srgbClr val="FF0000"/>
              </a:solidFill>
            </a:rPr>
            <a:t> assumption for sensitivity analysis, just hard code the new  assumption right here</a:t>
          </a:r>
          <a:endParaRPr lang="en-US" sz="1100">
            <a:solidFill>
              <a:srgbClr val="FF0000"/>
            </a:solidFill>
          </a:endParaRPr>
        </a:p>
      </xdr:txBody>
    </xdr:sp>
    <xdr:clientData/>
  </xdr:twoCellAnchor>
  <xdr:twoCellAnchor>
    <xdr:from>
      <xdr:col>4</xdr:col>
      <xdr:colOff>628650</xdr:colOff>
      <xdr:row>4</xdr:row>
      <xdr:rowOff>0</xdr:rowOff>
    </xdr:from>
    <xdr:to>
      <xdr:col>6</xdr:col>
      <xdr:colOff>247649</xdr:colOff>
      <xdr:row>5</xdr:row>
      <xdr:rowOff>142875</xdr:rowOff>
    </xdr:to>
    <xdr:cxnSp macro="">
      <xdr:nvCxnSpPr>
        <xdr:cNvPr id="3" name="Straight Arrow Connector 2">
          <a:extLst>
            <a:ext uri="{FF2B5EF4-FFF2-40B4-BE49-F238E27FC236}">
              <a16:creationId xmlns:a16="http://schemas.microsoft.com/office/drawing/2014/main" id="{2A108C24-C509-4D8F-808B-F1A54FC315D2}"/>
            </a:ext>
          </a:extLst>
        </xdr:cNvPr>
        <xdr:cNvCxnSpPr/>
      </xdr:nvCxnSpPr>
      <xdr:spPr>
        <a:xfrm flipH="1" flipV="1">
          <a:off x="6248400" y="771525"/>
          <a:ext cx="1171574" cy="7143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285750</xdr:colOff>
      <xdr:row>2</xdr:row>
      <xdr:rowOff>112568</xdr:rowOff>
    </xdr:from>
    <xdr:to>
      <xdr:col>7</xdr:col>
      <xdr:colOff>347230</xdr:colOff>
      <xdr:row>5</xdr:row>
      <xdr:rowOff>83993</xdr:rowOff>
    </xdr:to>
    <xdr:sp macro="" textlink="">
      <xdr:nvSpPr>
        <xdr:cNvPr id="2" name="TextBox 1">
          <a:extLst>
            <a:ext uri="{FF2B5EF4-FFF2-40B4-BE49-F238E27FC236}">
              <a16:creationId xmlns:a16="http://schemas.microsoft.com/office/drawing/2014/main" id="{99E19F22-CEB8-4985-BDED-883B45E41AA1}"/>
            </a:ext>
          </a:extLst>
        </xdr:cNvPr>
        <xdr:cNvSpPr txBox="1"/>
      </xdr:nvSpPr>
      <xdr:spPr>
        <a:xfrm>
          <a:off x="5784273" y="493568"/>
          <a:ext cx="22955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these cells will auto-fill</a:t>
          </a:r>
          <a:r>
            <a:rPr lang="en-US" sz="1100" baseline="0">
              <a:solidFill>
                <a:srgbClr val="FF0000"/>
              </a:solidFill>
            </a:rPr>
            <a:t> once you input the two adjustments</a:t>
          </a:r>
          <a:endParaRPr lang="en-US" sz="1100">
            <a:solidFill>
              <a:srgbClr val="FF0000"/>
            </a:solidFill>
          </a:endParaRPr>
        </a:p>
      </xdr:txBody>
    </xdr:sp>
    <xdr:clientData/>
  </xdr:twoCellAnchor>
  <xdr:twoCellAnchor>
    <xdr:from>
      <xdr:col>2</xdr:col>
      <xdr:colOff>8660</xdr:colOff>
      <xdr:row>3</xdr:row>
      <xdr:rowOff>138545</xdr:rowOff>
    </xdr:from>
    <xdr:to>
      <xdr:col>4</xdr:col>
      <xdr:colOff>273627</xdr:colOff>
      <xdr:row>4</xdr:row>
      <xdr:rowOff>95682</xdr:rowOff>
    </xdr:to>
    <xdr:cxnSp macro="">
      <xdr:nvCxnSpPr>
        <xdr:cNvPr id="3" name="Straight Arrow Connector 2">
          <a:extLst>
            <a:ext uri="{FF2B5EF4-FFF2-40B4-BE49-F238E27FC236}">
              <a16:creationId xmlns:a16="http://schemas.microsoft.com/office/drawing/2014/main" id="{FED78C62-97A9-4452-95C5-BBF2F90C2556}"/>
            </a:ext>
          </a:extLst>
        </xdr:cNvPr>
        <xdr:cNvCxnSpPr/>
      </xdr:nvCxnSpPr>
      <xdr:spPr>
        <a:xfrm flipH="1">
          <a:off x="4191001" y="710045"/>
          <a:ext cx="1581149" cy="1476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3</xdr:row>
      <xdr:rowOff>129886</xdr:rowOff>
    </xdr:from>
    <xdr:to>
      <xdr:col>4</xdr:col>
      <xdr:colOff>286615</xdr:colOff>
      <xdr:row>6</xdr:row>
      <xdr:rowOff>10823</xdr:rowOff>
    </xdr:to>
    <xdr:cxnSp macro="">
      <xdr:nvCxnSpPr>
        <xdr:cNvPr id="4" name="Straight Arrow Connector 3">
          <a:extLst>
            <a:ext uri="{FF2B5EF4-FFF2-40B4-BE49-F238E27FC236}">
              <a16:creationId xmlns:a16="http://schemas.microsoft.com/office/drawing/2014/main" id="{2D695225-2720-474B-9F7A-97BF61843C80}"/>
            </a:ext>
          </a:extLst>
        </xdr:cNvPr>
        <xdr:cNvCxnSpPr/>
      </xdr:nvCxnSpPr>
      <xdr:spPr>
        <a:xfrm flipH="1">
          <a:off x="5489864" y="701386"/>
          <a:ext cx="295274" cy="4524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60612</xdr:colOff>
      <xdr:row>38</xdr:row>
      <xdr:rowOff>77932</xdr:rowOff>
    </xdr:from>
    <xdr:to>
      <xdr:col>14</xdr:col>
      <xdr:colOff>62345</xdr:colOff>
      <xdr:row>42</xdr:row>
      <xdr:rowOff>30307</xdr:rowOff>
    </xdr:to>
    <xdr:sp macro="" textlink="">
      <xdr:nvSpPr>
        <xdr:cNvPr id="5" name="TextBox 4">
          <a:extLst>
            <a:ext uri="{FF2B5EF4-FFF2-40B4-BE49-F238E27FC236}">
              <a16:creationId xmlns:a16="http://schemas.microsoft.com/office/drawing/2014/main" id="{F0AA3D74-441C-41FB-8E3C-9F32CFD1019D}"/>
            </a:ext>
          </a:extLst>
        </xdr:cNvPr>
        <xdr:cNvSpPr txBox="1"/>
      </xdr:nvSpPr>
      <xdr:spPr>
        <a:xfrm>
          <a:off x="8399317" y="7368887"/>
          <a:ext cx="3638551"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before doing</a:t>
          </a:r>
          <a:r>
            <a:rPr lang="en-US" sz="1100" baseline="0">
              <a:solidFill>
                <a:srgbClr val="FF0000"/>
              </a:solidFill>
            </a:rPr>
            <a:t> the two sensitivity analysis scenarios, input your estimated value per share (based on our chosen forecast assumptions) here (from cell B36)</a:t>
          </a:r>
          <a:endParaRPr lang="en-US" sz="1100">
            <a:solidFill>
              <a:srgbClr val="FF0000"/>
            </a:solidFill>
          </a:endParaRPr>
        </a:p>
      </xdr:txBody>
    </xdr:sp>
    <xdr:clientData/>
  </xdr:twoCellAnchor>
  <xdr:twoCellAnchor>
    <xdr:from>
      <xdr:col>6</xdr:col>
      <xdr:colOff>8658</xdr:colOff>
      <xdr:row>40</xdr:row>
      <xdr:rowOff>69273</xdr:rowOff>
    </xdr:from>
    <xdr:to>
      <xdr:col>8</xdr:col>
      <xdr:colOff>44157</xdr:colOff>
      <xdr:row>40</xdr:row>
      <xdr:rowOff>83561</xdr:rowOff>
    </xdr:to>
    <xdr:cxnSp macro="">
      <xdr:nvCxnSpPr>
        <xdr:cNvPr id="6" name="Straight Arrow Connector 5">
          <a:extLst>
            <a:ext uri="{FF2B5EF4-FFF2-40B4-BE49-F238E27FC236}">
              <a16:creationId xmlns:a16="http://schemas.microsoft.com/office/drawing/2014/main" id="{FE96CF47-E128-422E-80DA-6AA9E0676024}"/>
            </a:ext>
          </a:extLst>
        </xdr:cNvPr>
        <xdr:cNvCxnSpPr/>
      </xdr:nvCxnSpPr>
      <xdr:spPr>
        <a:xfrm flipH="1">
          <a:off x="7135090" y="7741228"/>
          <a:ext cx="1247772" cy="1428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17319</xdr:colOff>
      <xdr:row>42</xdr:row>
      <xdr:rowOff>138546</xdr:rowOff>
    </xdr:from>
    <xdr:to>
      <xdr:col>14</xdr:col>
      <xdr:colOff>9527</xdr:colOff>
      <xdr:row>46</xdr:row>
      <xdr:rowOff>186171</xdr:rowOff>
    </xdr:to>
    <xdr:sp macro="" textlink="">
      <xdr:nvSpPr>
        <xdr:cNvPr id="7" name="TextBox 6">
          <a:extLst>
            <a:ext uri="{FF2B5EF4-FFF2-40B4-BE49-F238E27FC236}">
              <a16:creationId xmlns:a16="http://schemas.microsoft.com/office/drawing/2014/main" id="{B66DD070-9580-4FB4-83CD-40F314EFA99C}"/>
            </a:ext>
          </a:extLst>
        </xdr:cNvPr>
        <xdr:cNvSpPr txBox="1"/>
      </xdr:nvSpPr>
      <xdr:spPr>
        <a:xfrm>
          <a:off x="8356024" y="8191501"/>
          <a:ext cx="3629026"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input these two</a:t>
          </a:r>
          <a:r>
            <a:rPr lang="en-US" sz="1100" baseline="0">
              <a:solidFill>
                <a:srgbClr val="FF0000"/>
              </a:solidFill>
            </a:rPr>
            <a:t> stated combinations of assumptions into the spreadsheet tabs and type in the values per share that result (which will show up in cell B36 after you make the changes)</a:t>
          </a:r>
        </a:p>
        <a:p>
          <a:endParaRPr lang="en-US" sz="1100">
            <a:solidFill>
              <a:srgbClr val="FF0000"/>
            </a:solidFill>
          </a:endParaRPr>
        </a:p>
      </xdr:txBody>
    </xdr:sp>
    <xdr:clientData/>
  </xdr:twoCellAnchor>
  <xdr:twoCellAnchor>
    <xdr:from>
      <xdr:col>5</xdr:col>
      <xdr:colOff>1156855</xdr:colOff>
      <xdr:row>42</xdr:row>
      <xdr:rowOff>145473</xdr:rowOff>
    </xdr:from>
    <xdr:to>
      <xdr:col>8</xdr:col>
      <xdr:colOff>25974</xdr:colOff>
      <xdr:row>44</xdr:row>
      <xdr:rowOff>173613</xdr:rowOff>
    </xdr:to>
    <xdr:cxnSp macro="">
      <xdr:nvCxnSpPr>
        <xdr:cNvPr id="8" name="Straight Arrow Connector 7">
          <a:extLst>
            <a:ext uri="{FF2B5EF4-FFF2-40B4-BE49-F238E27FC236}">
              <a16:creationId xmlns:a16="http://schemas.microsoft.com/office/drawing/2014/main" id="{64F47435-26AD-4FDC-8FE3-91DCDF25B640}"/>
            </a:ext>
          </a:extLst>
        </xdr:cNvPr>
        <xdr:cNvCxnSpPr/>
      </xdr:nvCxnSpPr>
      <xdr:spPr>
        <a:xfrm flipH="1" flipV="1">
          <a:off x="7467600" y="7793182"/>
          <a:ext cx="1286738" cy="38835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1179368</xdr:colOff>
      <xdr:row>41</xdr:row>
      <xdr:rowOff>110835</xdr:rowOff>
    </xdr:from>
    <xdr:to>
      <xdr:col>8</xdr:col>
      <xdr:colOff>20781</xdr:colOff>
      <xdr:row>44</xdr:row>
      <xdr:rowOff>6928</xdr:rowOff>
    </xdr:to>
    <xdr:cxnSp macro="">
      <xdr:nvCxnSpPr>
        <xdr:cNvPr id="9" name="Straight Arrow Connector 8">
          <a:extLst>
            <a:ext uri="{FF2B5EF4-FFF2-40B4-BE49-F238E27FC236}">
              <a16:creationId xmlns:a16="http://schemas.microsoft.com/office/drawing/2014/main" id="{2E93585F-2626-4DAB-A624-97AB6030C2A1}"/>
            </a:ext>
          </a:extLst>
        </xdr:cNvPr>
        <xdr:cNvCxnSpPr/>
      </xdr:nvCxnSpPr>
      <xdr:spPr>
        <a:xfrm flipH="1" flipV="1">
          <a:off x="7490113" y="7578435"/>
          <a:ext cx="1259032" cy="4364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552B-4FF3-4D84-9CA1-748E63831D43}">
  <sheetPr>
    <tabColor rgb="FFFF0000"/>
  </sheetPr>
  <dimension ref="A1:O15"/>
  <sheetViews>
    <sheetView zoomScale="150" zoomScaleNormal="150" workbookViewId="0">
      <selection activeCell="D35" sqref="D35"/>
    </sheetView>
  </sheetViews>
  <sheetFormatPr defaultRowHeight="14.4" x14ac:dyDescent="0.3"/>
  <sheetData>
    <row r="1" spans="1:15" x14ac:dyDescent="0.3">
      <c r="A1" s="386" t="s">
        <v>550</v>
      </c>
      <c r="B1" s="376"/>
      <c r="C1" s="376"/>
      <c r="D1" s="376"/>
      <c r="E1" s="376"/>
      <c r="F1" s="376"/>
      <c r="G1" s="376"/>
      <c r="H1" s="376"/>
      <c r="I1" s="376"/>
      <c r="J1" s="376"/>
      <c r="K1" s="376"/>
      <c r="L1" s="376"/>
      <c r="M1" s="376"/>
      <c r="N1" s="376"/>
      <c r="O1" s="376"/>
    </row>
    <row r="2" spans="1:15" x14ac:dyDescent="0.3">
      <c r="A2" s="386"/>
      <c r="B2" s="376"/>
      <c r="C2" s="376"/>
      <c r="D2" s="376"/>
      <c r="E2" s="376"/>
      <c r="F2" s="376"/>
      <c r="G2" s="376"/>
      <c r="H2" s="376"/>
      <c r="I2" s="376"/>
      <c r="J2" s="376"/>
      <c r="K2" s="376"/>
      <c r="L2" s="376"/>
      <c r="M2" s="376"/>
      <c r="N2" s="376"/>
      <c r="O2" s="376"/>
    </row>
    <row r="3" spans="1:15" x14ac:dyDescent="0.3">
      <c r="A3" s="386"/>
      <c r="B3" s="376"/>
      <c r="C3" s="376"/>
      <c r="D3" s="376"/>
      <c r="E3" s="376"/>
      <c r="F3" s="376"/>
      <c r="G3" s="376"/>
      <c r="H3" s="376"/>
      <c r="I3" s="376"/>
      <c r="J3" s="376"/>
      <c r="K3" s="376"/>
      <c r="L3" s="376"/>
      <c r="M3" s="376"/>
      <c r="N3" s="376"/>
      <c r="O3" s="376"/>
    </row>
    <row r="4" spans="1:15" x14ac:dyDescent="0.3">
      <c r="A4" s="377" t="s">
        <v>551</v>
      </c>
      <c r="B4" s="376"/>
      <c r="C4" s="376"/>
      <c r="D4" s="376"/>
      <c r="E4" s="376"/>
      <c r="F4" s="376"/>
      <c r="G4" s="376"/>
      <c r="H4" s="376"/>
      <c r="I4" s="376"/>
      <c r="J4" s="376"/>
      <c r="K4" s="376"/>
      <c r="L4" s="376"/>
      <c r="M4" s="376"/>
      <c r="N4" s="376"/>
      <c r="O4" s="376"/>
    </row>
    <row r="5" spans="1:15" x14ac:dyDescent="0.3">
      <c r="A5" s="376"/>
      <c r="B5" s="376"/>
      <c r="C5" s="376"/>
      <c r="D5" s="376"/>
      <c r="E5" s="376"/>
      <c r="F5" s="376"/>
      <c r="G5" s="376"/>
      <c r="H5" s="376"/>
      <c r="I5" s="376"/>
      <c r="J5" s="376"/>
      <c r="K5" s="376"/>
      <c r="L5" s="376"/>
      <c r="M5" s="376"/>
      <c r="N5" s="376"/>
      <c r="O5" s="376"/>
    </row>
    <row r="6" spans="1:15" x14ac:dyDescent="0.3">
      <c r="A6" s="387"/>
      <c r="B6" s="387"/>
      <c r="C6" s="377" t="s">
        <v>552</v>
      </c>
      <c r="D6" s="376"/>
      <c r="E6" s="376"/>
      <c r="F6" s="376"/>
      <c r="G6" s="376"/>
      <c r="H6" s="376"/>
      <c r="I6" s="376"/>
      <c r="J6" s="376"/>
      <c r="K6" s="376"/>
      <c r="L6" s="376"/>
      <c r="M6" s="376"/>
      <c r="N6" s="376"/>
      <c r="O6" s="376"/>
    </row>
    <row r="7" spans="1:15" x14ac:dyDescent="0.3">
      <c r="A7" s="387"/>
      <c r="B7" s="387"/>
      <c r="C7" s="376"/>
      <c r="D7" s="376"/>
      <c r="E7" s="376"/>
      <c r="F7" s="376"/>
      <c r="G7" s="376"/>
      <c r="H7" s="376"/>
      <c r="I7" s="376"/>
      <c r="J7" s="376"/>
      <c r="K7" s="376"/>
      <c r="L7" s="376"/>
      <c r="M7" s="376"/>
      <c r="N7" s="376"/>
      <c r="O7" s="376"/>
    </row>
    <row r="8" spans="1:15" x14ac:dyDescent="0.3">
      <c r="A8" s="376"/>
      <c r="B8" s="376"/>
      <c r="C8" s="376"/>
      <c r="D8" s="376"/>
      <c r="E8" s="376"/>
      <c r="F8" s="376"/>
      <c r="G8" s="376"/>
      <c r="H8" s="376"/>
      <c r="I8" s="376"/>
      <c r="J8" s="376"/>
      <c r="K8" s="376"/>
      <c r="L8" s="376"/>
      <c r="M8" s="376"/>
      <c r="N8" s="376"/>
      <c r="O8" s="376"/>
    </row>
    <row r="9" spans="1:15" x14ac:dyDescent="0.3">
      <c r="A9" s="388"/>
      <c r="B9" s="388"/>
      <c r="C9" s="377" t="s">
        <v>553</v>
      </c>
      <c r="D9" s="376"/>
      <c r="E9" s="376"/>
      <c r="F9" s="376"/>
      <c r="G9" s="376"/>
      <c r="H9" s="376"/>
      <c r="I9" s="376"/>
      <c r="J9" s="376"/>
      <c r="K9" s="376"/>
      <c r="L9" s="376"/>
      <c r="M9" s="376"/>
      <c r="N9" s="376"/>
      <c r="O9" s="376"/>
    </row>
    <row r="10" spans="1:15" x14ac:dyDescent="0.3">
      <c r="A10" s="388"/>
      <c r="B10" s="388"/>
      <c r="C10" s="377" t="s">
        <v>554</v>
      </c>
      <c r="D10" s="376"/>
      <c r="E10" s="376"/>
      <c r="F10" s="376"/>
      <c r="G10" s="376"/>
      <c r="H10" s="376"/>
      <c r="I10" s="376"/>
      <c r="J10" s="376"/>
      <c r="K10" s="376"/>
      <c r="L10" s="376"/>
      <c r="M10" s="376"/>
      <c r="N10" s="376"/>
      <c r="O10" s="376"/>
    </row>
    <row r="11" spans="1:15" x14ac:dyDescent="0.3">
      <c r="A11" s="376"/>
      <c r="B11" s="376"/>
      <c r="C11" s="376"/>
      <c r="D11" s="376"/>
      <c r="E11" s="376"/>
      <c r="F11" s="376"/>
      <c r="G11" s="376"/>
      <c r="H11" s="376"/>
      <c r="I11" s="376"/>
      <c r="J11" s="376"/>
      <c r="K11" s="376"/>
      <c r="L11" s="376"/>
      <c r="M11" s="376"/>
      <c r="N11" s="376"/>
      <c r="O11" s="376"/>
    </row>
    <row r="12" spans="1:15" s="3" customFormat="1" x14ac:dyDescent="0.3">
      <c r="A12" s="390" t="s">
        <v>561</v>
      </c>
      <c r="B12" s="390"/>
      <c r="C12" s="390"/>
      <c r="D12" s="390"/>
      <c r="E12" s="390"/>
      <c r="F12" s="390"/>
      <c r="G12" s="390"/>
      <c r="H12" s="390"/>
      <c r="I12" s="390"/>
      <c r="J12" s="390"/>
      <c r="K12" s="390"/>
      <c r="L12" s="390"/>
      <c r="M12" s="390"/>
      <c r="N12" s="390"/>
      <c r="O12" s="390"/>
    </row>
    <row r="13" spans="1:15" x14ac:dyDescent="0.3">
      <c r="A13" s="376" t="s">
        <v>562</v>
      </c>
      <c r="B13" s="376"/>
      <c r="C13" s="376"/>
      <c r="D13" s="376"/>
      <c r="E13" s="376"/>
      <c r="F13" s="376"/>
      <c r="G13" s="376"/>
      <c r="H13" s="376"/>
      <c r="I13" s="376"/>
      <c r="J13" s="376"/>
      <c r="K13" s="376"/>
      <c r="L13" s="376"/>
      <c r="M13" s="376"/>
      <c r="N13" s="376"/>
      <c r="O13" s="376"/>
    </row>
    <row r="14" spans="1:15" x14ac:dyDescent="0.3">
      <c r="A14" s="377"/>
      <c r="B14" s="377"/>
      <c r="C14" s="376"/>
      <c r="D14" s="376"/>
      <c r="E14" s="376"/>
      <c r="F14" s="376"/>
      <c r="G14" s="376"/>
      <c r="H14" s="376"/>
      <c r="I14" s="376"/>
      <c r="J14" s="376"/>
      <c r="K14" s="376"/>
      <c r="L14" s="376"/>
      <c r="M14" s="376"/>
      <c r="N14" s="376"/>
      <c r="O14" s="376"/>
    </row>
    <row r="15" spans="1:15" x14ac:dyDescent="0.3">
      <c r="A15" s="377"/>
      <c r="B15" s="377"/>
      <c r="C15" s="376"/>
      <c r="D15" s="376"/>
      <c r="E15" s="376"/>
      <c r="F15" s="376"/>
      <c r="G15" s="376"/>
      <c r="H15" s="376"/>
      <c r="I15" s="376"/>
      <c r="J15" s="376"/>
      <c r="K15" s="376"/>
      <c r="L15" s="376"/>
      <c r="M15" s="376"/>
      <c r="N15" s="376"/>
      <c r="O15" s="37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25"/>
  <sheetViews>
    <sheetView zoomScale="120" zoomScaleNormal="120" workbookViewId="0">
      <pane xSplit="1" ySplit="3" topLeftCell="B4" activePane="bottomRight" state="frozen"/>
      <selection activeCell="H23" sqref="H23"/>
      <selection pane="topRight" activeCell="H23" sqref="H23"/>
      <selection pane="bottomLeft" activeCell="H23" sqref="H23"/>
      <selection pane="bottomRight" activeCell="E1" sqref="E1"/>
    </sheetView>
  </sheetViews>
  <sheetFormatPr defaultRowHeight="14.4" x14ac:dyDescent="0.3"/>
  <cols>
    <col min="1" max="1" width="57.5546875" bestFit="1" customWidth="1"/>
    <col min="2" max="2" width="8.77734375" bestFit="1" customWidth="1"/>
    <col min="3" max="3" width="10.77734375" bestFit="1" customWidth="1"/>
    <col min="4" max="5" width="11.5546875" bestFit="1" customWidth="1"/>
  </cols>
  <sheetData>
    <row r="3" spans="1:5" ht="15" thickBot="1" x14ac:dyDescent="0.35">
      <c r="B3" s="149">
        <f>+'4 BS Expanded'!D3</f>
        <v>42371</v>
      </c>
      <c r="C3" s="149">
        <f>+'4 BS Expanded'!E3</f>
        <v>42735</v>
      </c>
      <c r="D3" s="149">
        <f>+'4 BS Expanded'!F3</f>
        <v>43099</v>
      </c>
      <c r="E3" s="149">
        <f>+'4 BS Expanded'!G3</f>
        <v>43463</v>
      </c>
    </row>
    <row r="4" spans="1:5" x14ac:dyDescent="0.3">
      <c r="A4" s="13" t="s">
        <v>63</v>
      </c>
    </row>
    <row r="6" spans="1:5" x14ac:dyDescent="0.3">
      <c r="A6" t="s">
        <v>64</v>
      </c>
      <c r="B6" s="8">
        <f>ROUND(NPV('5 Adjust Info'!D66,'5 Adjust Info'!B30:B40)*(1+'5 Adjust Info'!D66)^0.5,0)</f>
        <v>497</v>
      </c>
      <c r="C6" s="8">
        <f>ROUND(NPV('5 Adjust Info'!G66,'5 Adjust Info'!C30:C40)*(1+'5 Adjust Info'!G66)^0.5,0)</f>
        <v>555</v>
      </c>
      <c r="D6" s="8">
        <f>ROUND(NPV('5 Adjust Info'!J66,'5 Adjust Info'!D30:D40)*(1+'5 Adjust Info'!J66)^0.5,0)</f>
        <v>420</v>
      </c>
      <c r="E6" s="217">
        <f>ROUND(NPV('5 Adjust Info'!M66,'5 Adjust Info'!E30:E40)*(1+'5 Adjust Info'!M66)^0.5,0)</f>
        <v>478</v>
      </c>
    </row>
    <row r="7" spans="1:5" x14ac:dyDescent="0.3">
      <c r="A7" t="s">
        <v>65</v>
      </c>
      <c r="B7" s="8">
        <f t="shared" ref="B7:C7" si="0">+B6</f>
        <v>497</v>
      </c>
      <c r="C7" s="8">
        <f t="shared" si="0"/>
        <v>555</v>
      </c>
      <c r="D7" s="8">
        <f t="shared" ref="D7:E7" si="1">+D6</f>
        <v>420</v>
      </c>
      <c r="E7" s="217">
        <f t="shared" si="1"/>
        <v>478</v>
      </c>
    </row>
    <row r="8" spans="1:5" x14ac:dyDescent="0.3">
      <c r="B8" s="8"/>
      <c r="C8" s="8"/>
      <c r="D8" s="8"/>
      <c r="E8" s="8"/>
    </row>
    <row r="9" spans="1:5" x14ac:dyDescent="0.3">
      <c r="A9" s="181" t="s">
        <v>489</v>
      </c>
      <c r="B9" s="8"/>
      <c r="C9" s="8">
        <v>176</v>
      </c>
      <c r="D9" s="8">
        <v>195</v>
      </c>
      <c r="E9" s="52">
        <v>133</v>
      </c>
    </row>
    <row r="10" spans="1:5" x14ac:dyDescent="0.3">
      <c r="A10" t="s">
        <v>66</v>
      </c>
      <c r="B10" s="57"/>
      <c r="C10" s="8">
        <f>ROUND(AVERAGE(B6:C6)*'5 Adjust Info'!G66,0)</f>
        <v>17</v>
      </c>
      <c r="D10" s="8">
        <f>ROUND(AVERAGE(C6:D6)*'5 Adjust Info'!J66,0)</f>
        <v>15</v>
      </c>
      <c r="E10" s="217">
        <f>ROUND(AVERAGE(D6:E6)*'5 Adjust Info'!M66,0)</f>
        <v>14</v>
      </c>
    </row>
    <row r="11" spans="1:5" ht="15" thickBot="1" x14ac:dyDescent="0.35">
      <c r="A11" t="s">
        <v>67</v>
      </c>
      <c r="B11" s="48"/>
      <c r="C11" s="40">
        <f t="shared" ref="C11" si="2">+C9-C10</f>
        <v>159</v>
      </c>
      <c r="D11" s="40">
        <f t="shared" ref="D11:E11" si="3">+D9-D10</f>
        <v>180</v>
      </c>
      <c r="E11" s="176">
        <f t="shared" si="3"/>
        <v>119</v>
      </c>
    </row>
    <row r="12" spans="1:5" ht="15" thickTop="1" x14ac:dyDescent="0.3">
      <c r="B12" s="48"/>
      <c r="C12" s="46"/>
      <c r="D12" s="46"/>
      <c r="E12" s="46"/>
    </row>
    <row r="13" spans="1:5" ht="15" thickBot="1" x14ac:dyDescent="0.35">
      <c r="A13" t="s">
        <v>68</v>
      </c>
      <c r="B13" s="48"/>
      <c r="C13" s="47">
        <f t="shared" ref="C13" si="4">+C11</f>
        <v>159</v>
      </c>
      <c r="D13" s="47">
        <f t="shared" ref="D13:E13" si="5">+D11</f>
        <v>180</v>
      </c>
      <c r="E13" s="218">
        <f t="shared" si="5"/>
        <v>119</v>
      </c>
    </row>
    <row r="14" spans="1:5" ht="15" thickTop="1" x14ac:dyDescent="0.3">
      <c r="B14" s="48"/>
      <c r="C14" s="48"/>
      <c r="D14" s="48"/>
      <c r="E14" s="48"/>
    </row>
    <row r="17" spans="1:5" x14ac:dyDescent="0.3">
      <c r="A17" s="13" t="s">
        <v>69</v>
      </c>
    </row>
    <row r="18" spans="1:5" x14ac:dyDescent="0.3">
      <c r="A18" t="s">
        <v>136</v>
      </c>
      <c r="B18" s="19">
        <f t="shared" ref="B18" si="6">-B6</f>
        <v>-497</v>
      </c>
      <c r="C18" s="19">
        <f t="shared" ref="C18:E18" si="7">-C6</f>
        <v>-555</v>
      </c>
      <c r="D18" s="19">
        <f t="shared" si="7"/>
        <v>-420</v>
      </c>
      <c r="E18" s="212">
        <f t="shared" si="7"/>
        <v>-478</v>
      </c>
    </row>
    <row r="19" spans="1:5" x14ac:dyDescent="0.3">
      <c r="A19" t="s">
        <v>70</v>
      </c>
      <c r="B19" s="19">
        <f t="shared" ref="B19" si="8">-B18</f>
        <v>497</v>
      </c>
      <c r="C19" s="19">
        <f t="shared" ref="C19:E19" si="9">-C18</f>
        <v>555</v>
      </c>
      <c r="D19" s="19">
        <f t="shared" si="9"/>
        <v>420</v>
      </c>
      <c r="E19" s="212">
        <f t="shared" si="9"/>
        <v>478</v>
      </c>
    </row>
    <row r="21" spans="1:5" x14ac:dyDescent="0.3">
      <c r="A21" s="13" t="s">
        <v>71</v>
      </c>
    </row>
    <row r="22" spans="1:5" x14ac:dyDescent="0.3">
      <c r="A22" t="s">
        <v>72</v>
      </c>
      <c r="B22" s="19"/>
      <c r="C22" s="19">
        <f t="shared" ref="C22" si="10">-C9</f>
        <v>-176</v>
      </c>
      <c r="D22" s="19">
        <f t="shared" ref="D22:E22" si="11">-D9</f>
        <v>-195</v>
      </c>
      <c r="E22" s="212">
        <f t="shared" si="11"/>
        <v>-133</v>
      </c>
    </row>
    <row r="23" spans="1:5" x14ac:dyDescent="0.3">
      <c r="A23" t="s">
        <v>3</v>
      </c>
      <c r="B23" s="19"/>
      <c r="C23" s="19">
        <f t="shared" ref="C23" si="12">+C10</f>
        <v>17</v>
      </c>
      <c r="D23" s="19">
        <f t="shared" ref="D23:E23" si="13">+D10</f>
        <v>15</v>
      </c>
      <c r="E23" s="212">
        <f t="shared" si="13"/>
        <v>14</v>
      </c>
    </row>
    <row r="24" spans="1:5" x14ac:dyDescent="0.3">
      <c r="A24" t="s">
        <v>73</v>
      </c>
      <c r="B24" s="19"/>
      <c r="C24" s="19">
        <f t="shared" ref="C24" si="14">+C11</f>
        <v>159</v>
      </c>
      <c r="D24" s="19">
        <f t="shared" ref="D24:E24" si="15">+D11</f>
        <v>180</v>
      </c>
      <c r="E24" s="212">
        <f t="shared" si="15"/>
        <v>119</v>
      </c>
    </row>
    <row r="25" spans="1:5" x14ac:dyDescent="0.3">
      <c r="B25" s="19"/>
      <c r="C25" s="19"/>
      <c r="D25" s="19"/>
      <c r="E25" s="19"/>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F77"/>
  <sheetViews>
    <sheetView zoomScaleNormal="100" workbookViewId="0">
      <pane xSplit="1" ySplit="3" topLeftCell="B4" activePane="bottomRight" state="frozen"/>
      <selection activeCell="H23" sqref="H23"/>
      <selection pane="topRight" activeCell="H23" sqref="H23"/>
      <selection pane="bottomLeft" activeCell="H23" sqref="H23"/>
      <selection pane="bottomRight" activeCell="H23" sqref="H23"/>
    </sheetView>
  </sheetViews>
  <sheetFormatPr defaultColWidth="9.109375" defaultRowHeight="14.4" x14ac:dyDescent="0.3"/>
  <cols>
    <col min="1" max="1" width="46" bestFit="1" customWidth="1"/>
    <col min="2" max="2" width="9" bestFit="1" customWidth="1"/>
    <col min="3" max="5" width="10.77734375" bestFit="1" customWidth="1"/>
  </cols>
  <sheetData>
    <row r="3" spans="1:5" ht="15" thickBot="1" x14ac:dyDescent="0.35">
      <c r="B3" s="145">
        <f>+'5 Adjust Info'!B2</f>
        <v>42371</v>
      </c>
      <c r="C3" s="145">
        <f>+'5 Adjust Info'!C2</f>
        <v>42735</v>
      </c>
      <c r="D3" s="145">
        <f>+'5 Adjust Info'!D2</f>
        <v>43099</v>
      </c>
      <c r="E3" s="145">
        <f>+'5 Adjust Info'!E2</f>
        <v>43463</v>
      </c>
    </row>
    <row r="4" spans="1:5" x14ac:dyDescent="0.3">
      <c r="A4" s="68" t="s">
        <v>121</v>
      </c>
    </row>
    <row r="5" spans="1:5" x14ac:dyDescent="0.3">
      <c r="A5" t="s">
        <v>75</v>
      </c>
      <c r="B5" s="44">
        <f>+'5 Adjust Info'!B3</f>
        <v>72.27</v>
      </c>
      <c r="C5" s="44">
        <f>+'5 Adjust Info'!C3</f>
        <v>73.709999999999994</v>
      </c>
      <c r="D5" s="44">
        <f>+'5 Adjust Info'!D3</f>
        <v>67.98</v>
      </c>
      <c r="E5" s="219">
        <f>+'5 Adjust Info'!E3</f>
        <v>57.25</v>
      </c>
    </row>
    <row r="6" spans="1:5" x14ac:dyDescent="0.3">
      <c r="A6" t="s">
        <v>112</v>
      </c>
      <c r="B6" s="49">
        <f>+'5 Adjust Info'!B9</f>
        <v>58</v>
      </c>
      <c r="C6" s="49">
        <f>+'5 Adjust Info'!C9</f>
        <v>62</v>
      </c>
      <c r="D6" s="49">
        <f>+'5 Adjust Info'!D9</f>
        <v>64</v>
      </c>
      <c r="E6" s="220">
        <f>+'5 Adjust Info'!E9</f>
        <v>66</v>
      </c>
    </row>
    <row r="7" spans="1:5" x14ac:dyDescent="0.3">
      <c r="A7" t="s">
        <v>74</v>
      </c>
      <c r="B7" s="32">
        <f t="shared" ref="B7" si="0">MAX(0,B5-B6)</f>
        <v>14.269999999999996</v>
      </c>
      <c r="C7" s="32">
        <f t="shared" ref="C7:E7" si="1">MAX(0,C5-C6)</f>
        <v>11.709999999999994</v>
      </c>
      <c r="D7" s="32">
        <f t="shared" si="1"/>
        <v>3.980000000000004</v>
      </c>
      <c r="E7" s="221">
        <f t="shared" si="1"/>
        <v>0</v>
      </c>
    </row>
    <row r="8" spans="1:5" x14ac:dyDescent="0.3">
      <c r="A8" t="s">
        <v>113</v>
      </c>
      <c r="B8" s="67">
        <f>+'5 Adjust Info'!B8</f>
        <v>19</v>
      </c>
      <c r="C8" s="67">
        <f>+'5 Adjust Info'!C8</f>
        <v>15</v>
      </c>
      <c r="D8" s="67">
        <f>+'5 Adjust Info'!D8</f>
        <v>14</v>
      </c>
      <c r="E8" s="222">
        <f>+'5 Adjust Info'!E8</f>
        <v>14</v>
      </c>
    </row>
    <row r="9" spans="1:5" x14ac:dyDescent="0.3">
      <c r="A9" t="s">
        <v>114</v>
      </c>
      <c r="B9" s="8">
        <f t="shared" ref="B9:D9" si="2">+B7*B8</f>
        <v>271.12999999999994</v>
      </c>
      <c r="C9" s="8">
        <f t="shared" si="2"/>
        <v>175.64999999999992</v>
      </c>
      <c r="D9" s="8">
        <f t="shared" si="2"/>
        <v>55.720000000000056</v>
      </c>
      <c r="E9" s="217">
        <f>+E7*E8</f>
        <v>0</v>
      </c>
    </row>
    <row r="11" spans="1:5" x14ac:dyDescent="0.3">
      <c r="A11" t="s">
        <v>219</v>
      </c>
      <c r="B11" s="70">
        <f>+C11</f>
        <v>0.35</v>
      </c>
      <c r="C11" s="70">
        <f>+'3 Unadj NOPAT'!C2</f>
        <v>0.35</v>
      </c>
      <c r="D11" s="70">
        <f>+'3 Unadj NOPAT'!D2</f>
        <v>0.21</v>
      </c>
      <c r="E11" s="223">
        <f>+'3 Unadj NOPAT'!E2</f>
        <v>0.21</v>
      </c>
    </row>
    <row r="12" spans="1:5" x14ac:dyDescent="0.3">
      <c r="A12" t="s">
        <v>122</v>
      </c>
      <c r="B12" s="8">
        <f>B9*B11</f>
        <v>94.89549999999997</v>
      </c>
      <c r="C12" s="8">
        <f t="shared" ref="C12:E12" si="3">C9*C11</f>
        <v>61.477499999999971</v>
      </c>
      <c r="D12" s="8">
        <f>D9*D11</f>
        <v>11.701200000000011</v>
      </c>
      <c r="E12" s="217">
        <f t="shared" si="3"/>
        <v>0</v>
      </c>
    </row>
    <row r="15" spans="1:5" x14ac:dyDescent="0.3">
      <c r="A15" s="71" t="s">
        <v>127</v>
      </c>
    </row>
    <row r="16" spans="1:5" x14ac:dyDescent="0.3">
      <c r="A16" s="72" t="s">
        <v>479</v>
      </c>
      <c r="C16" s="19">
        <f t="shared" ref="C16:D16" si="4">-B9</f>
        <v>-271.12999999999994</v>
      </c>
      <c r="D16" s="19">
        <f t="shared" si="4"/>
        <v>-175.64999999999992</v>
      </c>
      <c r="E16" s="212">
        <f>-D9</f>
        <v>-55.720000000000056</v>
      </c>
    </row>
    <row r="17" spans="1:5" x14ac:dyDescent="0.3">
      <c r="A17" s="72" t="s">
        <v>129</v>
      </c>
      <c r="C17" s="19">
        <f t="shared" ref="C17:D17" si="5">+B12</f>
        <v>94.89549999999997</v>
      </c>
      <c r="D17" s="19">
        <f t="shared" si="5"/>
        <v>61.477499999999971</v>
      </c>
      <c r="E17" s="212">
        <f>+D12</f>
        <v>11.701200000000011</v>
      </c>
    </row>
    <row r="18" spans="1:5" x14ac:dyDescent="0.3">
      <c r="A18" s="72" t="s">
        <v>130</v>
      </c>
      <c r="C18" s="8">
        <f t="shared" ref="C18:D18" si="6">-C16-C17</f>
        <v>176.23449999999997</v>
      </c>
      <c r="D18" s="8">
        <f t="shared" si="6"/>
        <v>114.17249999999996</v>
      </c>
      <c r="E18" s="217">
        <f>-E16-E17</f>
        <v>44.018800000000041</v>
      </c>
    </row>
    <row r="19" spans="1:5" x14ac:dyDescent="0.3">
      <c r="A19" s="72"/>
      <c r="C19" s="19"/>
      <c r="D19" s="19"/>
      <c r="E19" s="19"/>
    </row>
    <row r="20" spans="1:5" x14ac:dyDescent="0.3">
      <c r="A20" s="13" t="s">
        <v>123</v>
      </c>
      <c r="C20" s="19"/>
      <c r="D20" s="19"/>
      <c r="E20" s="19"/>
    </row>
    <row r="21" spans="1:5" x14ac:dyDescent="0.3">
      <c r="A21" t="s">
        <v>480</v>
      </c>
      <c r="B21" s="8"/>
      <c r="C21" s="8">
        <f>-C9+B9</f>
        <v>95.480000000000018</v>
      </c>
      <c r="D21" s="8">
        <f t="shared" ref="D21:E21" si="7">-D9+C9</f>
        <v>119.92999999999986</v>
      </c>
      <c r="E21" s="217">
        <f t="shared" si="7"/>
        <v>55.720000000000056</v>
      </c>
    </row>
    <row r="22" spans="1:5" x14ac:dyDescent="0.3">
      <c r="A22" t="s">
        <v>124</v>
      </c>
      <c r="B22" s="8"/>
      <c r="C22" s="8">
        <f>+C12-B12</f>
        <v>-33.417999999999999</v>
      </c>
      <c r="D22" s="8">
        <f>+D12-C12</f>
        <v>-49.776299999999964</v>
      </c>
      <c r="E22" s="217">
        <f>+E12-D12</f>
        <v>-11.701200000000011</v>
      </c>
    </row>
    <row r="23" spans="1:5" x14ac:dyDescent="0.3">
      <c r="A23" t="s">
        <v>125</v>
      </c>
      <c r="B23" s="8"/>
      <c r="C23" s="8">
        <f t="shared" ref="C23:E23" si="8">-C22-C21</f>
        <v>-62.062000000000019</v>
      </c>
      <c r="D23" s="8">
        <f t="shared" si="8"/>
        <v>-70.153699999999901</v>
      </c>
      <c r="E23" s="217">
        <f t="shared" si="8"/>
        <v>-44.018800000000041</v>
      </c>
    </row>
    <row r="26" spans="1:5" x14ac:dyDescent="0.3">
      <c r="A26" s="68" t="s">
        <v>481</v>
      </c>
    </row>
    <row r="27" spans="1:5" x14ac:dyDescent="0.3">
      <c r="A27" t="s">
        <v>75</v>
      </c>
      <c r="B27" s="32">
        <f>+'5 Adjust Info'!B3</f>
        <v>72.27</v>
      </c>
      <c r="C27" s="32">
        <f>+'5 Adjust Info'!C3</f>
        <v>73.709999999999994</v>
      </c>
      <c r="D27" s="32">
        <f>+'5 Adjust Info'!D3</f>
        <v>67.98</v>
      </c>
      <c r="E27" s="221">
        <f>+'5 Adjust Info'!E3</f>
        <v>57.25</v>
      </c>
    </row>
    <row r="28" spans="1:5" x14ac:dyDescent="0.3">
      <c r="A28" t="s">
        <v>112</v>
      </c>
      <c r="B28" s="69">
        <f>+'5 Adjust Info'!B14</f>
        <v>57</v>
      </c>
      <c r="C28" s="69">
        <f>+'5 Adjust Info'!C14</f>
        <v>63</v>
      </c>
      <c r="D28" s="69">
        <f>+'5 Adjust Info'!D14</f>
        <v>65</v>
      </c>
      <c r="E28" s="233">
        <f>+'5 Adjust Info'!E14</f>
        <v>65</v>
      </c>
    </row>
    <row r="29" spans="1:5" x14ac:dyDescent="0.3">
      <c r="A29" t="s">
        <v>74</v>
      </c>
      <c r="B29" s="44">
        <f t="shared" ref="B29" si="9">MAX(B27-B28,0)</f>
        <v>15.269999999999996</v>
      </c>
      <c r="C29" s="44">
        <f t="shared" ref="C29:E29" si="10">MAX(C27-C28,0)</f>
        <v>10.709999999999994</v>
      </c>
      <c r="D29" s="44">
        <f t="shared" si="10"/>
        <v>2.980000000000004</v>
      </c>
      <c r="E29" s="219">
        <f t="shared" si="10"/>
        <v>0</v>
      </c>
    </row>
    <row r="30" spans="1:5" x14ac:dyDescent="0.3">
      <c r="A30" t="s">
        <v>113</v>
      </c>
      <c r="B30" s="67">
        <f>+'5 Adjust Info'!B13</f>
        <v>806</v>
      </c>
      <c r="C30" s="67">
        <f>+'5 Adjust Info'!C13</f>
        <v>1166</v>
      </c>
      <c r="D30" s="67">
        <f>+'5 Adjust Info'!D13</f>
        <v>1673</v>
      </c>
      <c r="E30" s="222">
        <f>+'5 Adjust Info'!E13</f>
        <v>1708</v>
      </c>
    </row>
    <row r="31" spans="1:5" x14ac:dyDescent="0.3">
      <c r="A31" t="s">
        <v>115</v>
      </c>
      <c r="B31" s="8">
        <f t="shared" ref="B31" si="11">+B29*B30/1000</f>
        <v>12.307619999999996</v>
      </c>
      <c r="C31" s="8">
        <f t="shared" ref="C31:D31" si="12">+C29*C30/1000</f>
        <v>12.487859999999994</v>
      </c>
      <c r="D31" s="8">
        <f t="shared" si="12"/>
        <v>4.9855400000000065</v>
      </c>
      <c r="E31" s="217">
        <f>+E29*E30/1000</f>
        <v>0</v>
      </c>
    </row>
    <row r="33" spans="1:5" x14ac:dyDescent="0.3">
      <c r="A33" t="s">
        <v>219</v>
      </c>
      <c r="B33" s="70">
        <f>+C33</f>
        <v>0.35</v>
      </c>
      <c r="C33" s="70">
        <f>+'3 Unadj NOPAT'!C2</f>
        <v>0.35</v>
      </c>
      <c r="D33" s="70">
        <f>+'3 Unadj NOPAT'!D2</f>
        <v>0.21</v>
      </c>
      <c r="E33" s="223">
        <f>+'3 Unadj NOPAT'!E2</f>
        <v>0.21</v>
      </c>
    </row>
    <row r="34" spans="1:5" x14ac:dyDescent="0.3">
      <c r="A34" t="s">
        <v>122</v>
      </c>
      <c r="B34" s="8">
        <f>B31*B33</f>
        <v>4.3076669999999986</v>
      </c>
      <c r="C34" s="8">
        <f>C31*C33</f>
        <v>4.3707509999999976</v>
      </c>
      <c r="D34" s="8">
        <f>D31*D33</f>
        <v>1.0469634000000014</v>
      </c>
      <c r="E34" s="217">
        <f>E31*E33</f>
        <v>0</v>
      </c>
    </row>
    <row r="35" spans="1:5" x14ac:dyDescent="0.3">
      <c r="B35" s="19"/>
      <c r="C35" s="19"/>
      <c r="D35" s="19"/>
      <c r="E35" s="19"/>
    </row>
    <row r="36" spans="1:5" x14ac:dyDescent="0.3">
      <c r="B36" s="19"/>
      <c r="C36" s="19"/>
      <c r="D36" s="19"/>
      <c r="E36" s="19"/>
    </row>
    <row r="37" spans="1:5" x14ac:dyDescent="0.3">
      <c r="A37" s="71" t="s">
        <v>127</v>
      </c>
      <c r="B37" s="19"/>
      <c r="C37" s="19"/>
      <c r="D37" s="19"/>
      <c r="E37" s="19"/>
    </row>
    <row r="38" spans="1:5" x14ac:dyDescent="0.3">
      <c r="A38" s="72" t="s">
        <v>479</v>
      </c>
      <c r="B38" s="19"/>
      <c r="C38" s="19">
        <f t="shared" ref="C38:D38" si="13">-B31</f>
        <v>-12.307619999999996</v>
      </c>
      <c r="D38" s="19">
        <f t="shared" si="13"/>
        <v>-12.487859999999994</v>
      </c>
      <c r="E38" s="212">
        <f>-D31</f>
        <v>-4.9855400000000065</v>
      </c>
    </row>
    <row r="39" spans="1:5" x14ac:dyDescent="0.3">
      <c r="A39" s="72" t="s">
        <v>129</v>
      </c>
      <c r="B39" s="19"/>
      <c r="C39" s="19">
        <f t="shared" ref="C39:D39" si="14">+B34</f>
        <v>4.3076669999999986</v>
      </c>
      <c r="D39" s="19">
        <f t="shared" si="14"/>
        <v>4.3707509999999976</v>
      </c>
      <c r="E39" s="212">
        <f>+D34</f>
        <v>1.0469634000000014</v>
      </c>
    </row>
    <row r="40" spans="1:5" x14ac:dyDescent="0.3">
      <c r="A40" s="72" t="s">
        <v>130</v>
      </c>
      <c r="B40" s="19"/>
      <c r="C40" s="8">
        <f t="shared" ref="C40" si="15">-C38-C39</f>
        <v>7.9999529999999979</v>
      </c>
      <c r="D40" s="8">
        <f>-D38-D39</f>
        <v>8.1171089999999957</v>
      </c>
      <c r="E40" s="217">
        <f>-E38-E39</f>
        <v>3.9385766000000051</v>
      </c>
    </row>
    <row r="41" spans="1:5" x14ac:dyDescent="0.3">
      <c r="A41" s="72"/>
      <c r="B41" s="19"/>
      <c r="C41" s="19"/>
      <c r="D41" s="19"/>
      <c r="E41" s="19"/>
    </row>
    <row r="42" spans="1:5" x14ac:dyDescent="0.3">
      <c r="A42" s="13" t="s">
        <v>482</v>
      </c>
      <c r="B42" s="19"/>
      <c r="C42" s="19"/>
      <c r="D42" s="19"/>
      <c r="E42" s="19"/>
    </row>
    <row r="43" spans="1:5" x14ac:dyDescent="0.3">
      <c r="A43" t="s">
        <v>480</v>
      </c>
      <c r="B43" s="8"/>
      <c r="C43" s="8">
        <f>-C31+B31</f>
        <v>-0.18023999999999774</v>
      </c>
      <c r="D43" s="8">
        <f t="shared" ref="D43:E43" si="16">-D31+C31</f>
        <v>7.5023199999999877</v>
      </c>
      <c r="E43" s="217">
        <f t="shared" si="16"/>
        <v>4.9855400000000065</v>
      </c>
    </row>
    <row r="44" spans="1:5" x14ac:dyDescent="0.3">
      <c r="A44" t="s">
        <v>124</v>
      </c>
      <c r="B44" s="8"/>
      <c r="C44" s="8">
        <f>+C34-B34</f>
        <v>6.308399999999903E-2</v>
      </c>
      <c r="D44" s="8">
        <f>+D34-C34</f>
        <v>-3.3237875999999962</v>
      </c>
      <c r="E44" s="217">
        <f>+E34-D34</f>
        <v>-1.0469634000000014</v>
      </c>
    </row>
    <row r="45" spans="1:5" x14ac:dyDescent="0.3">
      <c r="A45" t="s">
        <v>125</v>
      </c>
      <c r="B45" s="8"/>
      <c r="C45" s="8">
        <f t="shared" ref="C45:E45" si="17">-C44-C43</f>
        <v>0.11715599999999871</v>
      </c>
      <c r="D45" s="8">
        <f t="shared" si="17"/>
        <v>-4.178532399999991</v>
      </c>
      <c r="E45" s="217">
        <f t="shared" si="17"/>
        <v>-3.9385766000000051</v>
      </c>
    </row>
    <row r="49" spans="1:6" x14ac:dyDescent="0.3">
      <c r="A49" s="227"/>
      <c r="B49" s="224"/>
      <c r="C49" s="224"/>
      <c r="D49" s="224"/>
      <c r="E49" s="224"/>
      <c r="F49" s="234" t="s">
        <v>491</v>
      </c>
    </row>
    <row r="50" spans="1:6" x14ac:dyDescent="0.3">
      <c r="A50" s="224"/>
      <c r="B50" s="224"/>
      <c r="C50" s="224"/>
      <c r="D50" s="224"/>
      <c r="E50" s="224"/>
    </row>
    <row r="51" spans="1:6" x14ac:dyDescent="0.3">
      <c r="A51" s="224"/>
      <c r="B51" s="225"/>
      <c r="C51" s="225"/>
      <c r="D51" s="225"/>
      <c r="E51" s="225"/>
    </row>
    <row r="52" spans="1:6" x14ac:dyDescent="0.3">
      <c r="A52" s="224"/>
      <c r="B52" s="226"/>
      <c r="C52" s="226"/>
      <c r="D52" s="226"/>
      <c r="E52" s="226"/>
    </row>
    <row r="53" spans="1:6" x14ac:dyDescent="0.3">
      <c r="A53" s="224"/>
      <c r="B53" s="226"/>
      <c r="C53" s="228"/>
      <c r="D53" s="228"/>
      <c r="E53" s="228"/>
    </row>
    <row r="54" spans="1:6" x14ac:dyDescent="0.3">
      <c r="A54" s="224"/>
      <c r="B54" s="226"/>
      <c r="C54" s="226"/>
      <c r="D54" s="226"/>
      <c r="E54" s="226"/>
    </row>
    <row r="55" spans="1:6" x14ac:dyDescent="0.3">
      <c r="A55" s="224"/>
      <c r="B55" s="224"/>
      <c r="C55" s="224"/>
      <c r="D55" s="224"/>
      <c r="E55" s="224"/>
    </row>
    <row r="56" spans="1:6" x14ac:dyDescent="0.3">
      <c r="A56" s="224"/>
      <c r="B56" s="224"/>
      <c r="C56" s="224"/>
      <c r="D56" s="224"/>
      <c r="E56" s="224"/>
    </row>
    <row r="57" spans="1:6" x14ac:dyDescent="0.3">
      <c r="A57" s="229"/>
      <c r="B57" s="224"/>
      <c r="C57" s="224"/>
      <c r="D57" s="224"/>
      <c r="E57" s="224"/>
    </row>
    <row r="58" spans="1:6" x14ac:dyDescent="0.3">
      <c r="A58" s="224"/>
      <c r="B58" s="226"/>
      <c r="C58" s="226"/>
      <c r="D58" s="226"/>
      <c r="E58" s="226"/>
    </row>
    <row r="59" spans="1:6" x14ac:dyDescent="0.3">
      <c r="A59" s="224"/>
      <c r="B59" s="226"/>
      <c r="C59" s="226"/>
      <c r="D59" s="226"/>
      <c r="E59" s="226"/>
    </row>
    <row r="64" spans="1:6" x14ac:dyDescent="0.3">
      <c r="A64" s="68" t="s">
        <v>126</v>
      </c>
    </row>
    <row r="65" spans="1:5" x14ac:dyDescent="0.3">
      <c r="A65" s="71" t="s">
        <v>127</v>
      </c>
    </row>
    <row r="66" spans="1:5" x14ac:dyDescent="0.3">
      <c r="A66" s="72" t="s">
        <v>128</v>
      </c>
      <c r="B66" s="19"/>
      <c r="C66" s="8">
        <f t="shared" ref="C66:E68" si="18">+C16+C38</f>
        <v>-283.43761999999992</v>
      </c>
      <c r="D66" s="8">
        <f t="shared" si="18"/>
        <v>-188.1378599999999</v>
      </c>
      <c r="E66" s="217">
        <f>+E16+E38</f>
        <v>-60.705540000000063</v>
      </c>
    </row>
    <row r="67" spans="1:5" x14ac:dyDescent="0.3">
      <c r="A67" s="72" t="s">
        <v>129</v>
      </c>
      <c r="B67" s="19"/>
      <c r="C67" s="8">
        <f t="shared" si="18"/>
        <v>99.203166999999965</v>
      </c>
      <c r="D67" s="8">
        <f t="shared" si="18"/>
        <v>65.848250999999962</v>
      </c>
      <c r="E67" s="217">
        <f t="shared" si="18"/>
        <v>12.748163400000012</v>
      </c>
    </row>
    <row r="68" spans="1:5" x14ac:dyDescent="0.3">
      <c r="A68" s="72" t="s">
        <v>130</v>
      </c>
      <c r="B68" s="19"/>
      <c r="C68" s="8">
        <f t="shared" si="18"/>
        <v>184.23445299999997</v>
      </c>
      <c r="D68" s="8">
        <f t="shared" si="18"/>
        <v>122.28960899999996</v>
      </c>
      <c r="E68" s="217">
        <f>+E18+E40</f>
        <v>47.957376600000046</v>
      </c>
    </row>
    <row r="69" spans="1:5" x14ac:dyDescent="0.3">
      <c r="A69" s="68"/>
      <c r="C69" s="19"/>
      <c r="D69" s="19"/>
      <c r="E69" s="19"/>
    </row>
    <row r="70" spans="1:5" x14ac:dyDescent="0.3">
      <c r="A70" s="71" t="s">
        <v>131</v>
      </c>
      <c r="C70" s="19"/>
      <c r="D70" s="19"/>
      <c r="E70" s="19"/>
    </row>
    <row r="71" spans="1:5" x14ac:dyDescent="0.3">
      <c r="A71" t="s">
        <v>132</v>
      </c>
      <c r="B71" s="19"/>
      <c r="C71" s="8">
        <f t="shared" ref="C71:D72" si="19">+C21+C43</f>
        <v>95.29976000000002</v>
      </c>
      <c r="D71" s="8">
        <f t="shared" si="19"/>
        <v>127.43231999999985</v>
      </c>
      <c r="E71" s="217">
        <f>+E21+E43</f>
        <v>60.705540000000063</v>
      </c>
    </row>
    <row r="72" spans="1:5" x14ac:dyDescent="0.3">
      <c r="A72" t="s">
        <v>133</v>
      </c>
      <c r="B72" s="19"/>
      <c r="C72" s="8">
        <f t="shared" si="19"/>
        <v>-33.354916000000003</v>
      </c>
      <c r="D72" s="8">
        <f t="shared" si="19"/>
        <v>-53.100087599999959</v>
      </c>
      <c r="E72" s="217">
        <f>+E22+E44</f>
        <v>-12.748163400000012</v>
      </c>
    </row>
    <row r="73" spans="1:5" x14ac:dyDescent="0.3">
      <c r="A73" t="s">
        <v>134</v>
      </c>
      <c r="B73" s="19"/>
      <c r="C73" s="8">
        <f>+C23+C45</f>
        <v>-61.944844000000018</v>
      </c>
      <c r="D73" s="8">
        <f>+D23+D45</f>
        <v>-74.332232399999896</v>
      </c>
      <c r="E73" s="217">
        <f>+E23+E45</f>
        <v>-47.957376600000046</v>
      </c>
    </row>
    <row r="74" spans="1:5" x14ac:dyDescent="0.3">
      <c r="A74" s="181"/>
      <c r="B74" s="230"/>
      <c r="C74" s="182"/>
      <c r="D74" s="182"/>
      <c r="E74" s="182"/>
    </row>
    <row r="75" spans="1:5" x14ac:dyDescent="0.3">
      <c r="B75" s="19"/>
      <c r="C75" s="19"/>
      <c r="D75" s="19"/>
      <c r="E75" s="19"/>
    </row>
    <row r="76" spans="1:5" x14ac:dyDescent="0.3">
      <c r="B76" s="19"/>
      <c r="C76" s="19"/>
      <c r="D76" s="19"/>
      <c r="E76" s="19"/>
    </row>
    <row r="77" spans="1:5" s="12" customFormat="1" x14ac:dyDescent="0.3">
      <c r="A77" s="203" t="s">
        <v>490</v>
      </c>
      <c r="B77" s="231"/>
      <c r="C77" s="232">
        <f t="shared" ref="C77" si="20">SUM(C66:C74)</f>
        <v>0</v>
      </c>
      <c r="D77" s="232">
        <f t="shared" ref="D77:E77" si="21">SUM(D66:D74)</f>
        <v>0</v>
      </c>
      <c r="E77" s="232">
        <f t="shared" si="21"/>
        <v>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V135"/>
  <sheetViews>
    <sheetView workbookViewId="0">
      <pane xSplit="1" ySplit="3" topLeftCell="B76" activePane="bottomRight" state="frozen"/>
      <selection activeCell="H23" sqref="H23"/>
      <selection pane="topRight" activeCell="H23" sqref="H23"/>
      <selection pane="bottomLeft" activeCell="H23" sqref="H23"/>
      <selection pane="bottomRight" activeCell="E81" sqref="E81"/>
    </sheetView>
  </sheetViews>
  <sheetFormatPr defaultColWidth="9.109375" defaultRowHeight="14.4" x14ac:dyDescent="0.3"/>
  <cols>
    <col min="1" max="1" width="61.21875" style="14" bestFit="1" customWidth="1"/>
    <col min="2" max="3" width="9.88671875" style="51" bestFit="1" customWidth="1"/>
    <col min="4" max="4" width="8.77734375" style="14" bestFit="1" customWidth="1"/>
    <col min="5" max="7" width="10.77734375" style="14" bestFit="1" customWidth="1"/>
    <col min="8" max="16384" width="9.109375" style="14"/>
  </cols>
  <sheetData>
    <row r="1" spans="1:7" x14ac:dyDescent="0.3">
      <c r="A1" s="13" t="str">
        <f>+'3 BS Reported'!A1</f>
        <v>Kellogg</v>
      </c>
      <c r="B1" s="191"/>
      <c r="C1" s="191"/>
      <c r="D1" s="74"/>
      <c r="E1" s="74"/>
      <c r="F1" s="74"/>
      <c r="G1" s="74"/>
    </row>
    <row r="2" spans="1:7" x14ac:dyDescent="0.3">
      <c r="A2" s="13"/>
      <c r="B2" s="191" t="s">
        <v>26</v>
      </c>
      <c r="C2" s="191"/>
      <c r="D2" s="74"/>
      <c r="E2" s="74"/>
      <c r="F2" s="74"/>
      <c r="G2" s="74"/>
    </row>
    <row r="3" spans="1:7" ht="15" thickBot="1" x14ac:dyDescent="0.35">
      <c r="A3" s="13" t="str">
        <f>+'3 BS Reported'!A3</f>
        <v>Amounts in millions</v>
      </c>
      <c r="B3" s="191" t="s">
        <v>224</v>
      </c>
      <c r="C3" s="191" t="s">
        <v>24</v>
      </c>
      <c r="D3" s="149">
        <f>+'3 BS Reported'!C3</f>
        <v>42371</v>
      </c>
      <c r="E3" s="149">
        <f>+'3 BS Reported'!D3</f>
        <v>42735</v>
      </c>
      <c r="F3" s="149">
        <f>+'3 BS Reported'!E3</f>
        <v>43099</v>
      </c>
      <c r="G3" s="149">
        <f>+'3 BS Reported'!F3</f>
        <v>43463</v>
      </c>
    </row>
    <row r="4" spans="1:7" x14ac:dyDescent="0.3">
      <c r="A4" s="74" t="s">
        <v>4</v>
      </c>
    </row>
    <row r="5" spans="1:7" x14ac:dyDescent="0.3">
      <c r="A5" s="14" t="s">
        <v>5</v>
      </c>
      <c r="B5" s="1" t="str">
        <f>IF(IFERROR(VLOOKUP(A5,'4 BS Expanded'!A:C,2,),"")&gt;"",IFERROR(VLOOKUP(A5,'4 BS Expanded'!A:C,2,),""),IFERROR(VLOOKUP(A5,'4 BS Expanded'!A:C,3,),""))</f>
        <v>Split</v>
      </c>
      <c r="C5" s="14"/>
      <c r="D5" s="28">
        <f>+'4 BS Expanded'!D5</f>
        <v>251</v>
      </c>
      <c r="E5" s="28">
        <f>+'4 BS Expanded'!E5</f>
        <v>280</v>
      </c>
      <c r="F5" s="28">
        <f>+'4 BS Expanded'!F5</f>
        <v>281</v>
      </c>
      <c r="G5" s="28">
        <f>+'4 BS Expanded'!G5</f>
        <v>321</v>
      </c>
    </row>
    <row r="6" spans="1:7" x14ac:dyDescent="0.3">
      <c r="A6" s="14" t="s">
        <v>337</v>
      </c>
      <c r="B6" s="1" t="str">
        <f>IF(IFERROR(VLOOKUP(A6,'4 BS Expanded'!A:C,2,),"")&gt;"",IFERROR(VLOOKUP(A6,'4 BS Expanded'!A:C,2,),""),IFERROR(VLOOKUP(A6,'4 BS Expanded'!A:C,3,),""))</f>
        <v>Operating</v>
      </c>
      <c r="D6" s="28">
        <f>+'4 BS Expanded'!D6</f>
        <v>1169</v>
      </c>
      <c r="E6" s="28">
        <f>+'4 BS Expanded'!E6</f>
        <v>1106</v>
      </c>
      <c r="F6" s="28">
        <f>+'4 BS Expanded'!F6</f>
        <v>1250</v>
      </c>
      <c r="G6" s="28">
        <f>+'4 BS Expanded'!G6</f>
        <v>1163</v>
      </c>
    </row>
    <row r="7" spans="1:7" x14ac:dyDescent="0.3">
      <c r="A7" s="14" t="s">
        <v>338</v>
      </c>
      <c r="B7" s="1" t="str">
        <f>IF(IFERROR(VLOOKUP(A7,'4 BS Expanded'!A:C,2,),"")&gt;"",IFERROR(VLOOKUP(A7,'4 BS Expanded'!A:C,2,),""),IFERROR(VLOOKUP(A7,'4 BS Expanded'!A:C,3,),""))</f>
        <v>Operating</v>
      </c>
      <c r="D7" s="28">
        <f>+'4 BS Expanded'!D7</f>
        <v>-8</v>
      </c>
      <c r="E7" s="28">
        <f>+'4 BS Expanded'!E7</f>
        <v>-8</v>
      </c>
      <c r="F7" s="28">
        <f>+'4 BS Expanded'!F7</f>
        <v>-10</v>
      </c>
      <c r="G7" s="28">
        <f>+'4 BS Expanded'!G7</f>
        <v>-10</v>
      </c>
    </row>
    <row r="8" spans="1:7" x14ac:dyDescent="0.3">
      <c r="A8" s="14" t="s">
        <v>339</v>
      </c>
      <c r="B8" s="1" t="str">
        <f>IF(IFERROR(VLOOKUP(A8,'4 BS Expanded'!A:C,2,),"")&gt;"",IFERROR(VLOOKUP(A8,'4 BS Expanded'!A:C,2,),""),IFERROR(VLOOKUP(A8,'4 BS Expanded'!A:C,3,),""))</f>
        <v>Operating</v>
      </c>
      <c r="D8" s="28">
        <f>+'4 BS Expanded'!D8</f>
        <v>27</v>
      </c>
      <c r="E8" s="28">
        <f>+'4 BS Expanded'!E8</f>
        <v>24</v>
      </c>
      <c r="F8" s="28">
        <f>+'4 BS Expanded'!F8</f>
        <v>23</v>
      </c>
      <c r="G8" s="28">
        <f>+'4 BS Expanded'!G8</f>
        <v>28</v>
      </c>
    </row>
    <row r="9" spans="1:7" x14ac:dyDescent="0.3">
      <c r="A9" s="14" t="s">
        <v>340</v>
      </c>
      <c r="B9" s="1" t="str">
        <f>IF(IFERROR(VLOOKUP(A9,'4 BS Expanded'!A:C,2,),"")&gt;"",IFERROR(VLOOKUP(A9,'4 BS Expanded'!A:C,2,),""),IFERROR(VLOOKUP(A9,'4 BS Expanded'!A:C,3,),""))</f>
        <v>Operating</v>
      </c>
      <c r="D9" s="28">
        <f>+'4 BS Expanded'!D9</f>
        <v>156</v>
      </c>
      <c r="E9" s="28">
        <f>+'4 BS Expanded'!E9</f>
        <v>109</v>
      </c>
      <c r="F9" s="28">
        <f>+'4 BS Expanded'!F9</f>
        <v>126</v>
      </c>
      <c r="G9" s="28">
        <f>+'4 BS Expanded'!G9</f>
        <v>194</v>
      </c>
    </row>
    <row r="10" spans="1:7" x14ac:dyDescent="0.3">
      <c r="A10" s="14" t="s">
        <v>341</v>
      </c>
      <c r="B10" s="1" t="str">
        <f>IF(IFERROR(VLOOKUP(A10,'4 BS Expanded'!A:C,2,),"")&gt;"",IFERROR(VLOOKUP(A10,'4 BS Expanded'!A:C,2,),""),IFERROR(VLOOKUP(A10,'4 BS Expanded'!A:C,3,),""))</f>
        <v>Operating</v>
      </c>
      <c r="D10" s="28">
        <f>+'4 BS Expanded'!D10</f>
        <v>315</v>
      </c>
      <c r="E10" s="28">
        <f>+'4 BS Expanded'!E10</f>
        <v>315</v>
      </c>
      <c r="F10" s="28">
        <f>+'4 BS Expanded'!F10</f>
        <v>333</v>
      </c>
      <c r="G10" s="28">
        <f>+'4 BS Expanded'!G10</f>
        <v>339</v>
      </c>
    </row>
    <row r="11" spans="1:7" x14ac:dyDescent="0.3">
      <c r="A11" s="14" t="s">
        <v>342</v>
      </c>
      <c r="B11" s="1" t="str">
        <f>IF(IFERROR(VLOOKUP(A11,'4 BS Expanded'!A:C,2,),"")&gt;"",IFERROR(VLOOKUP(A11,'4 BS Expanded'!A:C,2,),""),IFERROR(VLOOKUP(A11,'4 BS Expanded'!A:C,3,),""))</f>
        <v>Operating</v>
      </c>
      <c r="D11" s="28">
        <f>+'4 BS Expanded'!D11</f>
        <v>935</v>
      </c>
      <c r="E11" s="28">
        <f>+'4 BS Expanded'!E11</f>
        <v>923</v>
      </c>
      <c r="F11" s="28">
        <f>+'4 BS Expanded'!F11</f>
        <v>884</v>
      </c>
      <c r="G11" s="28">
        <f>+'4 BS Expanded'!G11</f>
        <v>991</v>
      </c>
    </row>
    <row r="12" spans="1:7" x14ac:dyDescent="0.3">
      <c r="A12" s="14" t="s">
        <v>22</v>
      </c>
      <c r="B12" s="1" t="str">
        <f>IF(IFERROR(VLOOKUP(A12,'4 BS Expanded'!A:C,2,),"")&gt;"",IFERROR(VLOOKUP(A12,'4 BS Expanded'!A:C,2,),""),IFERROR(VLOOKUP(A12,'4 BS Expanded'!A:C,3,),""))</f>
        <v>Operating</v>
      </c>
      <c r="D12" s="28">
        <f>+'4 BS Expanded'!D12</f>
        <v>164</v>
      </c>
      <c r="E12" s="28">
        <f>+'4 BS Expanded'!E12</f>
        <v>191</v>
      </c>
      <c r="F12" s="28">
        <f>+'4 BS Expanded'!F12</f>
        <v>149</v>
      </c>
      <c r="G12" s="28">
        <f>+'4 BS Expanded'!G12</f>
        <v>131</v>
      </c>
    </row>
    <row r="13" spans="1:7" x14ac:dyDescent="0.3">
      <c r="A13" s="14" t="s">
        <v>343</v>
      </c>
      <c r="B13" s="51" t="str">
        <f>IF(IFERROR(VLOOKUP(A13,'4 BS Expanded'!A:C,2,),"")&gt;"",IFERROR(VLOOKUP(A13,'4 BS Expanded'!A:C,2,),""),IFERROR(VLOOKUP(A13,'4 BS Expanded'!A:C,3,),""))</f>
        <v>Operating</v>
      </c>
      <c r="D13" s="28">
        <f>+'4 BS Expanded'!D13</f>
        <v>142</v>
      </c>
      <c r="E13" s="28">
        <f>+'4 BS Expanded'!E13</f>
        <v>131</v>
      </c>
      <c r="F13" s="28">
        <f>+'4 BS Expanded'!F13</f>
        <v>111</v>
      </c>
      <c r="G13" s="28">
        <f>+'4 BS Expanded'!G13</f>
        <v>120</v>
      </c>
    </row>
    <row r="14" spans="1:7" x14ac:dyDescent="0.3">
      <c r="A14" s="14" t="s">
        <v>344</v>
      </c>
      <c r="B14" s="1" t="str">
        <f>IF(IFERROR(VLOOKUP(A14,'4 BS Expanded'!A:C,2,),"")&gt;"",IFERROR(VLOOKUP(A14,'4 BS Expanded'!A:C,2,),""),IFERROR(VLOOKUP(A14,'4 BS Expanded'!A:C,3,),""))</f>
        <v>Operating</v>
      </c>
      <c r="D14" s="28">
        <f>+'4 BS Expanded'!D14</f>
        <v>2076</v>
      </c>
      <c r="E14" s="28">
        <f>+'4 BS Expanded'!E14</f>
        <v>2020</v>
      </c>
      <c r="F14" s="28">
        <f>+'4 BS Expanded'!F14</f>
        <v>2200</v>
      </c>
      <c r="G14" s="28">
        <f>+'4 BS Expanded'!G14</f>
        <v>2061</v>
      </c>
    </row>
    <row r="15" spans="1:7" x14ac:dyDescent="0.3">
      <c r="A15" s="14" t="s">
        <v>345</v>
      </c>
      <c r="B15" s="1" t="str">
        <f>IF(IFERROR(VLOOKUP(A15,'4 BS Expanded'!A:C,2,),"")&gt;"",IFERROR(VLOOKUP(A15,'4 BS Expanded'!A:C,2,),""),IFERROR(VLOOKUP(A15,'4 BS Expanded'!A:C,3,),""))</f>
        <v>Operating</v>
      </c>
      <c r="D15" s="28">
        <f>+'4 BS Expanded'!D15</f>
        <v>5617</v>
      </c>
      <c r="E15" s="28">
        <f>+'4 BS Expanded'!E15</f>
        <v>5646</v>
      </c>
      <c r="F15" s="28">
        <f>+'4 BS Expanded'!F15</f>
        <v>6018</v>
      </c>
      <c r="G15" s="28">
        <f>+'4 BS Expanded'!G15</f>
        <v>5971</v>
      </c>
    </row>
    <row r="16" spans="1:7" x14ac:dyDescent="0.3">
      <c r="A16" s="14" t="s">
        <v>346</v>
      </c>
      <c r="B16" s="1" t="str">
        <f>IF(IFERROR(VLOOKUP(A16,'4 BS Expanded'!A:C,2,),"")&gt;"",IFERROR(VLOOKUP(A16,'4 BS Expanded'!A:C,2,),""),IFERROR(VLOOKUP(A16,'4 BS Expanded'!A:C,3,),""))</f>
        <v>Operating</v>
      </c>
      <c r="D16" s="28">
        <f>+'4 BS Expanded'!D16</f>
        <v>328</v>
      </c>
      <c r="E16" s="28">
        <f>+'4 BS Expanded'!E16</f>
        <v>366</v>
      </c>
      <c r="F16" s="28">
        <f>+'4 BS Expanded'!F16</f>
        <v>403</v>
      </c>
      <c r="G16" s="28">
        <f>+'4 BS Expanded'!G16</f>
        <v>438</v>
      </c>
    </row>
    <row r="17" spans="1:9" x14ac:dyDescent="0.3">
      <c r="A17" s="14" t="s">
        <v>347</v>
      </c>
      <c r="B17" s="1" t="str">
        <f>IF(IFERROR(VLOOKUP(A17,'4 BS Expanded'!A:C,2,),"")&gt;"",IFERROR(VLOOKUP(A17,'4 BS Expanded'!A:C,2,),""),IFERROR(VLOOKUP(A17,'4 BS Expanded'!A:C,3,),""))</f>
        <v>Operating</v>
      </c>
      <c r="D17" s="28">
        <f>+'4 BS Expanded'!D17</f>
        <v>694</v>
      </c>
      <c r="E17" s="28">
        <f>+'4 BS Expanded'!E17</f>
        <v>686</v>
      </c>
      <c r="F17" s="28">
        <f>+'4 BS Expanded'!F17</f>
        <v>634</v>
      </c>
      <c r="G17" s="28">
        <f>+'4 BS Expanded'!G17</f>
        <v>583</v>
      </c>
    </row>
    <row r="18" spans="1:9" x14ac:dyDescent="0.3">
      <c r="A18" s="14" t="s">
        <v>348</v>
      </c>
      <c r="B18" s="51" t="str">
        <f>IF(IFERROR(VLOOKUP(A18,'4 BS Expanded'!A:C,2,),"")&gt;"",IFERROR(VLOOKUP(A18,'4 BS Expanded'!A:C,2,),""),IFERROR(VLOOKUP(A18,'4 BS Expanded'!A:C,3,),""))</f>
        <v>Operating</v>
      </c>
      <c r="D18" s="28">
        <f>+'4 BS Expanded'!D18</f>
        <v>-5236</v>
      </c>
      <c r="E18" s="28">
        <f>+'4 BS Expanded'!E18</f>
        <v>-5280</v>
      </c>
      <c r="F18" s="28">
        <f>+'4 BS Expanded'!F18</f>
        <v>-5650</v>
      </c>
      <c r="G18" s="28">
        <f>+'4 BS Expanded'!G18</f>
        <v>-5442</v>
      </c>
    </row>
    <row r="19" spans="1:9" x14ac:dyDescent="0.3">
      <c r="A19" s="14" t="s">
        <v>77</v>
      </c>
      <c r="B19" s="51" t="str">
        <f>IF(IFERROR(VLOOKUP(A19,'4 BS Expanded'!A:C,2,),"")&gt;"",IFERROR(VLOOKUP(A19,'4 BS Expanded'!A:C,2,),""),IFERROR(VLOOKUP(A19,'4 BS Expanded'!A:C,3,),""))</f>
        <v/>
      </c>
      <c r="C19" s="161" t="s">
        <v>187</v>
      </c>
      <c r="D19" s="28">
        <f>+'5 AJE Leases'!B19</f>
        <v>497</v>
      </c>
      <c r="E19" s="28">
        <f>+'5 AJE Leases'!C19</f>
        <v>555</v>
      </c>
      <c r="F19" s="28">
        <f>+'5 AJE Leases'!D19</f>
        <v>420</v>
      </c>
      <c r="G19" s="235">
        <f>+'5 AJE Leases'!E19</f>
        <v>478</v>
      </c>
      <c r="I19" s="236" t="s">
        <v>493</v>
      </c>
    </row>
    <row r="20" spans="1:9" x14ac:dyDescent="0.3">
      <c r="A20" s="14" t="s">
        <v>349</v>
      </c>
      <c r="B20" s="51" t="str">
        <f>IF(IFERROR(VLOOKUP(A20,'4 BS Expanded'!A:C,2,),"")&gt;"",IFERROR(VLOOKUP(A20,'4 BS Expanded'!A:C,2,),""),IFERROR(VLOOKUP(A20,'4 BS Expanded'!A:C,3,),""))</f>
        <v>Operating</v>
      </c>
      <c r="D20" s="28">
        <f>+'4 BS Expanded'!D19</f>
        <v>131</v>
      </c>
      <c r="E20" s="28">
        <f>+'4 BS Expanded'!E19</f>
        <v>131</v>
      </c>
      <c r="F20" s="28">
        <f>+'4 BS Expanded'!F19</f>
        <v>131</v>
      </c>
      <c r="G20" s="28">
        <f>+'4 BS Expanded'!G19</f>
        <v>131</v>
      </c>
    </row>
    <row r="21" spans="1:9" x14ac:dyDescent="0.3">
      <c r="A21" s="14" t="s">
        <v>350</v>
      </c>
      <c r="B21" s="51" t="str">
        <f>IF(IFERROR(VLOOKUP(A21,'4 BS Expanded'!A:C,2,),"")&gt;"",IFERROR(VLOOKUP(A21,'4 BS Expanded'!A:C,2,),""),IFERROR(VLOOKUP(A21,'4 BS Expanded'!A:C,3,),""))</f>
        <v>Operating</v>
      </c>
      <c r="D21" s="28">
        <f>+'4 BS Expanded'!D20</f>
        <v>3568</v>
      </c>
      <c r="E21" s="28">
        <f>+'4 BS Expanded'!E20</f>
        <v>3568</v>
      </c>
      <c r="F21" s="28">
        <f>+'4 BS Expanded'!F20</f>
        <v>3568</v>
      </c>
      <c r="G21" s="28">
        <f>+'4 BS Expanded'!G20</f>
        <v>3568</v>
      </c>
    </row>
    <row r="22" spans="1:9" x14ac:dyDescent="0.3">
      <c r="A22" s="14" t="s">
        <v>351</v>
      </c>
      <c r="B22" s="51" t="str">
        <f>IF(IFERROR(VLOOKUP(A22,'4 BS Expanded'!A:C,2,),"")&gt;"",IFERROR(VLOOKUP(A22,'4 BS Expanded'!A:C,2,),""),IFERROR(VLOOKUP(A22,'4 BS Expanded'!A:C,3,),""))</f>
        <v>Operating</v>
      </c>
      <c r="D22" s="28">
        <f>+'4 BS Expanded'!D21</f>
        <v>82</v>
      </c>
      <c r="E22" s="28">
        <f>+'4 BS Expanded'!E21</f>
        <v>82</v>
      </c>
      <c r="F22" s="28">
        <f>+'4 BS Expanded'!F21</f>
        <v>82</v>
      </c>
      <c r="G22" s="28">
        <f>+'4 BS Expanded'!G21</f>
        <v>82</v>
      </c>
    </row>
    <row r="23" spans="1:9" x14ac:dyDescent="0.3">
      <c r="A23" s="14" t="s">
        <v>352</v>
      </c>
      <c r="B23" s="51" t="str">
        <f>IF(IFERROR(VLOOKUP(A23,'4 BS Expanded'!A:C,2,),"")&gt;"",IFERROR(VLOOKUP(A23,'4 BS Expanded'!A:C,2,),""),IFERROR(VLOOKUP(A23,'4 BS Expanded'!A:C,3,),""))</f>
        <v>Operating</v>
      </c>
      <c r="D23" s="28">
        <f>+'4 BS Expanded'!D22</f>
        <v>456</v>
      </c>
      <c r="E23" s="28">
        <f>+'4 BS Expanded'!E22</f>
        <v>457</v>
      </c>
      <c r="F23" s="28">
        <f>+'4 BS Expanded'!F22</f>
        <v>836</v>
      </c>
      <c r="G23" s="28">
        <f>+'4 BS Expanded'!G22</f>
        <v>830</v>
      </c>
    </row>
    <row r="24" spans="1:9" x14ac:dyDescent="0.3">
      <c r="A24" s="14" t="s">
        <v>353</v>
      </c>
      <c r="B24" s="51" t="str">
        <f>IF(IFERROR(VLOOKUP(A24,'4 BS Expanded'!A:C,2,),"")&gt;"",IFERROR(VLOOKUP(A24,'4 BS Expanded'!A:C,2,),""),IFERROR(VLOOKUP(A24,'4 BS Expanded'!A:C,3,),""))</f>
        <v>Operating</v>
      </c>
      <c r="D24" s="28">
        <f>+'4 BS Expanded'!D23</f>
        <v>431</v>
      </c>
      <c r="E24" s="28">
        <f>+'4 BS Expanded'!E23</f>
        <v>376</v>
      </c>
      <c r="F24" s="28">
        <f>+'4 BS Expanded'!F23</f>
        <v>414</v>
      </c>
      <c r="G24" s="28">
        <f>+'4 BS Expanded'!G23</f>
        <v>392</v>
      </c>
    </row>
    <row r="25" spans="1:9" x14ac:dyDescent="0.3">
      <c r="A25" s="14" t="s">
        <v>354</v>
      </c>
      <c r="B25" s="51" t="str">
        <f>IF(IFERROR(VLOOKUP(A25,'4 BS Expanded'!A:C,2,),"")&gt;"",IFERROR(VLOOKUP(A25,'4 BS Expanded'!A:C,2,),""),IFERROR(VLOOKUP(A25,'4 BS Expanded'!A:C,3,),""))</f>
        <v>Operating</v>
      </c>
      <c r="D25" s="28">
        <f>+'4 BS Expanded'!D24</f>
        <v>76</v>
      </c>
      <c r="E25" s="28">
        <f>+'4 BS Expanded'!E24</f>
        <v>328</v>
      </c>
      <c r="F25" s="28">
        <f>+'4 BS Expanded'!F24</f>
        <v>244</v>
      </c>
      <c r="G25" s="28">
        <f>+'4 BS Expanded'!G24</f>
        <v>218</v>
      </c>
    </row>
    <row r="26" spans="1:9" x14ac:dyDescent="0.3">
      <c r="A26" s="14" t="s">
        <v>355</v>
      </c>
      <c r="B26" s="51" t="str">
        <f>IF(IFERROR(VLOOKUP(A26,'4 BS Expanded'!A:C,2,),"")&gt;"",IFERROR(VLOOKUP(A26,'4 BS Expanded'!A:C,2,),""),IFERROR(VLOOKUP(A26,'4 BS Expanded'!A:C,3,),""))</f>
        <v>Operating</v>
      </c>
      <c r="D26" s="28">
        <f>+'4 BS Expanded'!D25</f>
        <v>224</v>
      </c>
      <c r="E26" s="28">
        <f>+'4 BS Expanded'!E25</f>
        <v>224</v>
      </c>
      <c r="F26" s="28">
        <f>+'4 BS Expanded'!F25</f>
        <v>229</v>
      </c>
      <c r="G26" s="28">
        <f>+'4 BS Expanded'!G25</f>
        <v>829</v>
      </c>
    </row>
    <row r="27" spans="1:9" x14ac:dyDescent="0.3">
      <c r="A27" s="14" t="s">
        <v>356</v>
      </c>
      <c r="B27" s="51" t="str">
        <f>IF(IFERROR(VLOOKUP(A27,'4 BS Expanded'!A:C,2,),"")&gt;"",IFERROR(VLOOKUP(A27,'4 BS Expanded'!A:C,2,),""),IFERROR(VLOOKUP(A27,'4 BS Expanded'!A:C,3,),""))</f>
        <v>Operating</v>
      </c>
      <c r="D27" s="28">
        <f>+'4 BS Expanded'!D26</f>
        <v>8</v>
      </c>
      <c r="E27" s="28">
        <f>+'4 BS Expanded'!E26</f>
        <v>8</v>
      </c>
      <c r="F27" s="28">
        <f>+'4 BS Expanded'!F26</f>
        <v>8</v>
      </c>
      <c r="G27" s="28">
        <f>+'4 BS Expanded'!G26</f>
        <v>8</v>
      </c>
    </row>
    <row r="28" spans="1:9" x14ac:dyDescent="0.3">
      <c r="A28" s="14" t="s">
        <v>357</v>
      </c>
      <c r="B28" s="51" t="str">
        <f>IF(IFERROR(VLOOKUP(A28,'4 BS Expanded'!A:C,2,),"")&gt;"",IFERROR(VLOOKUP(A28,'4 BS Expanded'!A:C,2,),""),IFERROR(VLOOKUP(A28,'4 BS Expanded'!A:C,3,),""))</f>
        <v>Operating</v>
      </c>
      <c r="D28" s="28">
        <f>+'4 BS Expanded'!D27</f>
        <v>42</v>
      </c>
      <c r="E28" s="28">
        <f>+'4 BS Expanded'!E27</f>
        <v>42</v>
      </c>
      <c r="F28" s="28">
        <f>+'4 BS Expanded'!F27</f>
        <v>42</v>
      </c>
      <c r="G28" s="28">
        <f>+'4 BS Expanded'!G27</f>
        <v>42</v>
      </c>
    </row>
    <row r="29" spans="1:9" x14ac:dyDescent="0.3">
      <c r="A29" s="14" t="s">
        <v>358</v>
      </c>
      <c r="B29" s="51" t="str">
        <f>IF(IFERROR(VLOOKUP(A29,'4 BS Expanded'!A:C,2,),"")&gt;"",IFERROR(VLOOKUP(A29,'4 BS Expanded'!A:C,2,),""),IFERROR(VLOOKUP(A29,'4 BS Expanded'!A:C,3,),""))</f>
        <v>Operating</v>
      </c>
      <c r="D29" s="28">
        <f>+'4 BS Expanded'!D28</f>
        <v>5</v>
      </c>
      <c r="E29" s="28">
        <f>+'4 BS Expanded'!E28</f>
        <v>5</v>
      </c>
      <c r="F29" s="28">
        <f>+'4 BS Expanded'!F28</f>
        <v>22</v>
      </c>
      <c r="G29" s="28">
        <f>+'4 BS Expanded'!G28</f>
        <v>24</v>
      </c>
    </row>
    <row r="30" spans="1:9" x14ac:dyDescent="0.3">
      <c r="A30" s="14" t="s">
        <v>359</v>
      </c>
      <c r="B30" s="51" t="str">
        <f>IF(IFERROR(VLOOKUP(A30,'4 BS Expanded'!A:C,2,),"")&gt;"",IFERROR(VLOOKUP(A30,'4 BS Expanded'!A:C,2,),""),IFERROR(VLOOKUP(A30,'4 BS Expanded'!A:C,3,),""))</f>
        <v>Operating</v>
      </c>
      <c r="D30" s="28">
        <f>+'4 BS Expanded'!D29</f>
        <v>45</v>
      </c>
      <c r="E30" s="28">
        <f>+'4 BS Expanded'!E29</f>
        <v>40</v>
      </c>
      <c r="F30" s="28">
        <f>+'4 BS Expanded'!F29</f>
        <v>45</v>
      </c>
      <c r="G30" s="28">
        <f>+'4 BS Expanded'!G29</f>
        <v>43</v>
      </c>
    </row>
    <row r="31" spans="1:9" x14ac:dyDescent="0.3">
      <c r="A31" s="14" t="s">
        <v>360</v>
      </c>
      <c r="B31" s="51" t="str">
        <f>IF(IFERROR(VLOOKUP(A31,'4 BS Expanded'!A:C,2,),"")&gt;"",IFERROR(VLOOKUP(A31,'4 BS Expanded'!A:C,2,),""),IFERROR(VLOOKUP(A31,'4 BS Expanded'!A:C,3,),""))</f>
        <v>Operating</v>
      </c>
      <c r="D31" s="28">
        <f>+'4 BS Expanded'!D30</f>
        <v>6</v>
      </c>
      <c r="E31" s="28">
        <f>+'4 BS Expanded'!E30</f>
        <v>36</v>
      </c>
      <c r="F31" s="28">
        <f>+'4 BS Expanded'!F30</f>
        <v>74</v>
      </c>
      <c r="G31" s="28">
        <f>+'4 BS Expanded'!G30</f>
        <v>63</v>
      </c>
    </row>
    <row r="32" spans="1:9" x14ac:dyDescent="0.3">
      <c r="A32" s="14" t="s">
        <v>361</v>
      </c>
      <c r="B32" s="51" t="str">
        <f>IF(IFERROR(VLOOKUP(A32,'4 BS Expanded'!A:C,2,),"")&gt;"",IFERROR(VLOOKUP(A32,'4 BS Expanded'!A:C,2,),""),IFERROR(VLOOKUP(A32,'4 BS Expanded'!A:C,3,),""))</f>
        <v>Operating</v>
      </c>
      <c r="D32" s="28">
        <f>+'4 BS Expanded'!D31</f>
        <v>10</v>
      </c>
      <c r="E32" s="28">
        <f>+'4 BS Expanded'!E31</f>
        <v>10</v>
      </c>
      <c r="F32" s="28">
        <f>+'4 BS Expanded'!F31</f>
        <v>10</v>
      </c>
      <c r="G32" s="28">
        <f>+'4 BS Expanded'!G31</f>
        <v>428</v>
      </c>
    </row>
    <row r="33" spans="1:7" x14ac:dyDescent="0.3">
      <c r="A33" s="14" t="s">
        <v>362</v>
      </c>
      <c r="B33" s="51" t="str">
        <f>IF(IFERROR(VLOOKUP(A33,'4 BS Expanded'!A:C,2,),"")&gt;"",IFERROR(VLOOKUP(A33,'4 BS Expanded'!A:C,2,),""),IFERROR(VLOOKUP(A33,'4 BS Expanded'!A:C,3,),""))</f>
        <v>Operating</v>
      </c>
      <c r="D33" s="28">
        <f>+'4 BS Expanded'!D32</f>
        <v>-8</v>
      </c>
      <c r="E33" s="28">
        <f>+'4 BS Expanded'!E32</f>
        <v>-8</v>
      </c>
      <c r="F33" s="28">
        <f>+'4 BS Expanded'!F32</f>
        <v>-8</v>
      </c>
      <c r="G33" s="28">
        <f>+'4 BS Expanded'!G32</f>
        <v>-8</v>
      </c>
    </row>
    <row r="34" spans="1:7" x14ac:dyDescent="0.3">
      <c r="A34" s="14" t="s">
        <v>363</v>
      </c>
      <c r="B34" s="51" t="str">
        <f>IF(IFERROR(VLOOKUP(A34,'4 BS Expanded'!A:C,2,),"")&gt;"",IFERROR(VLOOKUP(A34,'4 BS Expanded'!A:C,2,),""),IFERROR(VLOOKUP(A34,'4 BS Expanded'!A:C,3,),""))</f>
        <v>Operating</v>
      </c>
      <c r="D34" s="28">
        <f>+'4 BS Expanded'!D33</f>
        <v>-16</v>
      </c>
      <c r="E34" s="28">
        <f>+'4 BS Expanded'!E33</f>
        <v>-19</v>
      </c>
      <c r="F34" s="28">
        <f>+'4 BS Expanded'!F33</f>
        <v>-22</v>
      </c>
      <c r="G34" s="28">
        <f>+'4 BS Expanded'!G33</f>
        <v>-25</v>
      </c>
    </row>
    <row r="35" spans="1:7" x14ac:dyDescent="0.3">
      <c r="A35" s="14" t="s">
        <v>364</v>
      </c>
      <c r="B35" s="51" t="str">
        <f>IF(IFERROR(VLOOKUP(A35,'4 BS Expanded'!A:C,2,),"")&gt;"",IFERROR(VLOOKUP(A35,'4 BS Expanded'!A:C,2,),""),IFERROR(VLOOKUP(A35,'4 BS Expanded'!A:C,3,),""))</f>
        <v>Operating</v>
      </c>
      <c r="D35" s="28">
        <f>+'4 BS Expanded'!D34</f>
        <v>-4</v>
      </c>
      <c r="E35" s="28">
        <f>+'4 BS Expanded'!E34</f>
        <v>-4</v>
      </c>
      <c r="F35" s="28">
        <f>+'4 BS Expanded'!F34</f>
        <v>-5</v>
      </c>
      <c r="G35" s="28">
        <f>+'4 BS Expanded'!G34</f>
        <v>-6</v>
      </c>
    </row>
    <row r="36" spans="1:7" x14ac:dyDescent="0.3">
      <c r="A36" s="14" t="s">
        <v>365</v>
      </c>
      <c r="B36" s="51" t="str">
        <f>IF(IFERROR(VLOOKUP(A36,'4 BS Expanded'!A:C,2,),"")&gt;"",IFERROR(VLOOKUP(A36,'4 BS Expanded'!A:C,2,),""),IFERROR(VLOOKUP(A36,'4 BS Expanded'!A:C,3,),""))</f>
        <v>Operating</v>
      </c>
      <c r="D36" s="28">
        <f>+'4 BS Expanded'!D35</f>
        <v>-11</v>
      </c>
      <c r="E36" s="28">
        <f>+'4 BS Expanded'!E35</f>
        <v>-14</v>
      </c>
      <c r="F36" s="28">
        <f>+'4 BS Expanded'!F35</f>
        <v>-18</v>
      </c>
      <c r="G36" s="28">
        <f>+'4 BS Expanded'!G35</f>
        <v>-20</v>
      </c>
    </row>
    <row r="37" spans="1:7" x14ac:dyDescent="0.3">
      <c r="A37" s="14" t="s">
        <v>366</v>
      </c>
      <c r="B37" s="51" t="str">
        <f>IF(IFERROR(VLOOKUP(A37,'4 BS Expanded'!A:C,2,),"")&gt;"",IFERROR(VLOOKUP(A37,'4 BS Expanded'!A:C,2,),""),IFERROR(VLOOKUP(A37,'4 BS Expanded'!A:C,3,),""))</f>
        <v>Operating</v>
      </c>
      <c r="D37" s="28">
        <f>+'4 BS Expanded'!D36</f>
        <v>-6</v>
      </c>
      <c r="E37" s="28">
        <f>+'4 BS Expanded'!E36</f>
        <v>-6</v>
      </c>
      <c r="F37" s="28">
        <f>+'4 BS Expanded'!F36</f>
        <v>-10</v>
      </c>
      <c r="G37" s="28">
        <f>+'4 BS Expanded'!G36</f>
        <v>-12</v>
      </c>
    </row>
    <row r="38" spans="1:7" x14ac:dyDescent="0.3">
      <c r="A38" s="14" t="s">
        <v>367</v>
      </c>
      <c r="B38" s="51" t="str">
        <f>IF(IFERROR(VLOOKUP(A38,'4 BS Expanded'!A:C,2,),"")&gt;"",IFERROR(VLOOKUP(A38,'4 BS Expanded'!A:C,2,),""),IFERROR(VLOOKUP(A38,'4 BS Expanded'!A:C,3,),""))</f>
        <v>Operating</v>
      </c>
      <c r="D38" s="28">
        <f>+'4 BS Expanded'!D37</f>
        <v>-2</v>
      </c>
      <c r="E38" s="28">
        <f>+'4 BS Expanded'!E37</f>
        <v>-3</v>
      </c>
      <c r="F38" s="28">
        <f>+'4 BS Expanded'!F37</f>
        <v>-4</v>
      </c>
      <c r="G38" s="28">
        <f>+'4 BS Expanded'!G37</f>
        <v>-16</v>
      </c>
    </row>
    <row r="39" spans="1:7" x14ac:dyDescent="0.3">
      <c r="A39" s="14" t="s">
        <v>368</v>
      </c>
      <c r="B39" s="51" t="str">
        <f>IF(IFERROR(VLOOKUP(A39,'4 BS Expanded'!A:C,2,),"")&gt;"",IFERROR(VLOOKUP(A39,'4 BS Expanded'!A:C,2,),""),IFERROR(VLOOKUP(A39,'4 BS Expanded'!A:C,3,),""))</f>
        <v>Operating</v>
      </c>
      <c r="D39" s="28">
        <f>+'4 BS Expanded'!D38</f>
        <v>1625</v>
      </c>
      <c r="E39" s="28">
        <f>+'4 BS Expanded'!E38</f>
        <v>1625</v>
      </c>
      <c r="F39" s="28">
        <f>+'4 BS Expanded'!F38</f>
        <v>1625</v>
      </c>
      <c r="G39" s="28">
        <f>+'4 BS Expanded'!G38</f>
        <v>1625</v>
      </c>
    </row>
    <row r="40" spans="1:7" x14ac:dyDescent="0.3">
      <c r="A40" s="14" t="s">
        <v>369</v>
      </c>
      <c r="B40" s="51" t="str">
        <f>IF(IFERROR(VLOOKUP(A40,'4 BS Expanded'!A:C,2,),"")&gt;"",IFERROR(VLOOKUP(A40,'4 BS Expanded'!A:C,2,),""),IFERROR(VLOOKUP(A40,'4 BS Expanded'!A:C,3,),""))</f>
        <v>Operating</v>
      </c>
      <c r="D40" s="28">
        <f>+'4 BS Expanded'!D39</f>
        <v>158</v>
      </c>
      <c r="E40" s="28">
        <f>+'4 BS Expanded'!E39</f>
        <v>176</v>
      </c>
      <c r="F40" s="28">
        <f>+'4 BS Expanded'!F39</f>
        <v>360</v>
      </c>
      <c r="G40" s="28">
        <f>+'4 BS Expanded'!G39</f>
        <v>360</v>
      </c>
    </row>
    <row r="41" spans="1:7" x14ac:dyDescent="0.3">
      <c r="A41" s="14" t="s">
        <v>370</v>
      </c>
      <c r="B41" s="51" t="str">
        <f>IF(IFERROR(VLOOKUP(A41,'4 BS Expanded'!A:C,2,),"")&gt;"",IFERROR(VLOOKUP(A41,'4 BS Expanded'!A:C,2,),""),IFERROR(VLOOKUP(A41,'4 BS Expanded'!A:C,3,),""))</f>
        <v>Operating</v>
      </c>
      <c r="D41" s="28">
        <f>+'4 BS Expanded'!D40</f>
        <v>416</v>
      </c>
      <c r="E41" s="28">
        <f>+'4 BS Expanded'!E40</f>
        <v>383</v>
      </c>
      <c r="F41" s="28">
        <f>+'4 BS Expanded'!F40</f>
        <v>434</v>
      </c>
      <c r="G41" s="28">
        <f>+'4 BS Expanded'!G40</f>
        <v>415</v>
      </c>
    </row>
    <row r="42" spans="1:7" x14ac:dyDescent="0.3">
      <c r="A42" s="14" t="s">
        <v>371</v>
      </c>
      <c r="B42" s="51" t="str">
        <f>IF(IFERROR(VLOOKUP(A42,'4 BS Expanded'!A:C,2,),"")&gt;"",IFERROR(VLOOKUP(A42,'4 BS Expanded'!A:C,2,),""),IFERROR(VLOOKUP(A42,'4 BS Expanded'!A:C,3,),""))</f>
        <v>Operating</v>
      </c>
      <c r="D42" s="28">
        <f>+'4 BS Expanded'!D41</f>
        <v>0</v>
      </c>
      <c r="E42" s="28">
        <f>+'4 BS Expanded'!E41</f>
        <v>98</v>
      </c>
      <c r="F42" s="28">
        <f>+'4 BS Expanded'!F41</f>
        <v>86</v>
      </c>
      <c r="G42" s="28">
        <f>+'4 BS Expanded'!G41</f>
        <v>73</v>
      </c>
    </row>
    <row r="43" spans="1:7" x14ac:dyDescent="0.3">
      <c r="A43" s="14" t="s">
        <v>454</v>
      </c>
      <c r="B43" s="51" t="str">
        <f>IF(IFERROR(VLOOKUP(A43,'4 BS Expanded'!A:C,2,),"")&gt;"",IFERROR(VLOOKUP(A43,'4 BS Expanded'!A:C,2,),""),IFERROR(VLOOKUP(A43,'4 BS Expanded'!A:C,3,),""))</f>
        <v>Operating</v>
      </c>
      <c r="D43" s="28">
        <f>+'4 BS Expanded'!D42</f>
        <v>0</v>
      </c>
      <c r="E43" s="28">
        <f>+'4 BS Expanded'!E42</f>
        <v>0</v>
      </c>
      <c r="F43" s="28">
        <f>+'4 BS Expanded'!F42</f>
        <v>0</v>
      </c>
      <c r="G43" s="28">
        <f>+'4 BS Expanded'!G42</f>
        <v>367</v>
      </c>
    </row>
    <row r="44" spans="1:7" x14ac:dyDescent="0.3">
      <c r="A44" s="14" t="s">
        <v>232</v>
      </c>
      <c r="B44" s="51" t="str">
        <f>IF(IFERROR(VLOOKUP(A44,'4 BS Expanded'!A:C,2,),"")&gt;"",IFERROR(VLOOKUP(A44,'4 BS Expanded'!A:C,2,),""),IFERROR(VLOOKUP(A44,'4 BS Expanded'!A:C,3,),""))</f>
        <v>Operating</v>
      </c>
      <c r="D44" s="28">
        <f>+'4 BS Expanded'!D43</f>
        <v>456</v>
      </c>
      <c r="E44" s="28">
        <f>+'4 BS Expanded'!E43</f>
        <v>438</v>
      </c>
      <c r="F44" s="28">
        <f>+'4 BS Expanded'!F43</f>
        <v>429</v>
      </c>
      <c r="G44" s="28">
        <f>+'4 BS Expanded'!G43</f>
        <v>413</v>
      </c>
    </row>
    <row r="45" spans="1:7" x14ac:dyDescent="0.3">
      <c r="A45" s="14" t="s">
        <v>372</v>
      </c>
      <c r="B45" s="51" t="str">
        <f>IF(IFERROR(VLOOKUP(A45,'4 BS Expanded'!A:C,2,),"")&gt;"",IFERROR(VLOOKUP(A45,'4 BS Expanded'!A:C,2,),""),IFERROR(VLOOKUP(A45,'4 BS Expanded'!A:C,3,),""))</f>
        <v>Operating</v>
      </c>
      <c r="D45" s="28">
        <f>+'4 BS Expanded'!D44</f>
        <v>13</v>
      </c>
      <c r="E45" s="28">
        <f>+'4 BS Expanded'!E44</f>
        <v>0</v>
      </c>
      <c r="F45" s="28">
        <f>+'4 BS Expanded'!F44</f>
        <v>0</v>
      </c>
      <c r="G45" s="28">
        <f>+'4 BS Expanded'!G44</f>
        <v>0</v>
      </c>
    </row>
    <row r="46" spans="1:7" x14ac:dyDescent="0.3">
      <c r="A46" s="14" t="s">
        <v>373</v>
      </c>
      <c r="B46" s="51" t="str">
        <f>IF(IFERROR(VLOOKUP(A46,'4 BS Expanded'!A:C,2,),"")&gt;"",IFERROR(VLOOKUP(A46,'4 BS Expanded'!A:C,2,),""),IFERROR(VLOOKUP(A46,'4 BS Expanded'!A:C,3,),""))</f>
        <v>Operating</v>
      </c>
      <c r="D46" s="28">
        <f>+'4 BS Expanded'!D45</f>
        <v>15</v>
      </c>
      <c r="E46" s="28">
        <f>+'4 BS Expanded'!E45</f>
        <v>17</v>
      </c>
      <c r="F46" s="28">
        <f>+'4 BS Expanded'!F45</f>
        <v>22</v>
      </c>
      <c r="G46" s="28">
        <f>+'4 BS Expanded'!G45</f>
        <v>11</v>
      </c>
    </row>
    <row r="47" spans="1:7" x14ac:dyDescent="0.3">
      <c r="A47" s="14" t="s">
        <v>374</v>
      </c>
      <c r="B47" s="51" t="str">
        <f>IF(IFERROR(VLOOKUP(A47,'4 BS Expanded'!A:C,2,),"")&gt;"",IFERROR(VLOOKUP(A47,'4 BS Expanded'!A:C,2,),""),IFERROR(VLOOKUP(A47,'4 BS Expanded'!A:C,3,),""))</f>
        <v>Operating</v>
      </c>
      <c r="D47" s="28">
        <f>+'4 BS Expanded'!D46</f>
        <v>21</v>
      </c>
      <c r="E47" s="28">
        <f>+'4 BS Expanded'!E46</f>
        <v>42</v>
      </c>
      <c r="F47" s="28">
        <f>+'4 BS Expanded'!F46</f>
        <v>26</v>
      </c>
      <c r="G47" s="28">
        <f>+'4 BS Expanded'!G46</f>
        <v>20</v>
      </c>
    </row>
    <row r="48" spans="1:7" x14ac:dyDescent="0.3">
      <c r="A48" s="14" t="s">
        <v>375</v>
      </c>
      <c r="B48" s="51" t="str">
        <f>IF(IFERROR(VLOOKUP(A48,'4 BS Expanded'!A:C,2,),"")&gt;"",IFERROR(VLOOKUP(A48,'4 BS Expanded'!A:C,2,),""),IFERROR(VLOOKUP(A48,'4 BS Expanded'!A:C,3,),""))</f>
        <v>Operating</v>
      </c>
      <c r="D48" s="28">
        <f>+'4 BS Expanded'!D47</f>
        <v>31</v>
      </c>
      <c r="E48" s="28">
        <f>+'4 BS Expanded'!E47</f>
        <v>28</v>
      </c>
      <c r="F48" s="28">
        <f>+'4 BS Expanded'!F47</f>
        <v>20</v>
      </c>
      <c r="G48" s="28">
        <f>+'4 BS Expanded'!G47</f>
        <v>14</v>
      </c>
    </row>
    <row r="49" spans="1:9" x14ac:dyDescent="0.3">
      <c r="A49" s="14" t="s">
        <v>376</v>
      </c>
      <c r="B49" s="51" t="str">
        <f>IF(IFERROR(VLOOKUP(A49,'4 BS Expanded'!A:C,2,),"")&gt;"",IFERROR(VLOOKUP(A49,'4 BS Expanded'!A:C,2,),""),IFERROR(VLOOKUP(A49,'4 BS Expanded'!A:C,3,),""))</f>
        <v>Financial</v>
      </c>
      <c r="D49" s="28">
        <f>+'4 BS Expanded'!D48</f>
        <v>366</v>
      </c>
      <c r="E49" s="28">
        <f>+'4 BS Expanded'!E48</f>
        <v>403</v>
      </c>
      <c r="F49" s="28">
        <f>+'4 BS Expanded'!F48</f>
        <v>154</v>
      </c>
      <c r="G49" s="28">
        <f>+'4 BS Expanded'!G48</f>
        <v>132</v>
      </c>
    </row>
    <row r="50" spans="1:9" x14ac:dyDescent="0.3">
      <c r="A50" s="14" t="s">
        <v>377</v>
      </c>
      <c r="B50" s="51" t="str">
        <f>IF(IFERROR(VLOOKUP(A50,'4 BS Expanded'!A:C,2,),"")&gt;"",IFERROR(VLOOKUP(A50,'4 BS Expanded'!A:C,2,),""),IFERROR(VLOOKUP(A50,'4 BS Expanded'!A:C,3,),""))</f>
        <v>Operating</v>
      </c>
      <c r="D50" s="28">
        <f>+'4 BS Expanded'!D49</f>
        <v>55</v>
      </c>
      <c r="E50" s="28">
        <f>+'4 BS Expanded'!E49</f>
        <v>181</v>
      </c>
      <c r="F50" s="28">
        <f>+'4 BS Expanded'!F49</f>
        <v>239</v>
      </c>
      <c r="G50" s="28">
        <f>+'4 BS Expanded'!G49</f>
        <v>270</v>
      </c>
    </row>
    <row r="51" spans="1:9" x14ac:dyDescent="0.3">
      <c r="A51" s="14" t="s">
        <v>378</v>
      </c>
      <c r="B51" s="51" t="str">
        <f>IF(IFERROR(VLOOKUP(A51,'4 BS Expanded'!A:C,2,),"")&gt;"",IFERROR(VLOOKUP(A51,'4 BS Expanded'!A:C,2,),""),IFERROR(VLOOKUP(A51,'4 BS Expanded'!A:C,3,),""))</f>
        <v>Operating</v>
      </c>
      <c r="D51" s="28">
        <f>+'4 BS Expanded'!D50</f>
        <v>43</v>
      </c>
      <c r="E51" s="28">
        <f>+'4 BS Expanded'!E50</f>
        <v>0</v>
      </c>
      <c r="F51" s="28">
        <f>+'4 BS Expanded'!F50</f>
        <v>42</v>
      </c>
      <c r="G51" s="28">
        <f>+'4 BS Expanded'!G50</f>
        <v>10</v>
      </c>
    </row>
    <row r="52" spans="1:9" x14ac:dyDescent="0.3">
      <c r="A52" s="14" t="s">
        <v>379</v>
      </c>
      <c r="B52" s="51" t="str">
        <f>IF(IFERROR(VLOOKUP(A52,'4 BS Expanded'!A:C,2,),"")&gt;"",IFERROR(VLOOKUP(A52,'4 BS Expanded'!A:C,2,),""),IFERROR(VLOOKUP(A52,'4 BS Expanded'!A:C,3,),""))</f>
        <v>Financial</v>
      </c>
      <c r="D52" s="28">
        <f>+'4 BS Expanded'!D51</f>
        <v>35</v>
      </c>
      <c r="E52" s="28">
        <f>+'4 BS Expanded'!E51</f>
        <v>38</v>
      </c>
      <c r="F52" s="28">
        <f>+'4 BS Expanded'!F51</f>
        <v>25</v>
      </c>
      <c r="G52" s="28">
        <f>+'4 BS Expanded'!G51</f>
        <v>20</v>
      </c>
    </row>
    <row r="53" spans="1:9" x14ac:dyDescent="0.3">
      <c r="A53" s="14" t="s">
        <v>380</v>
      </c>
      <c r="B53" s="51" t="str">
        <f>IF(IFERROR(VLOOKUP(A53,'4 BS Expanded'!A:C,2,),"")&gt;"",IFERROR(VLOOKUP(A53,'4 BS Expanded'!A:C,2,),""),IFERROR(VLOOKUP(A53,'4 BS Expanded'!A:C,3,),""))</f>
        <v>Financial</v>
      </c>
      <c r="D53" s="28">
        <f>+'5 AJE Options'!C67+'4 BS Expanded'!D52</f>
        <v>141.20316699999995</v>
      </c>
      <c r="E53" s="28">
        <f>+'5 AJE Options'!C67+'5 AJE Options'!C72+'4 BS Expanded'!E52</f>
        <v>106.84825099999996</v>
      </c>
      <c r="F53" s="28">
        <f>+'5 AJE Options'!D67+'5 AJE Options'!D72+'4 BS Expanded'!F52</f>
        <v>45.748163400000003</v>
      </c>
      <c r="G53" s="235">
        <f>+'5 AJE Options'!E67+'5 AJE Options'!E72+'4 BS Expanded'!G52</f>
        <v>31</v>
      </c>
      <c r="I53" s="236" t="s">
        <v>492</v>
      </c>
    </row>
    <row r="54" spans="1:9" x14ac:dyDescent="0.3">
      <c r="A54" s="14" t="s">
        <v>381</v>
      </c>
      <c r="B54" s="51" t="str">
        <f>IF(IFERROR(VLOOKUP(A54,'4 BS Expanded'!A:C,2,),"")&gt;"",IFERROR(VLOOKUP(A54,'4 BS Expanded'!A:C,2,),""),IFERROR(VLOOKUP(A54,'4 BS Expanded'!A:C,3,),""))</f>
        <v>Operating</v>
      </c>
      <c r="D54" s="28">
        <f>+'4 BS Expanded'!D53</f>
        <v>86</v>
      </c>
      <c r="E54" s="28">
        <f>+'4 BS Expanded'!E53</f>
        <v>31</v>
      </c>
      <c r="F54" s="28">
        <f>+'4 BS Expanded'!F53</f>
        <v>71</v>
      </c>
      <c r="G54" s="28">
        <f>+'4 BS Expanded'!G53</f>
        <v>26</v>
      </c>
    </row>
    <row r="55" spans="1:9" x14ac:dyDescent="0.3">
      <c r="A55" s="14" t="s">
        <v>382</v>
      </c>
      <c r="B55" s="51" t="str">
        <f>IF(IFERROR(VLOOKUP(A55,'4 BS Expanded'!A:C,2,),"")&gt;"",IFERROR(VLOOKUP(A55,'4 BS Expanded'!A:C,2,),""),IFERROR(VLOOKUP(A55,'4 BS Expanded'!A:C,3,),""))</f>
        <v>Operating</v>
      </c>
      <c r="D55" s="28">
        <f>+'4 BS Expanded'!D54</f>
        <v>-63</v>
      </c>
      <c r="E55" s="28">
        <f>+'4 BS Expanded'!E54</f>
        <v>-131</v>
      </c>
      <c r="F55" s="28">
        <f>+'4 BS Expanded'!F54</f>
        <v>-153</v>
      </c>
      <c r="G55" s="28">
        <f>+'4 BS Expanded'!G54</f>
        <v>-166</v>
      </c>
    </row>
    <row r="56" spans="1:9" x14ac:dyDescent="0.3">
      <c r="A56" s="14" t="s">
        <v>383</v>
      </c>
      <c r="B56" s="51" t="str">
        <f>IF(IFERROR(VLOOKUP(A56,'4 BS Expanded'!A:C,2,),"")&gt;"",IFERROR(VLOOKUP(A56,'4 BS Expanded'!A:C,2,),""),IFERROR(VLOOKUP(A56,'4 BS Expanded'!A:C,3,),""))</f>
        <v>Financial</v>
      </c>
      <c r="D56" s="28">
        <f>+'4 BS Expanded'!D55</f>
        <v>4584</v>
      </c>
      <c r="E56" s="28">
        <f>+'4 BS Expanded'!E55</f>
        <v>4544</v>
      </c>
      <c r="F56" s="28">
        <f>+'4 BS Expanded'!F55</f>
        <v>5043</v>
      </c>
      <c r="G56" s="28">
        <f>+'4 BS Expanded'!G55</f>
        <v>4677</v>
      </c>
    </row>
    <row r="57" spans="1:9" x14ac:dyDescent="0.3">
      <c r="A57" s="14" t="s">
        <v>384</v>
      </c>
      <c r="B57" s="51" t="str">
        <f>IF(IFERROR(VLOOKUP(A57,'4 BS Expanded'!A:C,2,),"")&gt;"",IFERROR(VLOOKUP(A57,'4 BS Expanded'!A:C,2,),""),IFERROR(VLOOKUP(A57,'4 BS Expanded'!A:C,3,),""))</f>
        <v>Financial</v>
      </c>
      <c r="D57" s="28">
        <f>+'4 BS Expanded'!D56</f>
        <v>1084</v>
      </c>
      <c r="E57" s="28">
        <f>+'4 BS Expanded'!E56</f>
        <v>1136</v>
      </c>
      <c r="F57" s="28">
        <f>+'4 BS Expanded'!F56</f>
        <v>1292</v>
      </c>
      <c r="G57" s="28">
        <f>+'4 BS Expanded'!G56</f>
        <v>1140</v>
      </c>
    </row>
    <row r="58" spans="1:9" x14ac:dyDescent="0.3">
      <c r="A58" s="14" t="s">
        <v>164</v>
      </c>
      <c r="B58" s="51" t="str">
        <f>IF(IFERROR(VLOOKUP(A58,'4 BS Expanded'!A:C,2,),"")&gt;"",IFERROR(VLOOKUP(A58,'4 BS Expanded'!A:C,2,),""),IFERROR(VLOOKUP(A58,'4 BS Expanded'!A:C,3,),""))</f>
        <v>Operating</v>
      </c>
      <c r="D58" s="28">
        <f>+'4 BS Expanded'!D57</f>
        <v>338</v>
      </c>
      <c r="E58" s="28">
        <f>+'4 BS Expanded'!E57</f>
        <v>376</v>
      </c>
      <c r="F58" s="28">
        <f>+'4 BS Expanded'!F57</f>
        <v>385</v>
      </c>
      <c r="G58" s="28">
        <f>+'4 BS Expanded'!G57</f>
        <v>487</v>
      </c>
    </row>
    <row r="59" spans="1:9" s="74" customFormat="1" ht="15" thickBot="1" x14ac:dyDescent="0.35">
      <c r="A59" s="74" t="s">
        <v>157</v>
      </c>
      <c r="B59" s="191"/>
      <c r="C59" s="191"/>
      <c r="D59" s="192">
        <f>SUM(D5:D58)</f>
        <v>21568.203167</v>
      </c>
      <c r="E59" s="192">
        <f>SUM(E5:E58)</f>
        <v>21808.848250999999</v>
      </c>
      <c r="F59" s="192">
        <f>SUM(F5:F58)</f>
        <v>22955.7481634</v>
      </c>
      <c r="G59" s="192">
        <f>SUM(G5:G58)</f>
        <v>23862</v>
      </c>
    </row>
    <row r="60" spans="1:9" ht="15" thickTop="1" x14ac:dyDescent="0.3">
      <c r="B60" s="51" t="str">
        <f>IFERROR(VLOOKUP(A60,'3 BS Reported'!A:F,8,),"")</f>
        <v/>
      </c>
      <c r="D60" s="28"/>
      <c r="E60" s="28"/>
      <c r="F60" s="28"/>
      <c r="G60" s="28"/>
    </row>
    <row r="61" spans="1:9" x14ac:dyDescent="0.3">
      <c r="A61" s="74" t="s">
        <v>7</v>
      </c>
      <c r="D61" s="28"/>
      <c r="E61" s="28"/>
      <c r="F61" s="28"/>
      <c r="G61" s="28"/>
    </row>
    <row r="62" spans="1:9" s="74" customFormat="1" x14ac:dyDescent="0.3">
      <c r="A62" s="74" t="s">
        <v>158</v>
      </c>
      <c r="B62" s="191"/>
      <c r="C62" s="191"/>
      <c r="D62" s="193"/>
      <c r="E62" s="193"/>
      <c r="F62" s="193"/>
      <c r="G62" s="193"/>
    </row>
    <row r="63" spans="1:9" x14ac:dyDescent="0.3">
      <c r="A63" s="14" t="s">
        <v>233</v>
      </c>
      <c r="B63" s="51" t="str">
        <f>IF(IFERROR(VLOOKUP(A63,'4 BS Expanded'!A:C,2,),"")&gt;"",IFERROR(VLOOKUP(A63,'4 BS Expanded'!A:C,2,),""),IFERROR(VLOOKUP(A63,'4 BS Expanded'!A:C,3,),""))</f>
        <v>Financial</v>
      </c>
      <c r="D63" s="28">
        <f>+'4 BS Expanded'!D62</f>
        <v>-1266</v>
      </c>
      <c r="E63" s="28">
        <f>+'4 BS Expanded'!E62</f>
        <v>-631</v>
      </c>
      <c r="F63" s="28">
        <f>+'4 BS Expanded'!F62</f>
        <v>-409</v>
      </c>
      <c r="G63" s="28">
        <f>+'4 BS Expanded'!G62</f>
        <v>-510</v>
      </c>
    </row>
    <row r="64" spans="1:9" x14ac:dyDescent="0.3">
      <c r="A64" s="14" t="s">
        <v>385</v>
      </c>
      <c r="B64" s="51" t="str">
        <f>IF(IFERROR(VLOOKUP(A64,'4 BS Expanded'!A:C,2,),"")&gt;"",IFERROR(VLOOKUP(A64,'4 BS Expanded'!A:C,2,),""),IFERROR(VLOOKUP(A64,'4 BS Expanded'!A:C,3,),""))</f>
        <v>Financial</v>
      </c>
      <c r="D64" s="28">
        <f>+'4 BS Expanded'!D63</f>
        <v>-899</v>
      </c>
      <c r="E64" s="28">
        <f>+'4 BS Expanded'!E63</f>
        <v>-80</v>
      </c>
      <c r="F64" s="28">
        <f>+'4 BS Expanded'!F63</f>
        <v>-196</v>
      </c>
      <c r="G64" s="28">
        <f>+'4 BS Expanded'!G63</f>
        <v>-15</v>
      </c>
    </row>
    <row r="65" spans="1:7" x14ac:dyDescent="0.3">
      <c r="A65" s="14" t="s">
        <v>386</v>
      </c>
      <c r="B65" s="51" t="str">
        <f>IF(IFERROR(VLOOKUP(A65,'4 BS Expanded'!A:C,2,),"")&gt;"",IFERROR(VLOOKUP(A65,'4 BS Expanded'!A:C,2,),""),IFERROR(VLOOKUP(A65,'4 BS Expanded'!A:C,3,),""))</f>
        <v>Financial</v>
      </c>
      <c r="D65" s="28">
        <f>+'4 BS Expanded'!D64</f>
        <v>-261</v>
      </c>
      <c r="E65" s="28">
        <f>+'4 BS Expanded'!E64</f>
        <v>-306</v>
      </c>
      <c r="F65" s="28">
        <f>+'4 BS Expanded'!F64</f>
        <v>-96</v>
      </c>
      <c r="G65" s="28">
        <f>+'4 BS Expanded'!G64</f>
        <v>0</v>
      </c>
    </row>
    <row r="66" spans="1:7" x14ac:dyDescent="0.3">
      <c r="A66" s="14" t="s">
        <v>387</v>
      </c>
      <c r="B66" s="51" t="str">
        <f>IF(IFERROR(VLOOKUP(A66,'4 BS Expanded'!A:C,2,),"")&gt;"",IFERROR(VLOOKUP(A66,'4 BS Expanded'!A:C,2,),""),IFERROR(VLOOKUP(A66,'4 BS Expanded'!A:C,3,),""))</f>
        <v>Financial</v>
      </c>
      <c r="D66" s="28">
        <f>+'4 BS Expanded'!D65</f>
        <v>-44</v>
      </c>
      <c r="E66" s="28">
        <f>+'4 BS Expanded'!E65</f>
        <v>-52</v>
      </c>
      <c r="F66" s="28">
        <f>+'4 BS Expanded'!F65</f>
        <v>-78</v>
      </c>
      <c r="G66" s="28">
        <f>+'4 BS Expanded'!G65</f>
        <v>-161</v>
      </c>
    </row>
    <row r="67" spans="1:7" x14ac:dyDescent="0.3">
      <c r="A67" s="14" t="s">
        <v>234</v>
      </c>
      <c r="B67" s="51" t="str">
        <f>IF(IFERROR(VLOOKUP(A67,'4 BS Expanded'!A:C,2,),"")&gt;"",IFERROR(VLOOKUP(A67,'4 BS Expanded'!A:C,2,),""),IFERROR(VLOOKUP(A67,'4 BS Expanded'!A:C,3,),""))</f>
        <v>Operating</v>
      </c>
      <c r="D67" s="28">
        <f>+'4 BS Expanded'!D66</f>
        <v>-1907</v>
      </c>
      <c r="E67" s="28">
        <f>+'4 BS Expanded'!E66</f>
        <v>-2014</v>
      </c>
      <c r="F67" s="28">
        <f>+'4 BS Expanded'!F66</f>
        <v>-2269</v>
      </c>
      <c r="G67" s="28">
        <f>+'4 BS Expanded'!G66</f>
        <v>-2427</v>
      </c>
    </row>
    <row r="68" spans="1:7" x14ac:dyDescent="0.3">
      <c r="A68" s="14" t="s">
        <v>388</v>
      </c>
      <c r="B68" s="51" t="str">
        <f>IF(IFERROR(VLOOKUP(A68,'4 BS Expanded'!A:C,2,),"")&gt;"",IFERROR(VLOOKUP(A68,'4 BS Expanded'!A:C,2,),""),IFERROR(VLOOKUP(A68,'4 BS Expanded'!A:C,3,),""))</f>
        <v>Operating</v>
      </c>
      <c r="D68" s="28">
        <f>+'4 BS Expanded'!D67</f>
        <v>-42</v>
      </c>
      <c r="E68" s="28">
        <f>+'4 BS Expanded'!E67</f>
        <v>-47</v>
      </c>
      <c r="F68" s="28">
        <f>+'4 BS Expanded'!F67</f>
        <v>-30</v>
      </c>
      <c r="G68" s="28">
        <f>+'4 BS Expanded'!G67</f>
        <v>-48</v>
      </c>
    </row>
    <row r="69" spans="1:7" x14ac:dyDescent="0.3">
      <c r="A69" s="14" t="s">
        <v>389</v>
      </c>
      <c r="B69" s="51" t="str">
        <f>IF(IFERROR(VLOOKUP(A69,'4 BS Expanded'!A:C,2,),"")&gt;"",IFERROR(VLOOKUP(A69,'4 BS Expanded'!A:C,2,),""),IFERROR(VLOOKUP(A69,'4 BS Expanded'!A:C,3,),""))</f>
        <v>Operating</v>
      </c>
      <c r="D69" s="28">
        <f>+'4 BS Expanded'!D68</f>
        <v>-325</v>
      </c>
      <c r="E69" s="28">
        <f>+'4 BS Expanded'!E68</f>
        <v>-318</v>
      </c>
      <c r="F69" s="28">
        <f>+'4 BS Expanded'!F68</f>
        <v>-311</v>
      </c>
      <c r="G69" s="28">
        <f>+'4 BS Expanded'!G68</f>
        <v>-309</v>
      </c>
    </row>
    <row r="70" spans="1:7" x14ac:dyDescent="0.3">
      <c r="A70" s="14" t="s">
        <v>390</v>
      </c>
      <c r="B70" s="51" t="str">
        <f>IF(IFERROR(VLOOKUP(A70,'4 BS Expanded'!A:C,2,),"")&gt;"",IFERROR(VLOOKUP(A70,'4 BS Expanded'!A:C,2,),""),IFERROR(VLOOKUP(A70,'4 BS Expanded'!A:C,3,),""))</f>
        <v>Operating</v>
      </c>
      <c r="D70" s="28">
        <f>+'4 BS Expanded'!D69</f>
        <v>-447</v>
      </c>
      <c r="E70" s="28">
        <f>+'4 BS Expanded'!E69</f>
        <v>-436</v>
      </c>
      <c r="F70" s="28">
        <f>+'4 BS Expanded'!F69</f>
        <v>-582</v>
      </c>
      <c r="G70" s="28">
        <f>+'4 BS Expanded'!G69</f>
        <v>-557</v>
      </c>
    </row>
    <row r="71" spans="1:7" x14ac:dyDescent="0.3">
      <c r="A71" s="14" t="s">
        <v>391</v>
      </c>
      <c r="B71" s="51" t="str">
        <f>IF(IFERROR(VLOOKUP(A71,'4 BS Expanded'!A:C,2,),"")&gt;"",IFERROR(VLOOKUP(A71,'4 BS Expanded'!A:C,2,),""),IFERROR(VLOOKUP(A71,'4 BS Expanded'!A:C,3,),""))</f>
        <v>Operating</v>
      </c>
      <c r="D71" s="28">
        <f>+'4 BS Expanded'!D70</f>
        <v>-512</v>
      </c>
      <c r="E71" s="28">
        <f>+'4 BS Expanded'!E70</f>
        <v>-569</v>
      </c>
      <c r="F71" s="28">
        <f>+'4 BS Expanded'!F70</f>
        <v>-526</v>
      </c>
      <c r="G71" s="28">
        <f>+'4 BS Expanded'!G70</f>
        <v>-478</v>
      </c>
    </row>
    <row r="72" spans="1:7" x14ac:dyDescent="0.3">
      <c r="A72" s="14" t="s">
        <v>9</v>
      </c>
      <c r="B72" s="51" t="str">
        <f>IF(IFERROR(VLOOKUP(A72,'4 BS Expanded'!A:C,2,),"")&gt;"",IFERROR(VLOOKUP(A72,'4 BS Expanded'!A:C,2,),""),IFERROR(VLOOKUP(A72,'4 BS Expanded'!A:C,3,),""))</f>
        <v>Financial</v>
      </c>
      <c r="D72" s="28">
        <f>+'4 BS Expanded'!D71</f>
        <v>-5289</v>
      </c>
      <c r="E72" s="28">
        <f>+'4 BS Expanded'!E71</f>
        <v>-6698</v>
      </c>
      <c r="F72" s="28">
        <f>+'4 BS Expanded'!F71</f>
        <v>-7836</v>
      </c>
      <c r="G72" s="28">
        <f>+'4 BS Expanded'!G71</f>
        <v>-8207</v>
      </c>
    </row>
    <row r="73" spans="1:7" x14ac:dyDescent="0.3">
      <c r="A73" s="14" t="s">
        <v>392</v>
      </c>
      <c r="B73" s="51" t="str">
        <f>IF(IFERROR(VLOOKUP(A73,'4 BS Expanded'!A:C,2,),"")&gt;"",IFERROR(VLOOKUP(A73,'4 BS Expanded'!A:C,2,),""),IFERROR(VLOOKUP(A73,'4 BS Expanded'!A:C,3,),""))</f>
        <v>Operating</v>
      </c>
      <c r="D73" s="28">
        <f>+'4 BS Expanded'!D72</f>
        <v>-43</v>
      </c>
      <c r="E73" s="28">
        <f>+'4 BS Expanded'!E72</f>
        <v>-34</v>
      </c>
      <c r="F73" s="28">
        <f>+'4 BS Expanded'!F72</f>
        <v>-48</v>
      </c>
      <c r="G73" s="28">
        <f>+'4 BS Expanded'!G72</f>
        <v>-19</v>
      </c>
    </row>
    <row r="74" spans="1:7" x14ac:dyDescent="0.3">
      <c r="A74" s="14" t="s">
        <v>393</v>
      </c>
      <c r="B74" s="51" t="str">
        <f>IF(IFERROR(VLOOKUP(A74,'4 BS Expanded'!A:C,2,),"")&gt;"",IFERROR(VLOOKUP(A74,'4 BS Expanded'!A:C,2,),""),IFERROR(VLOOKUP(A74,'4 BS Expanded'!A:C,3,),""))</f>
        <v>Operating</v>
      </c>
      <c r="D74" s="28">
        <f>+'4 BS Expanded'!D73</f>
        <v>0</v>
      </c>
      <c r="E74" s="28">
        <f>+'4 BS Expanded'!E73</f>
        <v>-51</v>
      </c>
      <c r="F74" s="28">
        <f>+'4 BS Expanded'!F73</f>
        <v>0</v>
      </c>
      <c r="G74" s="28">
        <f>+'4 BS Expanded'!G73</f>
        <v>0</v>
      </c>
    </row>
    <row r="75" spans="1:7" x14ac:dyDescent="0.3">
      <c r="A75" s="14" t="s">
        <v>394</v>
      </c>
      <c r="B75" s="51" t="str">
        <f>IF(IFERROR(VLOOKUP(A75,'4 BS Expanded'!A:C,2,),"")&gt;"",IFERROR(VLOOKUP(A75,'4 BS Expanded'!A:C,2,),""),IFERROR(VLOOKUP(A75,'4 BS Expanded'!A:C,3,),""))</f>
        <v>Operating</v>
      </c>
      <c r="D75" s="28">
        <f>+'4 BS Expanded'!D74</f>
        <v>-345</v>
      </c>
      <c r="E75" s="28">
        <f>+'4 BS Expanded'!E74</f>
        <v>-318</v>
      </c>
      <c r="F75" s="28">
        <f>+'4 BS Expanded'!F74</f>
        <v>-208</v>
      </c>
      <c r="G75" s="28">
        <f>+'4 BS Expanded'!G74</f>
        <v>-220</v>
      </c>
    </row>
    <row r="76" spans="1:7" x14ac:dyDescent="0.3">
      <c r="A76" s="14" t="s">
        <v>395</v>
      </c>
      <c r="B76" s="51" t="str">
        <f>IF(IFERROR(VLOOKUP(A76,'4 BS Expanded'!A:C,2,),"")&gt;"",IFERROR(VLOOKUP(A76,'4 BS Expanded'!A:C,2,),""),IFERROR(VLOOKUP(A76,'4 BS Expanded'!A:C,3,),""))</f>
        <v>Operating</v>
      </c>
      <c r="D76" s="28">
        <f>+'4 BS Expanded'!D75</f>
        <v>-576</v>
      </c>
      <c r="E76" s="28">
        <f>+'4 BS Expanded'!E75</f>
        <v>-602</v>
      </c>
      <c r="F76" s="28">
        <f>+'4 BS Expanded'!F75</f>
        <v>-332</v>
      </c>
      <c r="G76" s="28">
        <f>+'4 BS Expanded'!G75</f>
        <v>-613</v>
      </c>
    </row>
    <row r="77" spans="1:7" x14ac:dyDescent="0.3">
      <c r="A77" s="14" t="s">
        <v>396</v>
      </c>
      <c r="B77" s="51" t="str">
        <f>IF(IFERROR(VLOOKUP(A77,'4 BS Expanded'!A:C,2,),"")&gt;"",IFERROR(VLOOKUP(A77,'4 BS Expanded'!A:C,2,),""),IFERROR(VLOOKUP(A77,'4 BS Expanded'!A:C,3,),""))</f>
        <v>Operating</v>
      </c>
      <c r="D77" s="28">
        <f>+'4 BS Expanded'!D76</f>
        <v>0</v>
      </c>
      <c r="E77" s="28">
        <f>+'4 BS Expanded'!E76</f>
        <v>0</v>
      </c>
      <c r="F77" s="28">
        <f>+'4 BS Expanded'!F76</f>
        <v>0</v>
      </c>
      <c r="G77" s="28">
        <f>+'4 BS Expanded'!G76</f>
        <v>0</v>
      </c>
    </row>
    <row r="78" spans="1:7" x14ac:dyDescent="0.3">
      <c r="A78" s="14" t="s">
        <v>397</v>
      </c>
      <c r="B78" s="51" t="str">
        <f>IF(IFERROR(VLOOKUP(A78,'4 BS Expanded'!A:C,2,),"")&gt;"",IFERROR(VLOOKUP(A78,'4 BS Expanded'!A:C,2,),""),IFERROR(VLOOKUP(A78,'4 BS Expanded'!A:C,3,),""))</f>
        <v>Financial</v>
      </c>
      <c r="D78" s="28">
        <f>+'4 BS Expanded'!D77</f>
        <v>-5316</v>
      </c>
      <c r="E78" s="28">
        <f>+'4 BS Expanded'!E77</f>
        <v>-5510</v>
      </c>
      <c r="F78" s="28">
        <f>+'4 BS Expanded'!F77</f>
        <v>-5648</v>
      </c>
      <c r="G78" s="28">
        <f>+'4 BS Expanded'!G77</f>
        <v>-5117</v>
      </c>
    </row>
    <row r="79" spans="1:7" x14ac:dyDescent="0.3">
      <c r="A79" s="14" t="s">
        <v>398</v>
      </c>
      <c r="B79" s="51" t="str">
        <f>IF(IFERROR(VLOOKUP(A79,'4 BS Expanded'!A:C,2,),"")&gt;"",IFERROR(VLOOKUP(A79,'4 BS Expanded'!A:C,2,),""),IFERROR(VLOOKUP(A79,'4 BS Expanded'!A:C,3,),""))</f>
        <v>Financial</v>
      </c>
      <c r="D79" s="28">
        <f>+'4 BS Expanded'!D78</f>
        <v>-1163</v>
      </c>
      <c r="E79" s="28">
        <f>+'4 BS Expanded'!E78</f>
        <v>-1161</v>
      </c>
      <c r="F79" s="28">
        <f>+'4 BS Expanded'!F78</f>
        <v>-1190</v>
      </c>
      <c r="G79" s="28">
        <f>+'4 BS Expanded'!G78</f>
        <v>-1069</v>
      </c>
    </row>
    <row r="80" spans="1:7" x14ac:dyDescent="0.3">
      <c r="A80" s="14" t="s">
        <v>399</v>
      </c>
      <c r="B80" s="51" t="str">
        <f>IF(IFERROR(VLOOKUP(A80,'4 BS Expanded'!A:C,2,),"")&gt;"",IFERROR(VLOOKUP(A80,'4 BS Expanded'!A:C,2,),""),IFERROR(VLOOKUP(A80,'4 BS Expanded'!A:C,3,),""))</f>
        <v>Financial</v>
      </c>
      <c r="D80" s="28">
        <f>+'4 BS Expanded'!D79</f>
        <v>-108</v>
      </c>
      <c r="E80" s="28">
        <f>+'4 BS Expanded'!E79</f>
        <v>-87</v>
      </c>
      <c r="F80" s="28">
        <f>+'4 BS Expanded'!F79</f>
        <v>-43</v>
      </c>
      <c r="G80" s="28">
        <f>+'4 BS Expanded'!G79</f>
        <v>-42</v>
      </c>
    </row>
    <row r="81" spans="1:9" x14ac:dyDescent="0.3">
      <c r="A81" s="14" t="s">
        <v>137</v>
      </c>
      <c r="B81" s="51" t="str">
        <f>IF(IFERROR(VLOOKUP(A81,'4 BS Expanded'!A:C,2,),"")&gt;"",IFERROR(VLOOKUP(A81,'4 BS Expanded'!A:C,2,),""),IFERROR(VLOOKUP(A81,'4 BS Expanded'!A:C,3,),""))</f>
        <v/>
      </c>
      <c r="C81" s="161" t="s">
        <v>144</v>
      </c>
      <c r="D81" s="28">
        <f>+'5 AJE Leases'!B18</f>
        <v>-497</v>
      </c>
      <c r="E81" s="28">
        <f>+'5 AJE Leases'!C18</f>
        <v>-555</v>
      </c>
      <c r="F81" s="28">
        <f>+'5 AJE Leases'!D18</f>
        <v>-420</v>
      </c>
      <c r="G81" s="235">
        <f>+'5 AJE Leases'!E18</f>
        <v>-478</v>
      </c>
      <c r="I81" s="236" t="s">
        <v>493</v>
      </c>
    </row>
    <row r="82" spans="1:9" x14ac:dyDescent="0.3">
      <c r="A82" s="14" t="s">
        <v>116</v>
      </c>
      <c r="B82" s="51" t="str">
        <f>IF(IFERROR(VLOOKUP(A82,'4 BS Expanded'!A:C,2,),"")&gt;"",IFERROR(VLOOKUP(A82,'4 BS Expanded'!A:C,2,),""),IFERROR(VLOOKUP(A82,'4 BS Expanded'!A:C,3,),""))</f>
        <v/>
      </c>
      <c r="C82" s="161" t="s">
        <v>144</v>
      </c>
      <c r="D82" s="28">
        <f>+'5 AJE Options'!C66</f>
        <v>-283.43761999999992</v>
      </c>
      <c r="E82" s="28">
        <f>+'5 AJE Options'!C66+'5 AJE Options'!C71</f>
        <v>-188.1378599999999</v>
      </c>
      <c r="F82" s="28">
        <f>+'5 AJE Options'!D66+'5 AJE Options'!D71</f>
        <v>-60.705540000000056</v>
      </c>
      <c r="G82" s="235">
        <f>+'5 AJE Options'!E66+'5 AJE Options'!E71</f>
        <v>0</v>
      </c>
      <c r="I82" s="236" t="s">
        <v>493</v>
      </c>
    </row>
    <row r="83" spans="1:9" x14ac:dyDescent="0.3">
      <c r="A83" s="14" t="s">
        <v>400</v>
      </c>
      <c r="B83" s="51" t="str">
        <f>IF(IFERROR(VLOOKUP(A83,'4 BS Expanded'!A:C,2,),"")&gt;"",IFERROR(VLOOKUP(A83,'4 BS Expanded'!A:C,2,),""),IFERROR(VLOOKUP(A83,'4 BS Expanded'!A:C,3,),""))</f>
        <v>Operating</v>
      </c>
      <c r="D83" s="26">
        <f>+'4 BS Expanded'!D80</f>
        <v>0</v>
      </c>
      <c r="E83" s="26">
        <f>+'4 BS Expanded'!E80</f>
        <v>-48</v>
      </c>
      <c r="F83" s="26">
        <f>+'4 BS Expanded'!F80</f>
        <v>-192</v>
      </c>
      <c r="G83" s="26">
        <f>+'4 BS Expanded'!G80</f>
        <v>-115</v>
      </c>
    </row>
    <row r="84" spans="1:9" x14ac:dyDescent="0.3">
      <c r="A84" s="14" t="s">
        <v>401</v>
      </c>
      <c r="B84" s="51" t="str">
        <f>IF(IFERROR(VLOOKUP(A84,'4 BS Expanded'!A:C,2,),"")&gt;"",IFERROR(VLOOKUP(A84,'4 BS Expanded'!A:C,2,),""),IFERROR(VLOOKUP(A84,'4 BS Expanded'!A:C,3,),""))</f>
        <v>Financial</v>
      </c>
      <c r="D84" s="26">
        <f>+'4 BS Expanded'!D81</f>
        <v>-77</v>
      </c>
      <c r="E84" s="26">
        <f>+'4 BS Expanded'!E81</f>
        <v>-40</v>
      </c>
      <c r="F84" s="26">
        <f>+'4 BS Expanded'!F81</f>
        <v>-40</v>
      </c>
      <c r="G84" s="26">
        <f>+'4 BS Expanded'!G81</f>
        <v>-34</v>
      </c>
    </row>
    <row r="85" spans="1:9" x14ac:dyDescent="0.3">
      <c r="A85" s="14" t="s">
        <v>334</v>
      </c>
      <c r="B85" s="51" t="str">
        <f>IF(IFERROR(VLOOKUP(A85,'4 BS Expanded'!A:C,2,),"")&gt;"",IFERROR(VLOOKUP(A85,'4 BS Expanded'!A:C,2,),""),IFERROR(VLOOKUP(A85,'4 BS Expanded'!A:C,3,),""))</f>
        <v>Financial</v>
      </c>
      <c r="D85" s="26">
        <f>+'4 BS Expanded'!D82</f>
        <v>-214</v>
      </c>
      <c r="E85" s="26">
        <f>+'4 BS Expanded'!E82</f>
        <v>-260</v>
      </c>
      <c r="F85" s="26">
        <f>+'4 BS Expanded'!F82</f>
        <v>-295</v>
      </c>
      <c r="G85" s="26">
        <f>+'4 BS Expanded'!G82</f>
        <v>-284</v>
      </c>
    </row>
    <row r="86" spans="1:9" s="74" customFormat="1" x14ac:dyDescent="0.3">
      <c r="A86" s="74" t="s">
        <v>160</v>
      </c>
      <c r="B86" s="191"/>
      <c r="C86" s="191"/>
      <c r="D86" s="194">
        <f>SUM(D63:D85)</f>
        <v>-19614.437620000001</v>
      </c>
      <c r="E86" s="194">
        <f t="shared" ref="E86:G86" si="0">SUM(E63:E85)</f>
        <v>-20005.137859999999</v>
      </c>
      <c r="F86" s="194">
        <f t="shared" si="0"/>
        <v>-20809.705539999999</v>
      </c>
      <c r="G86" s="194">
        <f t="shared" si="0"/>
        <v>-20703</v>
      </c>
    </row>
    <row r="87" spans="1:9" s="74" customFormat="1" x14ac:dyDescent="0.3">
      <c r="A87" s="74" t="s">
        <v>161</v>
      </c>
      <c r="B87" s="191"/>
      <c r="C87" s="191"/>
      <c r="D87" s="193"/>
      <c r="E87" s="193"/>
      <c r="F87" s="193"/>
      <c r="G87" s="193"/>
    </row>
    <row r="88" spans="1:9" x14ac:dyDescent="0.3">
      <c r="A88" s="14" t="s">
        <v>226</v>
      </c>
      <c r="B88" s="51" t="str">
        <f>IF(IFERROR(VLOOKUP(A88,'4 BS Expanded'!A:C,2,),"")&gt;"",IFERROR(VLOOKUP(A88,'4 BS Expanded'!A:C,2,),""),IFERROR(VLOOKUP(A88,'4 BS Expanded'!A:C,3,),""))</f>
        <v>Equity</v>
      </c>
      <c r="D88" s="28">
        <f>+'4 BS Expanded'!D85</f>
        <v>-105</v>
      </c>
      <c r="E88" s="28">
        <f>+'4 BS Expanded'!E85</f>
        <v>-105</v>
      </c>
      <c r="F88" s="28">
        <f>+'4 BS Expanded'!F85</f>
        <v>-105</v>
      </c>
      <c r="G88" s="28">
        <f>+'4 BS Expanded'!G85</f>
        <v>-105</v>
      </c>
    </row>
    <row r="89" spans="1:9" x14ac:dyDescent="0.3">
      <c r="A89" s="14" t="s">
        <v>236</v>
      </c>
      <c r="B89" s="51" t="str">
        <f>IF(IFERROR(VLOOKUP(A89,'4 BS Expanded'!A:C,2,),"")&gt;"",IFERROR(VLOOKUP(A89,'4 BS Expanded'!A:C,2,),""),IFERROR(VLOOKUP(A89,'4 BS Expanded'!A:C,3,),""))</f>
        <v>Equity</v>
      </c>
      <c r="D89" s="28">
        <f>+'4 BS Expanded'!D86</f>
        <v>-745</v>
      </c>
      <c r="E89" s="28">
        <f>+'4 BS Expanded'!E86</f>
        <v>-806</v>
      </c>
      <c r="F89" s="28">
        <f>+'4 BS Expanded'!F86</f>
        <v>-878</v>
      </c>
      <c r="G89" s="28">
        <f>+'4 BS Expanded'!G86</f>
        <v>-895</v>
      </c>
    </row>
    <row r="90" spans="1:9" x14ac:dyDescent="0.3">
      <c r="A90" s="14" t="s">
        <v>8</v>
      </c>
      <c r="B90" s="51" t="str">
        <f>IF(IFERROR(VLOOKUP(A90,'4 BS Expanded'!A:C,2,),"")&gt;"",IFERROR(VLOOKUP(A90,'4 BS Expanded'!A:C,2,),""),IFERROR(VLOOKUP(A90,'4 BS Expanded'!A:C,3,),""))</f>
        <v>Equity</v>
      </c>
      <c r="D90" s="28">
        <f>+'4 BS Expanded'!D87</f>
        <v>-6597</v>
      </c>
      <c r="E90" s="28">
        <f>+'4 BS Expanded'!E87</f>
        <v>-6571</v>
      </c>
      <c r="F90" s="28">
        <f>+'4 BS Expanded'!F87</f>
        <v>-7069</v>
      </c>
      <c r="G90" s="28">
        <f>+'4 BS Expanded'!G87</f>
        <v>-7652</v>
      </c>
    </row>
    <row r="91" spans="1:9" x14ac:dyDescent="0.3">
      <c r="A91" s="14" t="s">
        <v>237</v>
      </c>
      <c r="B91" s="51" t="str">
        <f>IF(IFERROR(VLOOKUP(A91,'4 BS Expanded'!A:C,2,),"")&gt;"",IFERROR(VLOOKUP(A91,'4 BS Expanded'!A:C,2,),""),IFERROR(VLOOKUP(A91,'4 BS Expanded'!A:C,3,),""))</f>
        <v>Equity</v>
      </c>
      <c r="D91" s="28">
        <f>+'4 BS Expanded'!D88</f>
        <v>3943</v>
      </c>
      <c r="E91" s="28">
        <f>+'4 BS Expanded'!E88</f>
        <v>3997</v>
      </c>
      <c r="F91" s="28">
        <f>+'4 BS Expanded'!F88</f>
        <v>4417</v>
      </c>
      <c r="G91" s="28">
        <f>+'4 BS Expanded'!G88</f>
        <v>4551</v>
      </c>
    </row>
    <row r="92" spans="1:9" x14ac:dyDescent="0.3">
      <c r="A92" s="14" t="s">
        <v>228</v>
      </c>
      <c r="B92" s="51" t="str">
        <f>IF(IFERROR(VLOOKUP(A92,'4 BS Expanded'!A:C,2,),"")&gt;"",IFERROR(VLOOKUP(A92,'4 BS Expanded'!A:C,2,),""),IFERROR(VLOOKUP(A92,'4 BS Expanded'!A:C,3,),""))</f>
        <v>Equity</v>
      </c>
      <c r="D92" s="28">
        <f>+'4 BS Expanded'!D89</f>
        <v>1376</v>
      </c>
      <c r="E92" s="28">
        <f>+'4 BS Expanded'!E89</f>
        <v>1575</v>
      </c>
      <c r="F92" s="28">
        <f>+'4 BS Expanded'!F89</f>
        <v>1457</v>
      </c>
      <c r="G92" s="28">
        <f>+'4 BS Expanded'!G89</f>
        <v>1500</v>
      </c>
    </row>
    <row r="93" spans="1:9" x14ac:dyDescent="0.3">
      <c r="A93" s="14" t="s">
        <v>79</v>
      </c>
      <c r="B93" s="51" t="str">
        <f>IF(IFERROR(VLOOKUP(A93,'4 BS Expanded'!A:C,2,),"")&gt;"",IFERROR(VLOOKUP(A93,'4 BS Expanded'!A:C,2,),""),IFERROR(VLOOKUP(A93,'4 BS Expanded'!A:C,3,),""))</f>
        <v/>
      </c>
      <c r="C93" s="161" t="s">
        <v>145</v>
      </c>
      <c r="D93" s="28">
        <f>+'5 AJE Options'!C68</f>
        <v>184.23445299999997</v>
      </c>
      <c r="E93" s="28">
        <f>+'5 AJE Options'!C68+'5 AJE Options'!C73+'5 AJE Options'!C74</f>
        <v>122.28960899999996</v>
      </c>
      <c r="F93" s="28">
        <f>+'5 AJE Options'!D68+'5 AJE Options'!D73+'5 AJE Options'!D74</f>
        <v>47.95737660000006</v>
      </c>
      <c r="G93" s="235">
        <f>+'5 AJE Options'!E68+'5 AJE Options'!E73+'5 AJE Options'!E74</f>
        <v>0</v>
      </c>
      <c r="I93" s="236" t="s">
        <v>493</v>
      </c>
    </row>
    <row r="94" spans="1:9" x14ac:dyDescent="0.3">
      <c r="A94" s="14" t="s">
        <v>238</v>
      </c>
      <c r="B94" s="51" t="str">
        <f>IF(IFERROR(VLOOKUP(A94,'4 BS Expanded'!A:C,2,),"")&gt;"",IFERROR(VLOOKUP(A94,'4 BS Expanded'!A:C,2,),""),IFERROR(VLOOKUP(A94,'4 BS Expanded'!A:C,3,),""))</f>
        <v>Financial</v>
      </c>
      <c r="D94" s="28">
        <f>+'4 BS Expanded'!D90</f>
        <v>-10</v>
      </c>
      <c r="E94" s="28">
        <f>+'4 BS Expanded'!E90</f>
        <v>-16</v>
      </c>
      <c r="F94" s="28">
        <f>+'4 BS Expanded'!F90</f>
        <v>-16</v>
      </c>
      <c r="G94" s="28">
        <f>+'4 BS Expanded'!G90</f>
        <v>-558</v>
      </c>
    </row>
    <row r="95" spans="1:9" s="74" customFormat="1" x14ac:dyDescent="0.3">
      <c r="A95" s="74" t="s">
        <v>162</v>
      </c>
      <c r="B95" s="191"/>
      <c r="C95" s="191"/>
      <c r="D95" s="194">
        <f>SUM(D88:D94)</f>
        <v>-1953.765547</v>
      </c>
      <c r="E95" s="194">
        <f>SUM(E88:E94)</f>
        <v>-1803.7103910000001</v>
      </c>
      <c r="F95" s="194">
        <f>SUM(F88:F94)</f>
        <v>-2146.0426234000001</v>
      </c>
      <c r="G95" s="194">
        <f>SUM(G88:G94)</f>
        <v>-3159</v>
      </c>
    </row>
    <row r="96" spans="1:9" s="74" customFormat="1" ht="15" thickBot="1" x14ac:dyDescent="0.35">
      <c r="A96" s="74" t="s">
        <v>163</v>
      </c>
      <c r="B96" s="191"/>
      <c r="C96" s="191"/>
      <c r="D96" s="192">
        <f>+D86+D95</f>
        <v>-21568.203167</v>
      </c>
      <c r="E96" s="192">
        <f>+E86+E95</f>
        <v>-21808.848250999999</v>
      </c>
      <c r="F96" s="192">
        <f>+F86+F95</f>
        <v>-22955.7481634</v>
      </c>
      <c r="G96" s="192">
        <f>+G86+G95</f>
        <v>-23862</v>
      </c>
    </row>
    <row r="97" spans="1:7" ht="15" thickTop="1" x14ac:dyDescent="0.3">
      <c r="B97" s="51" t="str">
        <f>IFERROR(VLOOKUP(A97,'3 BS Reported'!A:F,8,),"")</f>
        <v/>
      </c>
      <c r="D97" s="28"/>
      <c r="E97" s="28"/>
      <c r="F97" s="28"/>
      <c r="G97" s="28"/>
    </row>
    <row r="98" spans="1:7" x14ac:dyDescent="0.3">
      <c r="A98" s="203" t="s">
        <v>494</v>
      </c>
      <c r="B98" s="196"/>
      <c r="C98" s="196"/>
      <c r="D98" s="197"/>
      <c r="E98" s="197"/>
      <c r="F98" s="197"/>
      <c r="G98" s="197"/>
    </row>
    <row r="99" spans="1:7" s="74" customFormat="1" ht="15" thickBot="1" x14ac:dyDescent="0.35">
      <c r="A99" s="199"/>
      <c r="B99" s="204"/>
      <c r="C99" s="204"/>
      <c r="D99" s="238">
        <f>+D3</f>
        <v>42371</v>
      </c>
      <c r="E99" s="238">
        <f>+E3</f>
        <v>42735</v>
      </c>
      <c r="F99" s="238">
        <f>+F3</f>
        <v>43099</v>
      </c>
      <c r="G99" s="238">
        <f>+G3</f>
        <v>43463</v>
      </c>
    </row>
    <row r="100" spans="1:7" s="51" customFormat="1" x14ac:dyDescent="0.3">
      <c r="A100" s="199" t="s">
        <v>34</v>
      </c>
      <c r="B100" s="196"/>
      <c r="C100" s="196"/>
      <c r="D100" s="197"/>
      <c r="E100" s="197"/>
      <c r="F100" s="197"/>
      <c r="G100" s="197"/>
    </row>
    <row r="101" spans="1:7" s="51" customFormat="1" x14ac:dyDescent="0.3">
      <c r="A101" s="195" t="s">
        <v>226</v>
      </c>
      <c r="B101" s="196"/>
      <c r="C101" s="196"/>
      <c r="D101" s="197">
        <f>+D88</f>
        <v>-105</v>
      </c>
      <c r="E101" s="197">
        <f t="shared" ref="E101:G101" si="1">+E88</f>
        <v>-105</v>
      </c>
      <c r="F101" s="197">
        <f t="shared" si="1"/>
        <v>-105</v>
      </c>
      <c r="G101" s="197">
        <f t="shared" si="1"/>
        <v>-105</v>
      </c>
    </row>
    <row r="102" spans="1:7" s="51" customFormat="1" x14ac:dyDescent="0.3">
      <c r="A102" s="195" t="s">
        <v>236</v>
      </c>
      <c r="B102" s="196"/>
      <c r="C102" s="196"/>
      <c r="D102" s="197">
        <f t="shared" ref="D102:G102" si="2">+D89</f>
        <v>-745</v>
      </c>
      <c r="E102" s="197">
        <f t="shared" si="2"/>
        <v>-806</v>
      </c>
      <c r="F102" s="197">
        <f t="shared" si="2"/>
        <v>-878</v>
      </c>
      <c r="G102" s="197">
        <f t="shared" si="2"/>
        <v>-895</v>
      </c>
    </row>
    <row r="103" spans="1:7" s="51" customFormat="1" x14ac:dyDescent="0.3">
      <c r="A103" s="195" t="s">
        <v>8</v>
      </c>
      <c r="B103" s="196"/>
      <c r="C103" s="196"/>
      <c r="D103" s="197">
        <f t="shared" ref="D103:G103" si="3">+D90</f>
        <v>-6597</v>
      </c>
      <c r="E103" s="197">
        <f t="shared" si="3"/>
        <v>-6571</v>
      </c>
      <c r="F103" s="197">
        <f t="shared" si="3"/>
        <v>-7069</v>
      </c>
      <c r="G103" s="197">
        <f t="shared" si="3"/>
        <v>-7652</v>
      </c>
    </row>
    <row r="104" spans="1:7" s="51" customFormat="1" x14ac:dyDescent="0.3">
      <c r="A104" s="195" t="s">
        <v>237</v>
      </c>
      <c r="B104" s="196"/>
      <c r="C104" s="196"/>
      <c r="D104" s="197">
        <f t="shared" ref="D104:G104" si="4">+D91</f>
        <v>3943</v>
      </c>
      <c r="E104" s="197">
        <f t="shared" si="4"/>
        <v>3997</v>
      </c>
      <c r="F104" s="197">
        <f t="shared" si="4"/>
        <v>4417</v>
      </c>
      <c r="G104" s="197">
        <f t="shared" si="4"/>
        <v>4551</v>
      </c>
    </row>
    <row r="105" spans="1:7" s="51" customFormat="1" x14ac:dyDescent="0.3">
      <c r="A105" s="195" t="s">
        <v>228</v>
      </c>
      <c r="B105" s="196"/>
      <c r="C105" s="196"/>
      <c r="D105" s="197">
        <f t="shared" ref="D105:G105" si="5">+D92</f>
        <v>1376</v>
      </c>
      <c r="E105" s="197">
        <f t="shared" si="5"/>
        <v>1575</v>
      </c>
      <c r="F105" s="197">
        <f t="shared" si="5"/>
        <v>1457</v>
      </c>
      <c r="G105" s="197">
        <f t="shared" si="5"/>
        <v>1500</v>
      </c>
    </row>
    <row r="106" spans="1:7" s="51" customFormat="1" x14ac:dyDescent="0.3">
      <c r="A106" s="195" t="s">
        <v>79</v>
      </c>
      <c r="B106" s="196"/>
      <c r="C106" s="196"/>
      <c r="D106" s="197">
        <f t="shared" ref="D106:G106" si="6">+D93</f>
        <v>184.23445299999997</v>
      </c>
      <c r="E106" s="197">
        <f t="shared" si="6"/>
        <v>122.28960899999996</v>
      </c>
      <c r="F106" s="197">
        <f t="shared" si="6"/>
        <v>47.95737660000006</v>
      </c>
      <c r="G106" s="197">
        <f t="shared" si="6"/>
        <v>0</v>
      </c>
    </row>
    <row r="107" spans="1:7" s="51" customFormat="1" ht="15" thickBot="1" x14ac:dyDescent="0.35">
      <c r="A107" s="195"/>
      <c r="B107" s="196" t="str">
        <f>IFERROR(VLOOKUP(A107,'3 BS Reported'!A:F,8,),"")</f>
        <v/>
      </c>
      <c r="C107" s="196"/>
      <c r="D107" s="200">
        <f>SUM(D101:D106)</f>
        <v>-1943.765547</v>
      </c>
      <c r="E107" s="200">
        <f>SUM(E101:E106)</f>
        <v>-1787.7103910000001</v>
      </c>
      <c r="F107" s="200">
        <f>SUM(F101:F106)</f>
        <v>-2130.0426234000001</v>
      </c>
      <c r="G107" s="200">
        <f>SUM(G101:G106)</f>
        <v>-2601</v>
      </c>
    </row>
    <row r="108" spans="1:7" s="51" customFormat="1" ht="15" thickTop="1" x14ac:dyDescent="0.3">
      <c r="A108" s="195"/>
      <c r="B108" s="196"/>
      <c r="C108" s="196"/>
      <c r="D108" s="197"/>
      <c r="E108" s="197"/>
      <c r="F108" s="197"/>
      <c r="G108" s="197"/>
    </row>
    <row r="109" spans="1:7" s="51" customFormat="1" x14ac:dyDescent="0.3">
      <c r="A109" s="195"/>
      <c r="B109" s="196"/>
      <c r="C109" s="196"/>
      <c r="D109" s="197"/>
      <c r="E109" s="197"/>
      <c r="F109" s="197"/>
      <c r="G109" s="197"/>
    </row>
    <row r="110" spans="1:7" s="51" customFormat="1" x14ac:dyDescent="0.3">
      <c r="A110" s="199" t="s">
        <v>476</v>
      </c>
      <c r="B110" s="196"/>
      <c r="C110" s="196"/>
      <c r="D110" s="195"/>
      <c r="E110" s="195"/>
      <c r="F110" s="195"/>
      <c r="G110" s="195"/>
    </row>
    <row r="111" spans="1:7" s="51" customFormat="1" x14ac:dyDescent="0.3">
      <c r="A111" s="195" t="s">
        <v>251</v>
      </c>
      <c r="B111" s="196"/>
      <c r="C111" s="196"/>
      <c r="D111" s="197"/>
      <c r="E111" s="197">
        <f>+'4 BS Expanded'!E106</f>
        <v>426</v>
      </c>
      <c r="F111" s="197">
        <f>+'4 BS Expanded'!F106</f>
        <v>516</v>
      </c>
      <c r="G111" s="197">
        <f>+'4 BS Expanded'!G106</f>
        <v>320</v>
      </c>
    </row>
    <row r="112" spans="1:7" x14ac:dyDescent="0.3">
      <c r="A112" s="195" t="s">
        <v>254</v>
      </c>
      <c r="B112" s="196"/>
      <c r="C112" s="196"/>
      <c r="D112" s="197"/>
      <c r="E112" s="197">
        <f>+'4 BS Expanded'!E107</f>
        <v>716</v>
      </c>
      <c r="F112" s="197">
        <f>+'4 BS Expanded'!F107</f>
        <v>736</v>
      </c>
      <c r="G112" s="197">
        <f>+'4 BS Expanded'!G107</f>
        <v>762</v>
      </c>
    </row>
    <row r="113" spans="1:48" x14ac:dyDescent="0.3">
      <c r="A113" s="195" t="s">
        <v>252</v>
      </c>
      <c r="B113" s="196"/>
      <c r="C113" s="196"/>
      <c r="D113" s="197"/>
      <c r="E113" s="197">
        <f>+'4 BS Expanded'!E108</f>
        <v>-63</v>
      </c>
      <c r="F113" s="197">
        <f>+'4 BS Expanded'!F108</f>
        <v>-66</v>
      </c>
      <c r="G113" s="197">
        <f>+'4 BS Expanded'!G108</f>
        <v>-59</v>
      </c>
    </row>
    <row r="114" spans="1:48" x14ac:dyDescent="0.3">
      <c r="A114" s="195" t="s">
        <v>253</v>
      </c>
      <c r="B114" s="196"/>
      <c r="C114" s="196"/>
      <c r="D114" s="197"/>
      <c r="E114" s="197">
        <f>+'4 BS Expanded'!E109</f>
        <v>-366</v>
      </c>
      <c r="F114" s="197">
        <f>+'4 BS Expanded'!F109</f>
        <v>-101</v>
      </c>
      <c r="G114" s="197">
        <f>+'4 BS Expanded'!G109</f>
        <v>-153</v>
      </c>
    </row>
    <row r="115" spans="1:48" x14ac:dyDescent="0.3">
      <c r="A115" s="195" t="s">
        <v>448</v>
      </c>
      <c r="B115" s="196"/>
      <c r="C115" s="196"/>
      <c r="D115" s="239"/>
      <c r="E115" s="197">
        <f>+'4 BS Expanded'!E110</f>
        <v>5</v>
      </c>
      <c r="F115" s="197">
        <f>+'4 BS Expanded'!F110</f>
        <v>19</v>
      </c>
      <c r="G115" s="197">
        <f>+'4 BS Expanded'!G110</f>
        <v>0</v>
      </c>
    </row>
    <row r="116" spans="1:48" ht="15" thickBot="1" x14ac:dyDescent="0.35">
      <c r="A116" s="195"/>
      <c r="B116" s="196"/>
      <c r="C116" s="196"/>
      <c r="D116" s="239"/>
      <c r="E116" s="200">
        <f>SUM(E111:E115)</f>
        <v>718</v>
      </c>
      <c r="F116" s="200">
        <f t="shared" ref="F116:G116" si="7">SUM(F111:F115)</f>
        <v>1104</v>
      </c>
      <c r="G116" s="200">
        <f t="shared" si="7"/>
        <v>870</v>
      </c>
    </row>
    <row r="117" spans="1:48" ht="15" thickTop="1" x14ac:dyDescent="0.3">
      <c r="A117" s="195"/>
      <c r="B117" s="196"/>
      <c r="C117" s="196"/>
      <c r="D117" s="239"/>
      <c r="E117" s="239"/>
      <c r="F117" s="239"/>
      <c r="G117" s="239"/>
    </row>
    <row r="118" spans="1:48" x14ac:dyDescent="0.3">
      <c r="A118" s="195"/>
      <c r="B118" s="196"/>
      <c r="C118" s="196"/>
      <c r="D118" s="197"/>
      <c r="E118" s="197"/>
      <c r="F118" s="197"/>
      <c r="G118" s="197"/>
    </row>
    <row r="119" spans="1:48" x14ac:dyDescent="0.3">
      <c r="A119" s="199" t="s">
        <v>147</v>
      </c>
      <c r="B119" s="196"/>
      <c r="C119" s="196"/>
      <c r="D119" s="196"/>
      <c r="E119" s="196"/>
      <c r="F119" s="196"/>
      <c r="G119" s="196"/>
    </row>
    <row r="120" spans="1:48" x14ac:dyDescent="0.3">
      <c r="A120" s="195" t="s">
        <v>148</v>
      </c>
      <c r="B120" s="196"/>
      <c r="C120" s="196"/>
      <c r="D120" s="197"/>
      <c r="E120" s="197">
        <f t="shared" ref="E120" si="8">+D123</f>
        <v>-1943.765547</v>
      </c>
      <c r="F120" s="197">
        <f t="shared" ref="F120:G120" si="9">+E123</f>
        <v>-1787.7103910000001</v>
      </c>
      <c r="G120" s="197">
        <f t="shared" si="9"/>
        <v>-2130.0426233999997</v>
      </c>
    </row>
    <row r="121" spans="1:48" x14ac:dyDescent="0.3">
      <c r="A121" s="195" t="s">
        <v>250</v>
      </c>
      <c r="B121" s="196"/>
      <c r="C121" s="196"/>
      <c r="D121" s="197"/>
      <c r="E121" s="197">
        <f>-'5 IS Adjusted'!E57</f>
        <v>-561.94484399999999</v>
      </c>
      <c r="F121" s="197">
        <f>-'5 IS Adjusted'!F57</f>
        <v>-1446.3322323999998</v>
      </c>
      <c r="G121" s="197">
        <f>-'5 IS Adjusted'!G57</f>
        <v>-1340.9573766000001</v>
      </c>
    </row>
    <row r="122" spans="1:48" x14ac:dyDescent="0.3">
      <c r="A122" s="195" t="str">
        <f>+A110</f>
        <v>Free cash flow to equity holders</v>
      </c>
      <c r="B122" s="196"/>
      <c r="C122" s="196"/>
      <c r="D122" s="201"/>
      <c r="E122" s="201">
        <f t="shared" ref="E122" si="10">+E116</f>
        <v>718</v>
      </c>
      <c r="F122" s="201">
        <f t="shared" ref="F122" si="11">+F116</f>
        <v>1104</v>
      </c>
      <c r="G122" s="201">
        <f t="shared" ref="G122" si="12">+G116</f>
        <v>870</v>
      </c>
    </row>
    <row r="123" spans="1:48" ht="15" thickBot="1" x14ac:dyDescent="0.35">
      <c r="A123" s="195" t="s">
        <v>149</v>
      </c>
      <c r="B123" s="196"/>
      <c r="C123" s="196"/>
      <c r="D123" s="202">
        <f>+D107</f>
        <v>-1943.765547</v>
      </c>
      <c r="E123" s="202">
        <f t="shared" ref="E123:G123" si="13">SUM(E120:E122)</f>
        <v>-1787.7103910000001</v>
      </c>
      <c r="F123" s="202">
        <f t="shared" si="13"/>
        <v>-2130.0426233999997</v>
      </c>
      <c r="G123" s="202">
        <f t="shared" si="13"/>
        <v>-2601</v>
      </c>
    </row>
    <row r="124" spans="1:48" customFormat="1" ht="15" thickTop="1" x14ac:dyDescent="0.3">
      <c r="A124" s="195"/>
      <c r="B124" s="196"/>
      <c r="C124" s="196"/>
      <c r="D124" s="197"/>
      <c r="E124" s="197"/>
      <c r="F124" s="197"/>
      <c r="G124" s="197"/>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row>
    <row r="125" spans="1:48" x14ac:dyDescent="0.3">
      <c r="A125" s="195"/>
      <c r="B125" s="196"/>
      <c r="C125" s="196"/>
      <c r="D125" s="197"/>
      <c r="E125" s="197"/>
      <c r="F125" s="197"/>
      <c r="G125" s="197"/>
    </row>
    <row r="126" spans="1:48" x14ac:dyDescent="0.3">
      <c r="A126" s="203" t="s">
        <v>118</v>
      </c>
      <c r="B126" s="196"/>
      <c r="C126" s="196"/>
      <c r="D126" s="197"/>
      <c r="E126" s="197"/>
      <c r="F126" s="197"/>
      <c r="G126" s="197"/>
    </row>
    <row r="127" spans="1:48" x14ac:dyDescent="0.3">
      <c r="A127" s="203" t="s">
        <v>495</v>
      </c>
      <c r="B127" s="196"/>
      <c r="C127" s="196"/>
      <c r="D127" s="239">
        <f>+D59+D96</f>
        <v>0</v>
      </c>
      <c r="E127" s="239">
        <f>+E59+E96</f>
        <v>0</v>
      </c>
      <c r="F127" s="239">
        <f>+F59+F96</f>
        <v>0</v>
      </c>
      <c r="G127" s="239">
        <f>+G59+G96</f>
        <v>0</v>
      </c>
    </row>
    <row r="128" spans="1:48" x14ac:dyDescent="0.3">
      <c r="A128" s="237"/>
      <c r="B128" s="196"/>
      <c r="C128" s="196"/>
      <c r="D128" s="239"/>
      <c r="E128" s="239"/>
      <c r="F128" s="239"/>
      <c r="G128" s="239"/>
    </row>
    <row r="129" spans="1:7" x14ac:dyDescent="0.3">
      <c r="A129" s="237" t="s">
        <v>171</v>
      </c>
      <c r="B129" s="196"/>
      <c r="C129" s="196"/>
      <c r="D129" s="239">
        <f>+'4 BS Expanded'!D102</f>
        <v>-2128</v>
      </c>
      <c r="E129" s="239">
        <f>+'4 BS Expanded'!E102</f>
        <v>-1910</v>
      </c>
      <c r="F129" s="239">
        <f>+'4 BS Expanded'!F102</f>
        <v>-2178</v>
      </c>
      <c r="G129" s="239">
        <f>+'4 BS Expanded'!G102</f>
        <v>-2601</v>
      </c>
    </row>
    <row r="130" spans="1:7" x14ac:dyDescent="0.3">
      <c r="A130" s="237" t="s">
        <v>172</v>
      </c>
      <c r="B130" s="196"/>
      <c r="C130" s="196"/>
      <c r="D130" s="239">
        <f>SUM('5 AJE Leases'!B22:B24)</f>
        <v>0</v>
      </c>
      <c r="E130" s="239">
        <f>SUM('5 AJE Leases'!C22:C24)</f>
        <v>0</v>
      </c>
      <c r="F130" s="239">
        <f>SUM('5 AJE Leases'!D22:D24)</f>
        <v>0</v>
      </c>
      <c r="G130" s="239">
        <f>SUM('5 AJE Leases'!E22:E24)</f>
        <v>0</v>
      </c>
    </row>
    <row r="131" spans="1:7" x14ac:dyDescent="0.3">
      <c r="A131" s="237" t="s">
        <v>173</v>
      </c>
      <c r="B131" s="196"/>
      <c r="C131" s="196"/>
      <c r="D131" s="239">
        <f>+'5 AJE Options'!C68</f>
        <v>184.23445299999997</v>
      </c>
      <c r="E131" s="239">
        <f>'5 AJE Options'!C68+'5 AJE Options'!C73+'5 AJE Options'!C74</f>
        <v>122.28960899999996</v>
      </c>
      <c r="F131" s="239">
        <f>'5 AJE Options'!D68+'5 AJE Options'!D73+'5 AJE Options'!D74</f>
        <v>47.95737660000006</v>
      </c>
      <c r="G131" s="239">
        <f>'5 AJE Options'!E68+'5 AJE Options'!E73+'5 AJE Options'!E74</f>
        <v>0</v>
      </c>
    </row>
    <row r="132" spans="1:7" ht="15" thickBot="1" x14ac:dyDescent="0.35">
      <c r="A132" s="237" t="s">
        <v>174</v>
      </c>
      <c r="B132" s="196"/>
      <c r="C132" s="196"/>
      <c r="D132" s="200">
        <f>SUM(D129:D131)</f>
        <v>-1943.765547</v>
      </c>
      <c r="E132" s="200">
        <f>SUM(E129:E131)</f>
        <v>-1787.7103910000001</v>
      </c>
      <c r="F132" s="200">
        <f>SUM(F129:F131)</f>
        <v>-2130.0426234000001</v>
      </c>
      <c r="G132" s="200">
        <f>SUM(G129:G131)</f>
        <v>-2601</v>
      </c>
    </row>
    <row r="133" spans="1:7" ht="15" thickTop="1" x14ac:dyDescent="0.3">
      <c r="A133" s="203" t="s">
        <v>496</v>
      </c>
      <c r="B133" s="196"/>
      <c r="C133" s="196"/>
      <c r="D133" s="197">
        <f>+D107-D132</f>
        <v>0</v>
      </c>
      <c r="E133" s="197">
        <f>+E107-E132</f>
        <v>0</v>
      </c>
      <c r="F133" s="197">
        <f>+F107-F132</f>
        <v>0</v>
      </c>
      <c r="G133" s="197">
        <f>+G107-G132</f>
        <v>0</v>
      </c>
    </row>
    <row r="134" spans="1:7" x14ac:dyDescent="0.3">
      <c r="A134" s="195"/>
      <c r="B134" s="196"/>
      <c r="C134" s="196"/>
      <c r="D134" s="197"/>
      <c r="E134" s="197"/>
      <c r="F134" s="197"/>
      <c r="G134" s="197"/>
    </row>
    <row r="135" spans="1:7" x14ac:dyDescent="0.3">
      <c r="A135" s="203" t="s">
        <v>497</v>
      </c>
      <c r="B135" s="196"/>
      <c r="C135" s="196"/>
      <c r="D135" s="239">
        <f>+D123-D107</f>
        <v>0</v>
      </c>
      <c r="E135" s="239">
        <f>+E123-E107</f>
        <v>0</v>
      </c>
      <c r="F135" s="239">
        <f>+F123-F107</f>
        <v>0</v>
      </c>
      <c r="G135" s="239">
        <f>+G123-G107</f>
        <v>0</v>
      </c>
    </row>
  </sheetData>
  <pageMargins left="0.7" right="0.7" top="0.75" bottom="0.75" header="0.3" footer="0.3"/>
  <pageSetup scale="7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5"/>
  <sheetViews>
    <sheetView zoomScaleNormal="100" workbookViewId="0">
      <pane xSplit="3" ySplit="3" topLeftCell="D16" activePane="bottomRight" state="frozen"/>
      <selection activeCell="H23" sqref="H23"/>
      <selection pane="topRight" activeCell="H23" sqref="H23"/>
      <selection pane="bottomLeft" activeCell="H23" sqref="H23"/>
      <selection pane="bottomRight" activeCell="A22" sqref="A22:A24"/>
    </sheetView>
  </sheetViews>
  <sheetFormatPr defaultColWidth="9.109375" defaultRowHeight="14.4" x14ac:dyDescent="0.3"/>
  <cols>
    <col min="1" max="1" width="68.21875" style="14" bestFit="1" customWidth="1"/>
    <col min="2" max="2" width="9.88671875" style="51" bestFit="1" customWidth="1"/>
    <col min="3" max="3" width="9.88671875" style="14" bestFit="1" customWidth="1"/>
    <col min="4" max="4" width="8.77734375" style="14" bestFit="1" customWidth="1"/>
    <col min="5" max="7" width="10.77734375" style="14" bestFit="1" customWidth="1"/>
    <col min="8" max="16384" width="9.109375" style="14"/>
  </cols>
  <sheetData>
    <row r="1" spans="1:7" x14ac:dyDescent="0.3">
      <c r="A1" s="13" t="str">
        <f>+'3 BS Reported'!A1</f>
        <v>Kellogg</v>
      </c>
      <c r="B1" s="191"/>
      <c r="C1" s="74"/>
      <c r="D1" s="74"/>
      <c r="E1" s="74"/>
      <c r="F1" s="74"/>
      <c r="G1" s="74"/>
    </row>
    <row r="2" spans="1:7" x14ac:dyDescent="0.3">
      <c r="A2" s="13"/>
      <c r="B2" s="191" t="s">
        <v>26</v>
      </c>
      <c r="C2" s="191"/>
      <c r="D2" s="74"/>
      <c r="E2" s="74"/>
      <c r="F2" s="74"/>
      <c r="G2" s="74"/>
    </row>
    <row r="3" spans="1:7" x14ac:dyDescent="0.3">
      <c r="A3" s="13" t="str">
        <f>+'3 BS Reported'!A3</f>
        <v>Amounts in millions</v>
      </c>
      <c r="B3" s="191" t="s">
        <v>224</v>
      </c>
      <c r="C3" s="191" t="s">
        <v>24</v>
      </c>
      <c r="D3" s="240">
        <f>+'4 IS Expanded'!D3</f>
        <v>42371</v>
      </c>
      <c r="E3" s="240">
        <f>+'4 IS Expanded'!E3</f>
        <v>42735</v>
      </c>
      <c r="F3" s="240">
        <f>+'4 IS Expanded'!F3</f>
        <v>43099</v>
      </c>
      <c r="G3" s="240">
        <f>+'4 IS Expanded'!G3</f>
        <v>43463</v>
      </c>
    </row>
    <row r="4" spans="1:7" x14ac:dyDescent="0.3">
      <c r="C4" s="51"/>
      <c r="D4" s="33"/>
      <c r="E4" s="33"/>
      <c r="F4" s="33"/>
      <c r="G4" s="33"/>
    </row>
    <row r="5" spans="1:7" x14ac:dyDescent="0.3">
      <c r="A5" s="14" t="s">
        <v>402</v>
      </c>
      <c r="B5" s="51" t="str">
        <f>IF(IFERROR(VLOOKUP(A5,'4 IS Expanded'!A:C,2,),"")&gt;"",IFERROR(VLOOKUP(A5,'4 IS Expanded'!A:C,2,),""),IFERROR(VLOOKUP(A5,'4 IS Expanded'!A:C,3,),""))</f>
        <v>Operating</v>
      </c>
      <c r="D5" s="26">
        <f>+'4 IS Expanded'!D5</f>
        <v>2992</v>
      </c>
      <c r="E5" s="26">
        <f>+'4 IS Expanded'!E5</f>
        <v>2917</v>
      </c>
      <c r="F5" s="26">
        <f>+'4 IS Expanded'!F5</f>
        <v>2709</v>
      </c>
      <c r="G5" s="26">
        <f>+'4 IS Expanded'!G5</f>
        <v>2643</v>
      </c>
    </row>
    <row r="6" spans="1:7" x14ac:dyDescent="0.3">
      <c r="A6" s="14" t="s">
        <v>403</v>
      </c>
      <c r="B6" s="51" t="str">
        <f>IF(IFERROR(VLOOKUP(A6,'4 IS Expanded'!A:C,2,),"")&gt;"",IFERROR(VLOOKUP(A6,'4 IS Expanded'!A:C,2,),""),IFERROR(VLOOKUP(A6,'4 IS Expanded'!A:C,3,),""))</f>
        <v>Operating</v>
      </c>
      <c r="D6" s="26">
        <f>+'4 IS Expanded'!D6</f>
        <v>3234</v>
      </c>
      <c r="E6" s="26">
        <f>+'4 IS Expanded'!E6</f>
        <v>3197</v>
      </c>
      <c r="F6" s="26">
        <f>+'4 IS Expanded'!F6</f>
        <v>3110</v>
      </c>
      <c r="G6" s="26">
        <f>+'4 IS Expanded'!G6</f>
        <v>2957</v>
      </c>
    </row>
    <row r="7" spans="1:7" x14ac:dyDescent="0.3">
      <c r="A7" s="14" t="s">
        <v>455</v>
      </c>
      <c r="B7" s="51" t="str">
        <f>IF(IFERROR(VLOOKUP(A7,'4 IS Expanded'!A:C,2,),"")&gt;"",IFERROR(VLOOKUP(A7,'4 IS Expanded'!A:C,2,),""),IFERROR(VLOOKUP(A7,'4 IS Expanded'!A:C,3,),""))</f>
        <v>Operating</v>
      </c>
      <c r="D7" s="26">
        <f>+'4 IS Expanded'!D7</f>
        <v>1181</v>
      </c>
      <c r="E7" s="26">
        <f>+'4 IS Expanded'!E7</f>
        <v>1207</v>
      </c>
      <c r="F7" s="26">
        <f>+'4 IS Expanded'!F7</f>
        <v>1242</v>
      </c>
      <c r="G7" s="26">
        <f>+'4 IS Expanded'!G7</f>
        <v>1235</v>
      </c>
    </row>
    <row r="8" spans="1:7" x14ac:dyDescent="0.3">
      <c r="A8" s="14" t="s">
        <v>405</v>
      </c>
      <c r="B8" s="51" t="str">
        <f>IF(IFERROR(VLOOKUP(A8,'4 IS Expanded'!A:C,2,),"")&gt;"",IFERROR(VLOOKUP(A8,'4 IS Expanded'!A:C,2,),""),IFERROR(VLOOKUP(A8,'4 IS Expanded'!A:C,3,),""))</f>
        <v>Operating</v>
      </c>
      <c r="D8" s="26">
        <f>+'4 IS Expanded'!D8</f>
        <v>1687</v>
      </c>
      <c r="E8" s="26">
        <f>+'4 IS Expanded'!E8</f>
        <v>1593</v>
      </c>
      <c r="F8" s="26">
        <f>+'4 IS Expanded'!F8</f>
        <v>1612</v>
      </c>
      <c r="G8" s="26">
        <f>+'4 IS Expanded'!G8</f>
        <v>1853</v>
      </c>
    </row>
    <row r="9" spans="1:7" x14ac:dyDescent="0.3">
      <c r="A9" s="14" t="s">
        <v>406</v>
      </c>
      <c r="B9" s="51" t="str">
        <f>IF(IFERROR(VLOOKUP(A9,'4 IS Expanded'!A:C,2,),"")&gt;"",IFERROR(VLOOKUP(A9,'4 IS Expanded'!A:C,2,),""),IFERROR(VLOOKUP(A9,'4 IS Expanded'!A:C,3,),""))</f>
        <v>Operating</v>
      </c>
      <c r="D9" s="26">
        <f>+'4 IS Expanded'!D9</f>
        <v>2497</v>
      </c>
      <c r="E9" s="26">
        <f>+'4 IS Expanded'!E9</f>
        <v>2383</v>
      </c>
      <c r="F9" s="26">
        <f>+'4 IS Expanded'!F9</f>
        <v>2291</v>
      </c>
      <c r="G9" s="26">
        <f>+'4 IS Expanded'!G9</f>
        <v>2395</v>
      </c>
    </row>
    <row r="10" spans="1:7" x14ac:dyDescent="0.3">
      <c r="A10" s="14" t="s">
        <v>407</v>
      </c>
      <c r="B10" s="51" t="str">
        <f>IF(IFERROR(VLOOKUP(A10,'4 IS Expanded'!A:C,2,),"")&gt;"",IFERROR(VLOOKUP(A10,'4 IS Expanded'!A:C,2,),""),IFERROR(VLOOKUP(A10,'4 IS Expanded'!A:C,3,),""))</f>
        <v>Operating</v>
      </c>
      <c r="D10" s="26">
        <f>+'4 IS Expanded'!D10</f>
        <v>1015</v>
      </c>
      <c r="E10" s="26">
        <f>+'4 IS Expanded'!E10</f>
        <v>772</v>
      </c>
      <c r="F10" s="26">
        <f>+'4 IS Expanded'!F10</f>
        <v>944</v>
      </c>
      <c r="G10" s="26">
        <f>+'4 IS Expanded'!G10</f>
        <v>947</v>
      </c>
    </row>
    <row r="11" spans="1:7" x14ac:dyDescent="0.3">
      <c r="A11" s="14" t="s">
        <v>408</v>
      </c>
      <c r="B11" s="51" t="str">
        <f>IF(IFERROR(VLOOKUP(A11,'4 IS Expanded'!A:C,2,),"")&gt;"",IFERROR(VLOOKUP(A11,'4 IS Expanded'!A:C,2,),""),IFERROR(VLOOKUP(A11,'4 IS Expanded'!A:C,3,),""))</f>
        <v>Operating</v>
      </c>
      <c r="D11" s="26">
        <f>+'4 IS Expanded'!D11</f>
        <v>919</v>
      </c>
      <c r="E11" s="26">
        <f>+'4 IS Expanded'!E11</f>
        <v>896</v>
      </c>
      <c r="F11" s="26">
        <f>+'4 IS Expanded'!F11</f>
        <v>946</v>
      </c>
      <c r="G11" s="26">
        <f>+'4 IS Expanded'!G11</f>
        <v>1517</v>
      </c>
    </row>
    <row r="12" spans="1:7" x14ac:dyDescent="0.3">
      <c r="A12" s="14" t="s">
        <v>143</v>
      </c>
      <c r="B12" s="51" t="str">
        <f>IF(IFERROR(VLOOKUP(A12,'4 IS Expanded'!A:C,2,),"")&gt;"",IFERROR(VLOOKUP(A12,'4 IS Expanded'!A:C,2,),""),IFERROR(VLOOKUP(A12,'4 IS Expanded'!A:C,3,),""))</f>
        <v>Operating</v>
      </c>
      <c r="D12" s="38"/>
      <c r="E12" s="29">
        <f>+'4 IS Expanded'!E12</f>
        <v>-8131</v>
      </c>
      <c r="F12" s="29">
        <f>+'4 IS Expanded'!F12</f>
        <v>-8155</v>
      </c>
      <c r="G12" s="29">
        <f>+'4 IS Expanded'!G12</f>
        <v>-8821</v>
      </c>
    </row>
    <row r="13" spans="1:7" s="74" customFormat="1" x14ac:dyDescent="0.3">
      <c r="A13" s="74" t="s">
        <v>166</v>
      </c>
      <c r="B13" s="191"/>
      <c r="C13" s="191"/>
      <c r="D13" s="151"/>
      <c r="E13" s="150">
        <f>SUM(E5:E12)</f>
        <v>4834</v>
      </c>
      <c r="F13" s="150">
        <f>SUM(F5:F12)</f>
        <v>4699</v>
      </c>
      <c r="G13" s="150">
        <f>SUM(G5:G12)</f>
        <v>4726</v>
      </c>
    </row>
    <row r="14" spans="1:7" x14ac:dyDescent="0.3">
      <c r="A14" s="14" t="s">
        <v>266</v>
      </c>
      <c r="B14" s="51" t="str">
        <f>IF(IFERROR(VLOOKUP(A14,'4 IS Expanded'!A:C,2,),"")&gt;"",IFERROR(VLOOKUP(A14,'4 IS Expanded'!A:C,2,),""),IFERROR(VLOOKUP(A14,'4 IS Expanded'!A:C,3,),""))</f>
        <v>Operating</v>
      </c>
      <c r="D14" s="38"/>
      <c r="E14" s="38">
        <f>+'4 IS Expanded'!E14</f>
        <v>-39</v>
      </c>
      <c r="F14" s="38">
        <f>+'4 IS Expanded'!F14</f>
        <v>-41</v>
      </c>
      <c r="G14" s="38">
        <f>+'4 IS Expanded'!G14</f>
        <v>-38</v>
      </c>
    </row>
    <row r="15" spans="1:7" x14ac:dyDescent="0.3">
      <c r="A15" s="14" t="s">
        <v>84</v>
      </c>
      <c r="B15" s="51" t="str">
        <f>IF(IFERROR(VLOOKUP(A15,'4 IS Expanded'!A:C,2,),"")&gt;"",IFERROR(VLOOKUP(A15,'4 IS Expanded'!A:C,2,),""),IFERROR(VLOOKUP(A15,'4 IS Expanded'!A:C,3,),""))</f>
        <v>Operating</v>
      </c>
      <c r="C15" s="51"/>
      <c r="D15" s="38"/>
      <c r="E15" s="26">
        <f>+'4 IS Expanded'!E15</f>
        <v>-98</v>
      </c>
      <c r="F15" s="26">
        <f>+'4 IS Expanded'!F15</f>
        <v>-96</v>
      </c>
      <c r="G15" s="26">
        <f>+'4 IS Expanded'!G15</f>
        <v>-87</v>
      </c>
    </row>
    <row r="16" spans="1:7" x14ac:dyDescent="0.3">
      <c r="A16" s="14" t="s">
        <v>85</v>
      </c>
      <c r="B16" s="51" t="str">
        <f>IF(IFERROR(VLOOKUP(A16,'4 IS Expanded'!A:C,2,),"")&gt;"",IFERROR(VLOOKUP(A16,'4 IS Expanded'!A:C,2,),""),IFERROR(VLOOKUP(A16,'4 IS Expanded'!A:C,3,),""))</f>
        <v>Financial</v>
      </c>
      <c r="C16" s="51"/>
      <c r="D16" s="38"/>
      <c r="E16" s="26">
        <f>+'4 IS Expanded'!E16</f>
        <v>-174</v>
      </c>
      <c r="F16" s="26">
        <f>+'4 IS Expanded'!F16</f>
        <v>-164</v>
      </c>
      <c r="G16" s="26">
        <f>+'4 IS Expanded'!G16</f>
        <v>-165</v>
      </c>
    </row>
    <row r="17" spans="1:9" x14ac:dyDescent="0.3">
      <c r="A17" s="14" t="s">
        <v>86</v>
      </c>
      <c r="B17" s="51" t="str">
        <f>IF(IFERROR(VLOOKUP(A17,'4 IS Expanded'!A:C,2,),"")&gt;"",IFERROR(VLOOKUP(A17,'4 IS Expanded'!A:C,2,),""),IFERROR(VLOOKUP(A17,'4 IS Expanded'!A:C,3,),""))</f>
        <v>Financial</v>
      </c>
      <c r="C17" s="51"/>
      <c r="D17" s="38"/>
      <c r="E17" s="26">
        <f>+'4 IS Expanded'!E17</f>
        <v>352</v>
      </c>
      <c r="F17" s="26">
        <f>+'4 IS Expanded'!F17</f>
        <v>371</v>
      </c>
      <c r="G17" s="26">
        <f>+'4 IS Expanded'!G17</f>
        <v>361</v>
      </c>
    </row>
    <row r="18" spans="1:9" x14ac:dyDescent="0.3">
      <c r="A18" s="14" t="s">
        <v>409</v>
      </c>
      <c r="B18" s="51" t="str">
        <f>IF(IFERROR(VLOOKUP(A18,'4 IS Expanded'!A:C,2,),"")&gt;"",IFERROR(VLOOKUP(A18,'4 IS Expanded'!A:C,2,),""),IFERROR(VLOOKUP(A18,'4 IS Expanded'!A:C,3,),""))</f>
        <v>Financial</v>
      </c>
      <c r="C18" s="51"/>
      <c r="D18" s="38"/>
      <c r="E18" s="26">
        <f>+'4 IS Expanded'!E18</f>
        <v>-13</v>
      </c>
      <c r="F18" s="26">
        <f>+'4 IS Expanded'!F18</f>
        <v>-9</v>
      </c>
      <c r="G18" s="26">
        <f>+'4 IS Expanded'!G18</f>
        <v>-8</v>
      </c>
    </row>
    <row r="19" spans="1:9" x14ac:dyDescent="0.3">
      <c r="A19" s="14" t="s">
        <v>87</v>
      </c>
      <c r="B19" s="51" t="str">
        <f>IF(IFERROR(VLOOKUP(A19,'4 IS Expanded'!A:C,2,),"")&gt;"",IFERROR(VLOOKUP(A19,'4 IS Expanded'!A:C,2,),""),IFERROR(VLOOKUP(A19,'4 IS Expanded'!A:C,3,),""))</f>
        <v>Financial</v>
      </c>
      <c r="C19" s="51"/>
      <c r="D19" s="38"/>
      <c r="E19" s="26">
        <f>+'4 IS Expanded'!E19</f>
        <v>-323</v>
      </c>
      <c r="F19" s="26">
        <f>+'4 IS Expanded'!F19</f>
        <v>36</v>
      </c>
      <c r="G19" s="26">
        <f>+'4 IS Expanded'!G19</f>
        <v>-269</v>
      </c>
    </row>
    <row r="20" spans="1:9" x14ac:dyDescent="0.3">
      <c r="A20" s="14" t="s">
        <v>410</v>
      </c>
      <c r="B20" s="51" t="str">
        <f>IF(IFERROR(VLOOKUP(A20,'4 IS Expanded'!A:C,2,),"")&gt;"",IFERROR(VLOOKUP(A20,'4 IS Expanded'!A:C,2,),""),IFERROR(VLOOKUP(A20,'4 IS Expanded'!A:C,3,),""))</f>
        <v>Financial</v>
      </c>
      <c r="C20" s="51"/>
      <c r="D20" s="38"/>
      <c r="E20" s="26">
        <f>+'4 IS Expanded'!E20</f>
        <v>-1</v>
      </c>
      <c r="F20" s="26">
        <f>+'4 IS Expanded'!F20</f>
        <v>151</v>
      </c>
      <c r="G20" s="26">
        <f>+'4 IS Expanded'!G20</f>
        <v>30</v>
      </c>
    </row>
    <row r="21" spans="1:9" x14ac:dyDescent="0.3">
      <c r="A21" s="14" t="s">
        <v>411</v>
      </c>
      <c r="B21" s="51" t="str">
        <f>IF(IFERROR(VLOOKUP(A21,'4 IS Expanded'!A:C,2,),"")&gt;"",IFERROR(VLOOKUP(A21,'4 IS Expanded'!A:C,2,),""),IFERROR(VLOOKUP(A21,'4 IS Expanded'!A:C,3,),""))</f>
        <v>Operating</v>
      </c>
      <c r="C21" s="51"/>
      <c r="D21" s="38"/>
      <c r="E21" s="26">
        <f>+'4 IS Expanded'!E21</f>
        <v>-36</v>
      </c>
      <c r="F21" s="26">
        <f>+'4 IS Expanded'!F21</f>
        <v>-34</v>
      </c>
      <c r="G21" s="26">
        <f>+'4 IS Expanded'!G21</f>
        <v>-27</v>
      </c>
    </row>
    <row r="22" spans="1:9" x14ac:dyDescent="0.3">
      <c r="A22" s="14" t="s">
        <v>412</v>
      </c>
      <c r="B22" s="51" t="str">
        <f>IF(IFERROR(VLOOKUP(A22,'4 IS Expanded'!A:C,2,),"")&gt;"",IFERROR(VLOOKUP(A22,'4 IS Expanded'!A:C,2,),""),IFERROR(VLOOKUP(A22,'4 IS Expanded'!A:C,3,),""))</f>
        <v>Operating</v>
      </c>
      <c r="C22" s="51"/>
      <c r="D22" s="38"/>
      <c r="E22" s="26">
        <f>+'4 IS Expanded'!E22</f>
        <v>-21</v>
      </c>
      <c r="F22" s="26">
        <f>+'4 IS Expanded'!F22</f>
        <v>-18</v>
      </c>
      <c r="G22" s="26">
        <f>+'4 IS Expanded'!G22</f>
        <v>-18</v>
      </c>
    </row>
    <row r="23" spans="1:9" x14ac:dyDescent="0.3">
      <c r="A23" s="14" t="s">
        <v>418</v>
      </c>
      <c r="B23" s="51" t="str">
        <f>IF(IFERROR(VLOOKUP(A23,'4 IS Expanded'!A:C,2,),"")&gt;"",IFERROR(VLOOKUP(A23,'4 IS Expanded'!A:C,2,),""),IFERROR(VLOOKUP(A23,'4 IS Expanded'!A:C,3,),""))</f>
        <v>Operating</v>
      </c>
      <c r="C23" s="51"/>
      <c r="D23" s="38"/>
      <c r="E23" s="26">
        <f>+'4 IS Expanded'!E23</f>
        <v>-17</v>
      </c>
      <c r="F23" s="26">
        <f>+'4 IS Expanded'!F23</f>
        <v>-16</v>
      </c>
      <c r="G23" s="26">
        <f>+'4 IS Expanded'!G23</f>
        <v>-11</v>
      </c>
    </row>
    <row r="24" spans="1:9" x14ac:dyDescent="0.3">
      <c r="A24" s="14" t="s">
        <v>419</v>
      </c>
      <c r="B24" s="51" t="str">
        <f>IF(IFERROR(VLOOKUP(A24,'4 IS Expanded'!A:C,2,),"")&gt;"",IFERROR(VLOOKUP(A24,'4 IS Expanded'!A:C,2,),""),IFERROR(VLOOKUP(A24,'4 IS Expanded'!A:C,3,),""))</f>
        <v>Operating</v>
      </c>
      <c r="C24" s="51"/>
      <c r="D24" s="38"/>
      <c r="E24" s="26">
        <f>+'4 IS Expanded'!E24</f>
        <v>-7</v>
      </c>
      <c r="F24" s="26">
        <f>+'4 IS Expanded'!F24</f>
        <v>-6</v>
      </c>
      <c r="G24" s="26">
        <f>+'4 IS Expanded'!G24</f>
        <v>-3</v>
      </c>
    </row>
    <row r="25" spans="1:9" x14ac:dyDescent="0.3">
      <c r="A25" s="14" t="s">
        <v>294</v>
      </c>
      <c r="B25" s="51" t="str">
        <f>IF(IFERROR(VLOOKUP(A25,'4 IS Expanded'!A:C,2,),"")&gt;"",IFERROR(VLOOKUP(A25,'4 IS Expanded'!A:C,2,),""),IFERROR(VLOOKUP(A25,'4 IS Expanded'!A:C,3,),""))</f>
        <v>Operating</v>
      </c>
      <c r="C25" s="51"/>
      <c r="D25" s="38"/>
      <c r="E25" s="26">
        <f>+'4 IS Expanded'!E25</f>
        <v>-182</v>
      </c>
      <c r="F25" s="26">
        <f>+'4 IS Expanded'!F25</f>
        <v>-148</v>
      </c>
      <c r="G25" s="26">
        <f>+'4 IS Expanded'!G25</f>
        <v>-154</v>
      </c>
    </row>
    <row r="26" spans="1:9" x14ac:dyDescent="0.3">
      <c r="A26" s="14" t="s">
        <v>167</v>
      </c>
      <c r="B26" s="51" t="str">
        <f>IF(IFERROR(VLOOKUP(A26,'4 IS Expanded'!A:C,2,),"")&gt;"",IFERROR(VLOOKUP(A26,'4 IS Expanded'!A:C,2,),""),IFERROR(VLOOKUP(A26,'4 IS Expanded'!A:C,3,),""))</f>
        <v>Operating</v>
      </c>
      <c r="C26" s="51"/>
      <c r="D26" s="38"/>
      <c r="E26" s="26">
        <f>+'4 IS Expanded'!E26</f>
        <v>-735</v>
      </c>
      <c r="F26" s="26">
        <f>+'4 IS Expanded'!F26</f>
        <v>-732</v>
      </c>
      <c r="G26" s="26">
        <f>+'4 IS Expanded'!G26</f>
        <v>-752</v>
      </c>
    </row>
    <row r="27" spans="1:9" x14ac:dyDescent="0.3">
      <c r="A27" s="14" t="s">
        <v>335</v>
      </c>
      <c r="B27" s="51" t="str">
        <f>IF(IFERROR(VLOOKUP(A27,'4 IS Expanded'!A:C,2,),"")&gt;"",IFERROR(VLOOKUP(A27,'4 IS Expanded'!A:C,2,),""),IFERROR(VLOOKUP(A27,'4 IS Expanded'!A:C,3,),""))</f>
        <v>Operating</v>
      </c>
      <c r="C27" s="51"/>
      <c r="D27" s="38"/>
      <c r="E27" s="26">
        <f>+'4 IS Expanded'!E27</f>
        <v>-9</v>
      </c>
      <c r="F27" s="26">
        <f>+'4 IS Expanded'!F27</f>
        <v>-14</v>
      </c>
      <c r="G27" s="26">
        <f>+'4 IS Expanded'!G27</f>
        <v>-4</v>
      </c>
    </row>
    <row r="28" spans="1:9" x14ac:dyDescent="0.3">
      <c r="A28" s="14" t="s">
        <v>78</v>
      </c>
      <c r="B28" s="51" t="str">
        <f>IF(IFERROR(VLOOKUP(A28,'4 IS Expanded'!A:C,2,),"")&gt;"",IFERROR(VLOOKUP(A28,'4 IS Expanded'!A:C,2,),""),IFERROR(VLOOKUP(A28,'4 IS Expanded'!A:C,3,),""))</f>
        <v/>
      </c>
      <c r="C28" s="161" t="s">
        <v>187</v>
      </c>
      <c r="D28" s="38"/>
      <c r="E28" s="26">
        <f>-'5 AJE Leases'!C24</f>
        <v>-159</v>
      </c>
      <c r="F28" s="26">
        <f>-'5 AJE Leases'!D24</f>
        <v>-180</v>
      </c>
      <c r="G28" s="217">
        <f>-'5 AJE Leases'!E24</f>
        <v>-119</v>
      </c>
      <c r="I28" s="236" t="s">
        <v>493</v>
      </c>
    </row>
    <row r="29" spans="1:9" x14ac:dyDescent="0.3">
      <c r="A29" s="14" t="s">
        <v>336</v>
      </c>
      <c r="B29" s="51" t="str">
        <f>IF(IFERROR(VLOOKUP(A29,'4 IS Expanded'!A:C,2,),"")&gt;"",IFERROR(VLOOKUP(A29,'4 IS Expanded'!A:C,2,),""),IFERROR(VLOOKUP(A29,'4 IS Expanded'!A:C,3,),""))</f>
        <v>Operating</v>
      </c>
      <c r="C29" s="51"/>
      <c r="D29" s="38"/>
      <c r="E29" s="29">
        <f>+'4 IS Expanded'!E28-'5 AJE Leases'!C22</f>
        <v>-1872</v>
      </c>
      <c r="F29" s="29">
        <f>+'4 IS Expanded'!F28-'5 AJE Leases'!D22</f>
        <v>-2397</v>
      </c>
      <c r="G29" s="222">
        <f>+'4 IS Expanded'!G28-'5 AJE Leases'!E22</f>
        <v>-1742</v>
      </c>
      <c r="I29" s="236" t="s">
        <v>492</v>
      </c>
    </row>
    <row r="30" spans="1:9" s="74" customFormat="1" x14ac:dyDescent="0.3">
      <c r="A30" s="74" t="s">
        <v>151</v>
      </c>
      <c r="B30" s="191"/>
      <c r="C30" s="191"/>
      <c r="D30" s="151"/>
      <c r="E30" s="150">
        <f>SUM(E13:E29)</f>
        <v>1500</v>
      </c>
      <c r="F30" s="150">
        <f>SUM(F13:F29)</f>
        <v>1402</v>
      </c>
      <c r="G30" s="150">
        <f>SUM(G13:G29)</f>
        <v>1720</v>
      </c>
    </row>
    <row r="31" spans="1:9" x14ac:dyDescent="0.3">
      <c r="A31" s="14" t="s">
        <v>3</v>
      </c>
      <c r="B31" s="51" t="str">
        <f>IF(IFERROR(VLOOKUP(A31,'4 IS Expanded'!A:C,2,),"")&gt;"",IFERROR(VLOOKUP(A31,'4 IS Expanded'!A:C,2,),""),IFERROR(VLOOKUP(A31,'4 IS Expanded'!A:C,3,),""))</f>
        <v>Financial</v>
      </c>
      <c r="C31" s="51"/>
      <c r="D31" s="38"/>
      <c r="E31" s="38">
        <f>+'4 IS Expanded'!E30-'5 AJE Leases'!C23</f>
        <v>-423</v>
      </c>
      <c r="F31" s="38">
        <f>+'4 IS Expanded'!F30-'5 AJE Leases'!D23</f>
        <v>-271</v>
      </c>
      <c r="G31" s="246">
        <f>+'4 IS Expanded'!G30-'5 AJE Leases'!E23</f>
        <v>-301</v>
      </c>
      <c r="I31" s="236" t="s">
        <v>492</v>
      </c>
    </row>
    <row r="32" spans="1:9" x14ac:dyDescent="0.3">
      <c r="A32" s="14" t="s">
        <v>413</v>
      </c>
      <c r="B32" s="51" t="str">
        <f>IF(IFERROR(VLOOKUP(A32,'4 IS Expanded'!A:C,2,),"")&gt;"",IFERROR(VLOOKUP(A32,'4 IS Expanded'!A:C,2,),""),IFERROR(VLOOKUP(A32,'4 IS Expanded'!A:C,3,),""))</f>
        <v>Financial</v>
      </c>
      <c r="C32" s="51"/>
      <c r="D32" s="38"/>
      <c r="E32" s="26">
        <f>+'4 IS Expanded'!E31</f>
        <v>-39</v>
      </c>
      <c r="F32" s="26">
        <f>+'4 IS Expanded'!F31</f>
        <v>-37</v>
      </c>
      <c r="G32" s="26">
        <f>+'4 IS Expanded'!G31</f>
        <v>-36</v>
      </c>
    </row>
    <row r="33" spans="1:9" x14ac:dyDescent="0.3">
      <c r="A33" s="14" t="s">
        <v>414</v>
      </c>
      <c r="B33" s="51" t="str">
        <f>IF(IFERROR(VLOOKUP(A33,'4 IS Expanded'!A:C,2,),"")&gt;"",IFERROR(VLOOKUP(A33,'4 IS Expanded'!A:C,2,),""),IFERROR(VLOOKUP(A33,'4 IS Expanded'!A:C,3,),""))</f>
        <v>Financial</v>
      </c>
      <c r="C33" s="51"/>
      <c r="D33" s="38"/>
      <c r="E33" s="26">
        <f>+'4 IS Expanded'!E32</f>
        <v>90</v>
      </c>
      <c r="F33" s="26">
        <f>+'4 IS Expanded'!F32</f>
        <v>98</v>
      </c>
      <c r="G33" s="26">
        <f>+'4 IS Expanded'!G32</f>
        <v>94</v>
      </c>
    </row>
    <row r="34" spans="1:9" x14ac:dyDescent="0.3">
      <c r="A34" s="14" t="s">
        <v>415</v>
      </c>
      <c r="B34" s="51" t="str">
        <f>IF(IFERROR(VLOOKUP(A34,'4 IS Expanded'!A:C,2,),"")&gt;"",IFERROR(VLOOKUP(A34,'4 IS Expanded'!A:C,2,),""),IFERROR(VLOOKUP(A34,'4 IS Expanded'!A:C,3,),""))</f>
        <v>Financial</v>
      </c>
      <c r="C34" s="51"/>
      <c r="D34" s="38"/>
      <c r="E34" s="26">
        <f>+'4 IS Expanded'!E33</f>
        <v>9</v>
      </c>
      <c r="F34" s="26">
        <f>+'4 IS Expanded'!F33</f>
        <v>9</v>
      </c>
      <c r="G34" s="26">
        <f>+'4 IS Expanded'!G33</f>
        <v>9</v>
      </c>
    </row>
    <row r="35" spans="1:9" x14ac:dyDescent="0.3">
      <c r="A35" s="14" t="s">
        <v>416</v>
      </c>
      <c r="B35" s="51" t="str">
        <f>IF(IFERROR(VLOOKUP(A35,'4 IS Expanded'!A:C,2,),"")&gt;"",IFERROR(VLOOKUP(A35,'4 IS Expanded'!A:C,2,),""),IFERROR(VLOOKUP(A35,'4 IS Expanded'!A:C,3,),""))</f>
        <v>Financial</v>
      </c>
      <c r="C35" s="51"/>
      <c r="D35" s="38"/>
      <c r="E35" s="26">
        <f>+'4 IS Expanded'!E34</f>
        <v>19</v>
      </c>
      <c r="F35" s="26">
        <f>+'4 IS Expanded'!F34</f>
        <v>90</v>
      </c>
      <c r="G35" s="26">
        <f>+'4 IS Expanded'!G34</f>
        <v>-81</v>
      </c>
    </row>
    <row r="36" spans="1:9" x14ac:dyDescent="0.3">
      <c r="A36" s="14" t="s">
        <v>417</v>
      </c>
      <c r="B36" s="51" t="str">
        <f>IF(IFERROR(VLOOKUP(A36,'4 IS Expanded'!A:C,2,),"")&gt;"",IFERROR(VLOOKUP(A36,'4 IS Expanded'!A:C,2,),""),IFERROR(VLOOKUP(A36,'4 IS Expanded'!A:C,3,),""))</f>
        <v>Financial</v>
      </c>
      <c r="C36" s="51"/>
      <c r="D36" s="38"/>
      <c r="E36" s="26">
        <f>+'4 IS Expanded'!E35</f>
        <v>0</v>
      </c>
      <c r="F36" s="26">
        <f>+'4 IS Expanded'!F35</f>
        <v>-3</v>
      </c>
      <c r="G36" s="26">
        <f>+'4 IS Expanded'!G35</f>
        <v>0</v>
      </c>
    </row>
    <row r="37" spans="1:9" x14ac:dyDescent="0.3">
      <c r="A37" s="14" t="s">
        <v>420</v>
      </c>
      <c r="B37" s="51" t="str">
        <f>IF(IFERROR(VLOOKUP(A37,'4 IS Expanded'!A:C,2,),"")&gt;"",IFERROR(VLOOKUP(A37,'4 IS Expanded'!A:C,2,),""),IFERROR(VLOOKUP(A37,'4 IS Expanded'!A:C,3,),""))</f>
        <v>Financial</v>
      </c>
      <c r="C37" s="51"/>
      <c r="D37" s="38"/>
      <c r="E37" s="26">
        <f>+'4 IS Expanded'!E36</f>
        <v>-3</v>
      </c>
      <c r="F37" s="26">
        <f>+'4 IS Expanded'!F36</f>
        <v>-3</v>
      </c>
      <c r="G37" s="26">
        <f>+'4 IS Expanded'!G36</f>
        <v>-1</v>
      </c>
    </row>
    <row r="38" spans="1:9" x14ac:dyDescent="0.3">
      <c r="A38" s="14" t="s">
        <v>421</v>
      </c>
      <c r="B38" s="51" t="str">
        <f>IF(IFERROR(VLOOKUP(A38,'4 IS Expanded'!A:C,2,),"")&gt;"",IFERROR(VLOOKUP(A38,'4 IS Expanded'!A:C,2,),""),IFERROR(VLOOKUP(A38,'4 IS Expanded'!A:C,3,),""))</f>
        <v>Financial</v>
      </c>
      <c r="C38" s="51"/>
      <c r="D38" s="38"/>
      <c r="E38" s="26">
        <f>+'4 IS Expanded'!E37</f>
        <v>-1</v>
      </c>
      <c r="F38" s="26">
        <f>+'4 IS Expanded'!F37</f>
        <v>-1</v>
      </c>
      <c r="G38" s="26">
        <f>+'4 IS Expanded'!G37</f>
        <v>-1</v>
      </c>
    </row>
    <row r="39" spans="1:9" x14ac:dyDescent="0.3">
      <c r="A39" s="14" t="s">
        <v>422</v>
      </c>
      <c r="B39" s="51" t="str">
        <f>IF(IFERROR(VLOOKUP(A39,'4 IS Expanded'!A:C,2,),"")&gt;"",IFERROR(VLOOKUP(A39,'4 IS Expanded'!A:C,2,),""),IFERROR(VLOOKUP(A39,'4 IS Expanded'!A:C,3,),""))</f>
        <v>Financial</v>
      </c>
      <c r="C39" s="51"/>
      <c r="D39" s="38"/>
      <c r="E39" s="26">
        <f>+'4 IS Expanded'!E38</f>
        <v>-3</v>
      </c>
      <c r="F39" s="26">
        <f>+'4 IS Expanded'!F38</f>
        <v>0</v>
      </c>
      <c r="G39" s="26">
        <f>+'4 IS Expanded'!G38</f>
        <v>5</v>
      </c>
    </row>
    <row r="40" spans="1:9" x14ac:dyDescent="0.3">
      <c r="A40" s="14" t="s">
        <v>240</v>
      </c>
      <c r="B40" s="51" t="str">
        <f>IF(IFERROR(VLOOKUP(A40,'4 IS Expanded'!A:C,2,),"")&gt;"",IFERROR(VLOOKUP(A40,'4 IS Expanded'!A:C,2,),""),IFERROR(VLOOKUP(A40,'4 IS Expanded'!A:C,3,),""))</f>
        <v>Operating</v>
      </c>
      <c r="C40" s="51"/>
      <c r="D40" s="38"/>
      <c r="E40" s="29">
        <f>+'4 IS Expanded'!E39</f>
        <v>-215</v>
      </c>
      <c r="F40" s="29">
        <f>+'4 IS Expanded'!F39</f>
        <v>373</v>
      </c>
      <c r="G40" s="29">
        <f>+'4 IS Expanded'!G39</f>
        <v>-79</v>
      </c>
    </row>
    <row r="41" spans="1:9" s="74" customFormat="1" x14ac:dyDescent="0.3">
      <c r="A41" s="74" t="s">
        <v>152</v>
      </c>
      <c r="B41" s="191"/>
      <c r="C41" s="191"/>
      <c r="D41" s="151"/>
      <c r="E41" s="151">
        <f>SUM(E30:E40)</f>
        <v>934</v>
      </c>
      <c r="F41" s="151">
        <f t="shared" ref="F41:G41" si="0">SUM(F30:F40)</f>
        <v>1657</v>
      </c>
      <c r="G41" s="151">
        <f t="shared" si="0"/>
        <v>1329</v>
      </c>
    </row>
    <row r="42" spans="1:9" x14ac:dyDescent="0.3">
      <c r="A42" s="14" t="s">
        <v>242</v>
      </c>
      <c r="B42" s="51" t="str">
        <f>IF(IFERROR(VLOOKUP(A42,'4 IS Expanded'!A:C,2,),"")&gt;"",IFERROR(VLOOKUP(A42,'4 IS Expanded'!A:C,2,),""),IFERROR(VLOOKUP(A42,'4 IS Expanded'!A:C,3,),""))</f>
        <v>Split</v>
      </c>
      <c r="C42" s="51"/>
      <c r="D42" s="38"/>
      <c r="E42" s="26">
        <f>+'4 IS Expanded'!E41</f>
        <v>-235</v>
      </c>
      <c r="F42" s="26">
        <f>+'4 IS Expanded'!F41</f>
        <v>-410</v>
      </c>
      <c r="G42" s="26">
        <f>+'4 IS Expanded'!G41</f>
        <v>-181</v>
      </c>
    </row>
    <row r="43" spans="1:9" x14ac:dyDescent="0.3">
      <c r="A43" s="14" t="s">
        <v>135</v>
      </c>
      <c r="B43" s="51" t="str">
        <f>IF(IFERROR(VLOOKUP(A43,'4 IS Expanded'!A:C,2,),"")&gt;"",IFERROR(VLOOKUP(A43,'4 IS Expanded'!A:C,2,),""),IFERROR(VLOOKUP(A43,'4 IS Expanded'!A:C,3,),""))</f>
        <v/>
      </c>
      <c r="C43" s="245" t="s">
        <v>144</v>
      </c>
      <c r="D43" s="38"/>
      <c r="E43" s="26">
        <f>-'5 AJE Options'!C73-'5 AJE Options'!C74</f>
        <v>61.944844000000018</v>
      </c>
      <c r="F43" s="26">
        <f>-'5 AJE Options'!D73-'5 AJE Options'!D74</f>
        <v>74.332232399999896</v>
      </c>
      <c r="G43" s="217">
        <f>-'5 AJE Options'!E73-'5 AJE Options'!E74</f>
        <v>47.957376600000046</v>
      </c>
      <c r="I43" s="236" t="s">
        <v>493</v>
      </c>
    </row>
    <row r="44" spans="1:9" x14ac:dyDescent="0.3">
      <c r="A44" s="14" t="s">
        <v>243</v>
      </c>
      <c r="B44" s="51" t="str">
        <f>IF(IFERROR(VLOOKUP(A44,'4 IS Expanded'!A:C,2,),"")&gt;"",IFERROR(VLOOKUP(A44,'4 IS Expanded'!A:C,2,),""),IFERROR(VLOOKUP(A44,'4 IS Expanded'!A:C,3,),""))</f>
        <v>Operating</v>
      </c>
      <c r="C44" s="51"/>
      <c r="D44" s="38"/>
      <c r="E44" s="29">
        <f>+'4 IS Expanded'!E42</f>
        <v>1</v>
      </c>
      <c r="F44" s="29">
        <f>+'4 IS Expanded'!F42</f>
        <v>7</v>
      </c>
      <c r="G44" s="29">
        <f>+'4 IS Expanded'!G42</f>
        <v>196</v>
      </c>
    </row>
    <row r="45" spans="1:9" s="74" customFormat="1" x14ac:dyDescent="0.3">
      <c r="A45" s="74" t="s">
        <v>153</v>
      </c>
      <c r="B45" s="191"/>
      <c r="C45" s="191"/>
      <c r="D45" s="151"/>
      <c r="E45" s="150">
        <f>SUM(E41:E44)</f>
        <v>761.94484399999999</v>
      </c>
      <c r="F45" s="150">
        <f>SUM(F41:F44)</f>
        <v>1328.3322323999998</v>
      </c>
      <c r="G45" s="150">
        <f>SUM(G41:G44)</f>
        <v>1391.9573766000001</v>
      </c>
    </row>
    <row r="46" spans="1:9" x14ac:dyDescent="0.3">
      <c r="A46" s="14" t="s">
        <v>23</v>
      </c>
      <c r="B46" s="51" t="str">
        <f>IF(IFERROR(VLOOKUP(A46,'4 IS Expanded'!A:C,2,),"")&gt;"",IFERROR(VLOOKUP(A46,'4 IS Expanded'!A:C,2,),""),IFERROR(VLOOKUP(A46,'4 IS Expanded'!A:C,3,),""))</f>
        <v>Financial</v>
      </c>
      <c r="C46" s="51"/>
      <c r="D46" s="38"/>
      <c r="E46" s="26">
        <f>+'4 IS Expanded'!E44</f>
        <v>-1</v>
      </c>
      <c r="F46" s="26">
        <f>+'4 IS Expanded'!F44</f>
        <v>0</v>
      </c>
      <c r="G46" s="26">
        <f>+'4 IS Expanded'!G44</f>
        <v>-8</v>
      </c>
    </row>
    <row r="47" spans="1:9" s="74" customFormat="1" ht="15" thickBot="1" x14ac:dyDescent="0.35">
      <c r="A47" s="74" t="s">
        <v>244</v>
      </c>
      <c r="B47" s="191"/>
      <c r="C47" s="191"/>
      <c r="D47" s="151"/>
      <c r="E47" s="209">
        <f t="shared" ref="E47:G47" si="1">SUM(E45:E46)</f>
        <v>760.94484399999999</v>
      </c>
      <c r="F47" s="209">
        <f t="shared" si="1"/>
        <v>1328.3322323999998</v>
      </c>
      <c r="G47" s="209">
        <f t="shared" si="1"/>
        <v>1383.9573766000001</v>
      </c>
    </row>
    <row r="48" spans="1:9" ht="15" thickTop="1" x14ac:dyDescent="0.3">
      <c r="B48" s="51" t="str">
        <f>IF(IFERROR(VLOOKUP(A48,'4 IS Expanded'!A:C,2,),"")&gt;"",IFERROR(VLOOKUP(A48,'4 IS Expanded'!A:C,2,),""),IFERROR(VLOOKUP(A48,'4 IS Expanded'!A:C,3,),""))</f>
        <v/>
      </c>
      <c r="C48" s="51"/>
      <c r="D48" s="38"/>
      <c r="E48" s="26"/>
      <c r="F48" s="26"/>
      <c r="G48" s="26"/>
    </row>
    <row r="49" spans="1:7" x14ac:dyDescent="0.3">
      <c r="A49" s="74" t="s">
        <v>154</v>
      </c>
      <c r="C49" s="51"/>
      <c r="D49" s="38"/>
      <c r="E49" s="26"/>
      <c r="F49" s="26"/>
      <c r="G49" s="26"/>
    </row>
    <row r="50" spans="1:7" x14ac:dyDescent="0.3">
      <c r="A50" s="14" t="s">
        <v>245</v>
      </c>
      <c r="B50" s="51" t="str">
        <f>IF(IFERROR(VLOOKUP(A50,'4 IS Expanded'!A:C,2,),"")&gt;"",IFERROR(VLOOKUP(A50,'4 IS Expanded'!A:C,2,),""),IFERROR(VLOOKUP(A50,'4 IS Expanded'!A:C,3,),""))</f>
        <v>Operating</v>
      </c>
      <c r="C50" s="51"/>
      <c r="D50" s="38"/>
      <c r="E50" s="26">
        <f>+'4 IS Expanded'!E48</f>
        <v>-254</v>
      </c>
      <c r="F50" s="26">
        <f>+'4 IS Expanded'!F48</f>
        <v>79</v>
      </c>
      <c r="G50" s="26">
        <f>+'4 IS Expanded'!G48</f>
        <v>-48</v>
      </c>
    </row>
    <row r="51" spans="1:7" x14ac:dyDescent="0.3">
      <c r="A51" s="14" t="s">
        <v>246</v>
      </c>
      <c r="B51" s="51" t="str">
        <f>IF(IFERROR(VLOOKUP(A51,'4 IS Expanded'!A:C,2,),"")&gt;"",IFERROR(VLOOKUP(A51,'4 IS Expanded'!A:C,2,),""),IFERROR(VLOOKUP(A51,'4 IS Expanded'!A:C,3,),""))</f>
        <v>Operating</v>
      </c>
      <c r="C51" s="51"/>
      <c r="D51" s="38"/>
      <c r="E51" s="26">
        <f>+'4 IS Expanded'!E49</f>
        <v>-28</v>
      </c>
      <c r="F51" s="26">
        <f>+'4 IS Expanded'!F49</f>
        <v>6</v>
      </c>
      <c r="G51" s="26">
        <f>+'4 IS Expanded'!G49</f>
        <v>8</v>
      </c>
    </row>
    <row r="52" spans="1:7" x14ac:dyDescent="0.3">
      <c r="A52" s="74" t="s">
        <v>445</v>
      </c>
      <c r="C52" s="51"/>
      <c r="D52" s="38"/>
      <c r="E52" s="26"/>
      <c r="F52" s="26"/>
      <c r="G52" s="26"/>
    </row>
    <row r="53" spans="1:7" x14ac:dyDescent="0.3">
      <c r="A53" s="14" t="s">
        <v>446</v>
      </c>
      <c r="B53" s="51" t="str">
        <f>IF(IFERROR(VLOOKUP(A53,'4 IS Expanded'!A:C,2,),"")&gt;"",IFERROR(VLOOKUP(A53,'4 IS Expanded'!A:C,2,),""),IFERROR(VLOOKUP(A53,'4 IS Expanded'!A:C,3,),""))</f>
        <v>Financial</v>
      </c>
      <c r="C53" s="51"/>
      <c r="D53" s="38"/>
      <c r="E53" s="26">
        <f>+'4 IS Expanded'!E51</f>
        <v>18</v>
      </c>
      <c r="F53" s="26">
        <f>+'4 IS Expanded'!F51</f>
        <v>32</v>
      </c>
      <c r="G53" s="26">
        <f>+'4 IS Expanded'!G51</f>
        <v>-11</v>
      </c>
    </row>
    <row r="54" spans="1:7" x14ac:dyDescent="0.3">
      <c r="A54" s="14" t="s">
        <v>447</v>
      </c>
      <c r="B54" s="51" t="str">
        <f>IF(IFERROR(VLOOKUP(A54,'4 IS Expanded'!A:C,2,),"")&gt;"",IFERROR(VLOOKUP(A54,'4 IS Expanded'!A:C,2,),""),IFERROR(VLOOKUP(A54,'4 IS Expanded'!A:C,3,),""))</f>
        <v>Operating</v>
      </c>
      <c r="C54" s="51"/>
      <c r="D54" s="38"/>
      <c r="E54" s="26">
        <f>+'4 IS Expanded'!E52</f>
        <v>2</v>
      </c>
      <c r="F54" s="26">
        <f>+'4 IS Expanded'!F52</f>
        <v>1</v>
      </c>
      <c r="G54" s="26">
        <f>+'4 IS Expanded'!G52</f>
        <v>1</v>
      </c>
    </row>
    <row r="55" spans="1:7" x14ac:dyDescent="0.3">
      <c r="A55" s="14" t="s">
        <v>248</v>
      </c>
      <c r="B55" s="51" t="str">
        <f>IF(IFERROR(VLOOKUP(A55,'4 IS Expanded'!A:C,2,),"")&gt;"",IFERROR(VLOOKUP(A55,'4 IS Expanded'!A:C,2,),""),IFERROR(VLOOKUP(A55,'4 IS Expanded'!A:C,3,),""))</f>
        <v>Operating</v>
      </c>
      <c r="C55" s="51"/>
      <c r="D55" s="38"/>
      <c r="E55" s="26">
        <f>+'4 IS Expanded'!E53</f>
        <v>63</v>
      </c>
      <c r="F55" s="26">
        <f>+'4 IS Expanded'!F53</f>
        <v>0</v>
      </c>
      <c r="G55" s="26">
        <f>+'4 IS Expanded'!G53</f>
        <v>0</v>
      </c>
    </row>
    <row r="56" spans="1:7" x14ac:dyDescent="0.3">
      <c r="A56" s="14" t="s">
        <v>33</v>
      </c>
      <c r="B56" s="51" t="str">
        <f>IF(IFERROR(VLOOKUP(A56,'4 IS Expanded'!A:C,2,),"")&gt;"",IFERROR(VLOOKUP(A56,'4 IS Expanded'!A:C,2,),""),IFERROR(VLOOKUP(A56,'4 IS Expanded'!A:C,3,),""))</f>
        <v>Financial</v>
      </c>
      <c r="C56" s="51"/>
      <c r="D56" s="38"/>
      <c r="E56" s="26">
        <f>+'4 IS Expanded'!E54</f>
        <v>0</v>
      </c>
      <c r="F56" s="26">
        <f>+'4 IS Expanded'!F54</f>
        <v>0</v>
      </c>
      <c r="G56" s="26">
        <f>+'4 IS Expanded'!G54</f>
        <v>7</v>
      </c>
    </row>
    <row r="57" spans="1:7" s="74" customFormat="1" ht="15" thickBot="1" x14ac:dyDescent="0.35">
      <c r="A57" s="74" t="s">
        <v>249</v>
      </c>
      <c r="B57" s="191"/>
      <c r="C57" s="191"/>
      <c r="D57" s="151"/>
      <c r="E57" s="209">
        <f>SUM(E47:E56)</f>
        <v>561.94484399999999</v>
      </c>
      <c r="F57" s="209">
        <f>SUM(F47:F56)</f>
        <v>1446.3322323999998</v>
      </c>
      <c r="G57" s="209">
        <f>SUM(G47:G56)</f>
        <v>1340.9573766000001</v>
      </c>
    </row>
    <row r="58" spans="1:7" ht="15" thickTop="1" x14ac:dyDescent="0.3">
      <c r="D58" s="143"/>
    </row>
    <row r="59" spans="1:7" s="74" customFormat="1" x14ac:dyDescent="0.3">
      <c r="A59" s="203" t="s">
        <v>13</v>
      </c>
      <c r="B59" s="204"/>
      <c r="C59" s="199"/>
      <c r="D59" s="207"/>
      <c r="E59" s="199"/>
      <c r="F59" s="199"/>
      <c r="G59" s="199"/>
    </row>
    <row r="60" spans="1:7" s="74" customFormat="1" x14ac:dyDescent="0.3">
      <c r="A60" s="203" t="s">
        <v>423</v>
      </c>
      <c r="B60" s="204"/>
      <c r="C60" s="199"/>
      <c r="D60" s="241"/>
      <c r="E60" s="242">
        <f>+'4 IS Expanded'!E55</f>
        <v>500</v>
      </c>
      <c r="F60" s="242">
        <f>+'4 IS Expanded'!F55</f>
        <v>1372</v>
      </c>
      <c r="G60" s="242">
        <f>+'4 IS Expanded'!G55</f>
        <v>1293</v>
      </c>
    </row>
    <row r="61" spans="1:7" s="74" customFormat="1" x14ac:dyDescent="0.3">
      <c r="A61" s="203" t="s">
        <v>172</v>
      </c>
      <c r="B61" s="204"/>
      <c r="C61" s="199"/>
      <c r="D61" s="241"/>
      <c r="E61" s="242">
        <f>SUM('5 AJE Leases'!C22:C24)</f>
        <v>0</v>
      </c>
      <c r="F61" s="242">
        <f>SUM('5 AJE Leases'!D22:D24)</f>
        <v>0</v>
      </c>
      <c r="G61" s="242">
        <f>SUM('5 AJE Leases'!E22:E24)</f>
        <v>0</v>
      </c>
    </row>
    <row r="62" spans="1:7" s="74" customFormat="1" x14ac:dyDescent="0.3">
      <c r="A62" s="203" t="s">
        <v>173</v>
      </c>
      <c r="B62" s="204"/>
      <c r="C62" s="199"/>
      <c r="D62" s="241"/>
      <c r="E62" s="242">
        <f>-'5 AJE Options'!C73-'5 AJE Options'!C74</f>
        <v>61.944844000000018</v>
      </c>
      <c r="F62" s="242">
        <f>-'5 AJE Options'!D73-'5 AJE Options'!D74</f>
        <v>74.332232399999896</v>
      </c>
      <c r="G62" s="242">
        <f>-'5 AJE Options'!E73-'5 AJE Options'!E74</f>
        <v>47.957376600000046</v>
      </c>
    </row>
    <row r="63" spans="1:7" s="74" customFormat="1" ht="15" thickBot="1" x14ac:dyDescent="0.35">
      <c r="A63" s="203" t="s">
        <v>424</v>
      </c>
      <c r="B63" s="204"/>
      <c r="C63" s="199"/>
      <c r="D63" s="241"/>
      <c r="E63" s="243">
        <f>SUM(E60:E62)</f>
        <v>561.94484399999999</v>
      </c>
      <c r="F63" s="243">
        <f>SUM(F60:F62)</f>
        <v>1446.3322323999998</v>
      </c>
      <c r="G63" s="243">
        <f>SUM(G60:G62)</f>
        <v>1340.9573766000001</v>
      </c>
    </row>
    <row r="64" spans="1:7" s="74" customFormat="1" ht="15" thickTop="1" x14ac:dyDescent="0.3">
      <c r="A64" s="203" t="s">
        <v>498</v>
      </c>
      <c r="B64" s="204"/>
      <c r="C64" s="199"/>
      <c r="D64" s="241"/>
      <c r="E64" s="244">
        <f>+E57-E63</f>
        <v>0</v>
      </c>
      <c r="F64" s="244">
        <f>+F57-F63</f>
        <v>0</v>
      </c>
      <c r="G64" s="244">
        <f>+G57-G63</f>
        <v>0</v>
      </c>
    </row>
    <row r="65" spans="4:4" x14ac:dyDescent="0.3">
      <c r="D65" s="14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H203"/>
  <sheetViews>
    <sheetView zoomScale="110" zoomScaleNormal="110" workbookViewId="0">
      <pane xSplit="1" ySplit="3" topLeftCell="B30" activePane="bottomRight" state="frozen"/>
      <selection activeCell="H23" sqref="H23"/>
      <selection pane="topRight" activeCell="H23" sqref="H23"/>
      <selection pane="bottomLeft" activeCell="H23" sqref="H23"/>
      <selection pane="bottomRight" activeCell="E30" sqref="E30"/>
    </sheetView>
  </sheetViews>
  <sheetFormatPr defaultRowHeight="14.4" x14ac:dyDescent="0.3"/>
  <cols>
    <col min="1" max="1" width="61.21875" bestFit="1" customWidth="1"/>
    <col min="2" max="2" width="9.88671875" style="1" bestFit="1" customWidth="1"/>
    <col min="3" max="3" width="9.5546875" bestFit="1" customWidth="1"/>
    <col min="4" max="6" width="10.88671875" bestFit="1" customWidth="1"/>
  </cols>
  <sheetData>
    <row r="1" spans="1:6" x14ac:dyDescent="0.3">
      <c r="A1" s="13" t="str">
        <f>+'3 BS Reported'!A1</f>
        <v>Kellogg</v>
      </c>
      <c r="B1" s="92"/>
      <c r="C1" s="13"/>
      <c r="D1" s="13"/>
      <c r="E1" s="13"/>
      <c r="F1" s="13"/>
    </row>
    <row r="2" spans="1:6" x14ac:dyDescent="0.3">
      <c r="A2" s="13"/>
      <c r="B2" s="92" t="s">
        <v>80</v>
      </c>
      <c r="C2" s="13"/>
      <c r="D2" s="13"/>
      <c r="E2" s="13"/>
      <c r="F2" s="13"/>
    </row>
    <row r="3" spans="1:6" ht="15" thickBot="1" x14ac:dyDescent="0.35">
      <c r="A3" s="13" t="str">
        <f>+'3 BS Reported'!A3</f>
        <v>Amounts in millions</v>
      </c>
      <c r="B3" s="92" t="s">
        <v>81</v>
      </c>
      <c r="C3" s="149">
        <f>+'5 BS Adjusted'!D3</f>
        <v>42371</v>
      </c>
      <c r="D3" s="149">
        <f>+'5 BS Adjusted'!E3</f>
        <v>42735</v>
      </c>
      <c r="E3" s="149">
        <f>+'5 BS Adjusted'!F3</f>
        <v>43099</v>
      </c>
      <c r="F3" s="149">
        <f>+'5 BS Adjusted'!G3</f>
        <v>43463</v>
      </c>
    </row>
    <row r="4" spans="1:6" x14ac:dyDescent="0.3">
      <c r="A4" s="247" t="s">
        <v>4</v>
      </c>
      <c r="B4" s="248"/>
      <c r="C4" s="249"/>
      <c r="D4" s="249"/>
      <c r="E4" s="249"/>
      <c r="F4" s="249"/>
    </row>
    <row r="5" spans="1:6" x14ac:dyDescent="0.3">
      <c r="A5" s="249" t="s">
        <v>5</v>
      </c>
      <c r="B5" s="248" t="str">
        <f>IF(IFERROR(VLOOKUP(A5,'5 BS Adjusted'!A:C,2,),"")&gt;"",IFERROR(VLOOKUP(A5,'5 BS Adjusted'!A:C,2,),""),IFERROR(VLOOKUP(A5,'5 BS Adjusted'!A:C,3,),""))</f>
        <v>Split</v>
      </c>
      <c r="C5" s="250">
        <f>MIN('5 BS Adjusted'!D5,ROUND(0.02*'3 IS Reported'!C5,0))</f>
        <v>251</v>
      </c>
      <c r="D5" s="250">
        <f>MIN('5 BS Adjusted'!E5,ROUND(0.02*SUM('5 IS Adjusted'!E5:E8),0))</f>
        <v>178</v>
      </c>
      <c r="E5" s="250">
        <f>MIN('5 BS Adjusted'!F5,ROUND(0.02*SUM('5 IS Adjusted'!F5:F8),0))</f>
        <v>173</v>
      </c>
      <c r="F5" s="250">
        <f>MIN('5 BS Adjusted'!G5,ROUND(0.02*SUM('5 IS Adjusted'!G5:G8),0))</f>
        <v>174</v>
      </c>
    </row>
    <row r="6" spans="1:6" x14ac:dyDescent="0.3">
      <c r="A6" s="249" t="s">
        <v>337</v>
      </c>
      <c r="B6" s="248" t="str">
        <f>IF(IFERROR(VLOOKUP(A6,'5 BS Adjusted'!A:C,2,),"")&gt;"",IFERROR(VLOOKUP(A6,'5 BS Adjusted'!A:C,2,),""),IFERROR(VLOOKUP(A6,'5 BS Adjusted'!A:C,3,),""))</f>
        <v>Operating</v>
      </c>
      <c r="C6" s="250">
        <f>IF($B6="Operating",+'5 BS Adjusted'!D6,"")</f>
        <v>1169</v>
      </c>
      <c r="D6" s="250">
        <f>IF($B6="Operating",+'5 BS Adjusted'!E6,"")</f>
        <v>1106</v>
      </c>
      <c r="E6" s="250">
        <f>IF($B6="Operating",+'5 BS Adjusted'!F6,"")</f>
        <v>1250</v>
      </c>
      <c r="F6" s="250">
        <f>IF($B6="Operating",+'5 BS Adjusted'!G6,"")</f>
        <v>1163</v>
      </c>
    </row>
    <row r="7" spans="1:6" x14ac:dyDescent="0.3">
      <c r="A7" s="249" t="s">
        <v>338</v>
      </c>
      <c r="B7" s="248" t="str">
        <f>IF(IFERROR(VLOOKUP(A7,'5 BS Adjusted'!A:C,2,),"")&gt;"",IFERROR(VLOOKUP(A7,'5 BS Adjusted'!A:C,2,),""),IFERROR(VLOOKUP(A7,'5 BS Adjusted'!A:C,3,),""))</f>
        <v>Operating</v>
      </c>
      <c r="C7" s="250">
        <f>IF($B7="Operating",+'5 BS Adjusted'!D7,"")</f>
        <v>-8</v>
      </c>
      <c r="D7" s="250">
        <f>IF($B7="Operating",+'5 BS Adjusted'!E7,"")</f>
        <v>-8</v>
      </c>
      <c r="E7" s="250">
        <f>IF($B7="Operating",+'5 BS Adjusted'!F7,"")</f>
        <v>-10</v>
      </c>
      <c r="F7" s="250">
        <f>IF($B7="Operating",+'5 BS Adjusted'!G7,"")</f>
        <v>-10</v>
      </c>
    </row>
    <row r="8" spans="1:6" x14ac:dyDescent="0.3">
      <c r="A8" s="249" t="s">
        <v>339</v>
      </c>
      <c r="B8" s="248" t="str">
        <f>IF(IFERROR(VLOOKUP(A8,'5 BS Adjusted'!A:C,2,),"")&gt;"",IFERROR(VLOOKUP(A8,'5 BS Adjusted'!A:C,2,),""),IFERROR(VLOOKUP(A8,'5 BS Adjusted'!A:C,3,),""))</f>
        <v>Operating</v>
      </c>
      <c r="C8" s="250">
        <f>IF($B8="Operating",+'5 BS Adjusted'!D8,"")</f>
        <v>27</v>
      </c>
      <c r="D8" s="250">
        <f>IF($B8="Operating",+'5 BS Adjusted'!E8,"")</f>
        <v>24</v>
      </c>
      <c r="E8" s="250">
        <f>IF($B8="Operating",+'5 BS Adjusted'!F8,"")</f>
        <v>23</v>
      </c>
      <c r="F8" s="250">
        <f>IF($B8="Operating",+'5 BS Adjusted'!G8,"")</f>
        <v>28</v>
      </c>
    </row>
    <row r="9" spans="1:6" x14ac:dyDescent="0.3">
      <c r="A9" s="249" t="s">
        <v>340</v>
      </c>
      <c r="B9" s="248" t="str">
        <f>IF(IFERROR(VLOOKUP(A9,'5 BS Adjusted'!A:C,2,),"")&gt;"",IFERROR(VLOOKUP(A9,'5 BS Adjusted'!A:C,2,),""),IFERROR(VLOOKUP(A9,'5 BS Adjusted'!A:C,3,),""))</f>
        <v>Operating</v>
      </c>
      <c r="C9" s="250">
        <f>IF($B9="Operating",+'5 BS Adjusted'!D9,"")</f>
        <v>156</v>
      </c>
      <c r="D9" s="250">
        <f>IF($B9="Operating",+'5 BS Adjusted'!E9,"")</f>
        <v>109</v>
      </c>
      <c r="E9" s="250">
        <f>IF($B9="Operating",+'5 BS Adjusted'!F9,"")</f>
        <v>126</v>
      </c>
      <c r="F9" s="250">
        <f>IF($B9="Operating",+'5 BS Adjusted'!G9,"")</f>
        <v>194</v>
      </c>
    </row>
    <row r="10" spans="1:6" x14ac:dyDescent="0.3">
      <c r="A10" s="249" t="s">
        <v>341</v>
      </c>
      <c r="B10" s="248" t="str">
        <f>IF(IFERROR(VLOOKUP(A10,'5 BS Adjusted'!A:C,2,),"")&gt;"",IFERROR(VLOOKUP(A10,'5 BS Adjusted'!A:C,2,),""),IFERROR(VLOOKUP(A10,'5 BS Adjusted'!A:C,3,),""))</f>
        <v>Operating</v>
      </c>
      <c r="C10" s="250">
        <f>IF($B10="Operating",+'5 BS Adjusted'!D10,"")</f>
        <v>315</v>
      </c>
      <c r="D10" s="250">
        <f>IF($B10="Operating",+'5 BS Adjusted'!E10,"")</f>
        <v>315</v>
      </c>
      <c r="E10" s="250">
        <f>IF($B10="Operating",+'5 BS Adjusted'!F10,"")</f>
        <v>333</v>
      </c>
      <c r="F10" s="250">
        <f>IF($B10="Operating",+'5 BS Adjusted'!G10,"")</f>
        <v>339</v>
      </c>
    </row>
    <row r="11" spans="1:6" x14ac:dyDescent="0.3">
      <c r="A11" s="249" t="s">
        <v>342</v>
      </c>
      <c r="B11" s="248" t="str">
        <f>IF(IFERROR(VLOOKUP(A11,'5 BS Adjusted'!A:C,2,),"")&gt;"",IFERROR(VLOOKUP(A11,'5 BS Adjusted'!A:C,2,),""),IFERROR(VLOOKUP(A11,'5 BS Adjusted'!A:C,3,),""))</f>
        <v>Operating</v>
      </c>
      <c r="C11" s="250">
        <f>IF($B11="Operating",+'5 BS Adjusted'!D11,"")</f>
        <v>935</v>
      </c>
      <c r="D11" s="250">
        <f>IF($B11="Operating",+'5 BS Adjusted'!E11,"")</f>
        <v>923</v>
      </c>
      <c r="E11" s="250">
        <f>IF($B11="Operating",+'5 BS Adjusted'!F11,"")</f>
        <v>884</v>
      </c>
      <c r="F11" s="250">
        <f>IF($B11="Operating",+'5 BS Adjusted'!G11,"")</f>
        <v>991</v>
      </c>
    </row>
    <row r="12" spans="1:6" x14ac:dyDescent="0.3">
      <c r="A12" s="249" t="s">
        <v>22</v>
      </c>
      <c r="B12" s="248" t="str">
        <f>IF(IFERROR(VLOOKUP(A12,'5 BS Adjusted'!A:C,2,),"")&gt;"",IFERROR(VLOOKUP(A12,'5 BS Adjusted'!A:C,2,),""),IFERROR(VLOOKUP(A12,'5 BS Adjusted'!A:C,3,),""))</f>
        <v>Operating</v>
      </c>
      <c r="C12" s="250">
        <f>IF($B12="Operating",+'5 BS Adjusted'!D12,"")</f>
        <v>164</v>
      </c>
      <c r="D12" s="250">
        <f>IF($B12="Operating",+'5 BS Adjusted'!E12,"")</f>
        <v>191</v>
      </c>
      <c r="E12" s="250">
        <f>IF($B12="Operating",+'5 BS Adjusted'!F12,"")</f>
        <v>149</v>
      </c>
      <c r="F12" s="250">
        <f>IF($B12="Operating",+'5 BS Adjusted'!G12,"")</f>
        <v>131</v>
      </c>
    </row>
    <row r="13" spans="1:6" x14ac:dyDescent="0.3">
      <c r="A13" s="249" t="s">
        <v>343</v>
      </c>
      <c r="B13" s="248" t="str">
        <f>IF(IFERROR(VLOOKUP(A13,'5 BS Adjusted'!A:C,2,),"")&gt;"",IFERROR(VLOOKUP(A13,'5 BS Adjusted'!A:C,2,),""),IFERROR(VLOOKUP(A13,'5 BS Adjusted'!A:C,3,),""))</f>
        <v>Operating</v>
      </c>
      <c r="C13" s="250">
        <f>IF($B13="Operating",+'5 BS Adjusted'!D13,"")</f>
        <v>142</v>
      </c>
      <c r="D13" s="250">
        <f>IF($B13="Operating",+'5 BS Adjusted'!E13,"")</f>
        <v>131</v>
      </c>
      <c r="E13" s="250">
        <f>IF($B13="Operating",+'5 BS Adjusted'!F13,"")</f>
        <v>111</v>
      </c>
      <c r="F13" s="250">
        <f>IF($B13="Operating",+'5 BS Adjusted'!G13,"")</f>
        <v>120</v>
      </c>
    </row>
    <row r="14" spans="1:6" x14ac:dyDescent="0.3">
      <c r="A14" s="249" t="s">
        <v>344</v>
      </c>
      <c r="B14" s="248" t="str">
        <f>IF(IFERROR(VLOOKUP(A14,'5 BS Adjusted'!A:C,2,),"")&gt;"",IFERROR(VLOOKUP(A14,'5 BS Adjusted'!A:C,2,),""),IFERROR(VLOOKUP(A14,'5 BS Adjusted'!A:C,3,),""))</f>
        <v>Operating</v>
      </c>
      <c r="C14" s="250">
        <f>IF($B14="Operating",+'5 BS Adjusted'!D14,"")</f>
        <v>2076</v>
      </c>
      <c r="D14" s="250">
        <f>IF($B14="Operating",+'5 BS Adjusted'!E14,"")</f>
        <v>2020</v>
      </c>
      <c r="E14" s="250">
        <f>IF($B14="Operating",+'5 BS Adjusted'!F14,"")</f>
        <v>2200</v>
      </c>
      <c r="F14" s="250">
        <f>IF($B14="Operating",+'5 BS Adjusted'!G14,"")</f>
        <v>2061</v>
      </c>
    </row>
    <row r="15" spans="1:6" x14ac:dyDescent="0.3">
      <c r="A15" s="249" t="s">
        <v>345</v>
      </c>
      <c r="B15" s="248" t="str">
        <f>IF(IFERROR(VLOOKUP(A15,'5 BS Adjusted'!A:C,2,),"")&gt;"",IFERROR(VLOOKUP(A15,'5 BS Adjusted'!A:C,2,),""),IFERROR(VLOOKUP(A15,'5 BS Adjusted'!A:C,3,),""))</f>
        <v>Operating</v>
      </c>
      <c r="C15" s="250">
        <f>IF($B15="Operating",+'5 BS Adjusted'!D15,"")</f>
        <v>5617</v>
      </c>
      <c r="D15" s="250">
        <f>IF($B15="Operating",+'5 BS Adjusted'!E15,"")</f>
        <v>5646</v>
      </c>
      <c r="E15" s="250">
        <f>IF($B15="Operating",+'5 BS Adjusted'!F15,"")</f>
        <v>6018</v>
      </c>
      <c r="F15" s="250">
        <f>IF($B15="Operating",+'5 BS Adjusted'!G15,"")</f>
        <v>5971</v>
      </c>
    </row>
    <row r="16" spans="1:6" x14ac:dyDescent="0.3">
      <c r="A16" s="249" t="s">
        <v>346</v>
      </c>
      <c r="B16" s="248" t="str">
        <f>IF(IFERROR(VLOOKUP(A16,'5 BS Adjusted'!A:C,2,),"")&gt;"",IFERROR(VLOOKUP(A16,'5 BS Adjusted'!A:C,2,),""),IFERROR(VLOOKUP(A16,'5 BS Adjusted'!A:C,3,),""))</f>
        <v>Operating</v>
      </c>
      <c r="C16" s="250">
        <f>IF($B16="Operating",+'5 BS Adjusted'!D16,"")</f>
        <v>328</v>
      </c>
      <c r="D16" s="250">
        <f>IF($B16="Operating",+'5 BS Adjusted'!E16,"")</f>
        <v>366</v>
      </c>
      <c r="E16" s="250">
        <f>IF($B16="Operating",+'5 BS Adjusted'!F16,"")</f>
        <v>403</v>
      </c>
      <c r="F16" s="250">
        <f>IF($B16="Operating",+'5 BS Adjusted'!G16,"")</f>
        <v>438</v>
      </c>
    </row>
    <row r="17" spans="1:6" x14ac:dyDescent="0.3">
      <c r="A17" s="249" t="s">
        <v>347</v>
      </c>
      <c r="B17" s="248" t="str">
        <f>IF(IFERROR(VLOOKUP(A17,'5 BS Adjusted'!A:C,2,),"")&gt;"",IFERROR(VLOOKUP(A17,'5 BS Adjusted'!A:C,2,),""),IFERROR(VLOOKUP(A17,'5 BS Adjusted'!A:C,3,),""))</f>
        <v>Operating</v>
      </c>
      <c r="C17" s="250">
        <f>IF($B17="Operating",+'5 BS Adjusted'!D17,"")</f>
        <v>694</v>
      </c>
      <c r="D17" s="250">
        <f>IF($B17="Operating",+'5 BS Adjusted'!E17,"")</f>
        <v>686</v>
      </c>
      <c r="E17" s="250">
        <f>IF($B17="Operating",+'5 BS Adjusted'!F17,"")</f>
        <v>634</v>
      </c>
      <c r="F17" s="250">
        <f>IF($B17="Operating",+'5 BS Adjusted'!G17,"")</f>
        <v>583</v>
      </c>
    </row>
    <row r="18" spans="1:6" x14ac:dyDescent="0.3">
      <c r="A18" s="249" t="s">
        <v>348</v>
      </c>
      <c r="B18" s="248" t="str">
        <f>IF(IFERROR(VLOOKUP(A18,'5 BS Adjusted'!A:C,2,),"")&gt;"",IFERROR(VLOOKUP(A18,'5 BS Adjusted'!A:C,2,),""),IFERROR(VLOOKUP(A18,'5 BS Adjusted'!A:C,3,),""))</f>
        <v>Operating</v>
      </c>
      <c r="C18" s="250">
        <f>IF($B18="Operating",+'5 BS Adjusted'!D18,"")</f>
        <v>-5236</v>
      </c>
      <c r="D18" s="250">
        <f>IF($B18="Operating",+'5 BS Adjusted'!E18,"")</f>
        <v>-5280</v>
      </c>
      <c r="E18" s="250">
        <f>IF($B18="Operating",+'5 BS Adjusted'!F18,"")</f>
        <v>-5650</v>
      </c>
      <c r="F18" s="250">
        <f>IF($B18="Operating",+'5 BS Adjusted'!G18,"")</f>
        <v>-5442</v>
      </c>
    </row>
    <row r="19" spans="1:6" x14ac:dyDescent="0.3">
      <c r="A19" s="249" t="s">
        <v>77</v>
      </c>
      <c r="B19" s="248" t="str">
        <f>IF(IFERROR(VLOOKUP(A19,'5 BS Adjusted'!A:C,2,),"")&gt;"",IFERROR(VLOOKUP(A19,'5 BS Adjusted'!A:C,2,),""),IFERROR(VLOOKUP(A19,'5 BS Adjusted'!A:C,3,),""))</f>
        <v>Operating</v>
      </c>
      <c r="C19" s="250">
        <f>IF($B19="Operating",+'5 BS Adjusted'!D19,"")</f>
        <v>497</v>
      </c>
      <c r="D19" s="250">
        <f>IF($B19="Operating",+'5 BS Adjusted'!E19,"")</f>
        <v>555</v>
      </c>
      <c r="E19" s="250">
        <f>IF($B19="Operating",+'5 BS Adjusted'!F19,"")</f>
        <v>420</v>
      </c>
      <c r="F19" s="250">
        <f>IF($B19="Operating",+'5 BS Adjusted'!G19,"")</f>
        <v>478</v>
      </c>
    </row>
    <row r="20" spans="1:6" x14ac:dyDescent="0.3">
      <c r="A20" s="249" t="s">
        <v>349</v>
      </c>
      <c r="B20" s="248" t="str">
        <f>IF(IFERROR(VLOOKUP(A20,'5 BS Adjusted'!A:C,2,),"")&gt;"",IFERROR(VLOOKUP(A20,'5 BS Adjusted'!A:C,2,),""),IFERROR(VLOOKUP(A20,'5 BS Adjusted'!A:C,3,),""))</f>
        <v>Operating</v>
      </c>
      <c r="C20" s="250">
        <f>IF($B20="Operating",+'5 BS Adjusted'!D20,"")</f>
        <v>131</v>
      </c>
      <c r="D20" s="250">
        <f>IF($B20="Operating",+'5 BS Adjusted'!E20,"")</f>
        <v>131</v>
      </c>
      <c r="E20" s="250">
        <f>IF($B20="Operating",+'5 BS Adjusted'!F20,"")</f>
        <v>131</v>
      </c>
      <c r="F20" s="250">
        <f>IF($B20="Operating",+'5 BS Adjusted'!G20,"")</f>
        <v>131</v>
      </c>
    </row>
    <row r="21" spans="1:6" x14ac:dyDescent="0.3">
      <c r="A21" s="249" t="s">
        <v>350</v>
      </c>
      <c r="B21" s="248" t="str">
        <f>IF(IFERROR(VLOOKUP(A21,'5 BS Adjusted'!A:C,2,),"")&gt;"",IFERROR(VLOOKUP(A21,'5 BS Adjusted'!A:C,2,),""),IFERROR(VLOOKUP(A21,'5 BS Adjusted'!A:C,3,),""))</f>
        <v>Operating</v>
      </c>
      <c r="C21" s="250">
        <f>IF($B21="Operating",+'5 BS Adjusted'!D21,"")</f>
        <v>3568</v>
      </c>
      <c r="D21" s="250">
        <f>IF($B21="Operating",+'5 BS Adjusted'!E21,"")</f>
        <v>3568</v>
      </c>
      <c r="E21" s="250">
        <f>IF($B21="Operating",+'5 BS Adjusted'!F21,"")</f>
        <v>3568</v>
      </c>
      <c r="F21" s="250">
        <f>IF($B21="Operating",+'5 BS Adjusted'!G21,"")</f>
        <v>3568</v>
      </c>
    </row>
    <row r="22" spans="1:6" x14ac:dyDescent="0.3">
      <c r="A22" s="249" t="s">
        <v>351</v>
      </c>
      <c r="B22" s="248" t="str">
        <f>IF(IFERROR(VLOOKUP(A22,'5 BS Adjusted'!A:C,2,),"")&gt;"",IFERROR(VLOOKUP(A22,'5 BS Adjusted'!A:C,2,),""),IFERROR(VLOOKUP(A22,'5 BS Adjusted'!A:C,3,),""))</f>
        <v>Operating</v>
      </c>
      <c r="C22" s="250">
        <f>IF($B22="Operating",+'5 BS Adjusted'!D22,"")</f>
        <v>82</v>
      </c>
      <c r="D22" s="250">
        <f>IF($B22="Operating",+'5 BS Adjusted'!E22,"")</f>
        <v>82</v>
      </c>
      <c r="E22" s="250">
        <f>IF($B22="Operating",+'5 BS Adjusted'!F22,"")</f>
        <v>82</v>
      </c>
      <c r="F22" s="250">
        <f>IF($B22="Operating",+'5 BS Adjusted'!G22,"")</f>
        <v>82</v>
      </c>
    </row>
    <row r="23" spans="1:6" x14ac:dyDescent="0.3">
      <c r="A23" s="249" t="s">
        <v>352</v>
      </c>
      <c r="B23" s="248" t="str">
        <f>IF(IFERROR(VLOOKUP(A23,'5 BS Adjusted'!A:C,2,),"")&gt;"",IFERROR(VLOOKUP(A23,'5 BS Adjusted'!A:C,2,),""),IFERROR(VLOOKUP(A23,'5 BS Adjusted'!A:C,3,),""))</f>
        <v>Operating</v>
      </c>
      <c r="C23" s="250">
        <f>IF($B23="Operating",+'5 BS Adjusted'!D23,"")</f>
        <v>456</v>
      </c>
      <c r="D23" s="250">
        <f>IF($B23="Operating",+'5 BS Adjusted'!E23,"")</f>
        <v>457</v>
      </c>
      <c r="E23" s="250">
        <f>IF($B23="Operating",+'5 BS Adjusted'!F23,"")</f>
        <v>836</v>
      </c>
      <c r="F23" s="250">
        <f>IF($B23="Operating",+'5 BS Adjusted'!G23,"")</f>
        <v>830</v>
      </c>
    </row>
    <row r="24" spans="1:6" x14ac:dyDescent="0.3">
      <c r="A24" s="249" t="s">
        <v>353</v>
      </c>
      <c r="B24" s="248" t="str">
        <f>IF(IFERROR(VLOOKUP(A24,'5 BS Adjusted'!A:C,2,),"")&gt;"",IFERROR(VLOOKUP(A24,'5 BS Adjusted'!A:C,2,),""),IFERROR(VLOOKUP(A24,'5 BS Adjusted'!A:C,3,),""))</f>
        <v>Operating</v>
      </c>
      <c r="C24" s="250">
        <f>IF($B24="Operating",+'5 BS Adjusted'!D24,"")</f>
        <v>431</v>
      </c>
      <c r="D24" s="250">
        <f>IF($B24="Operating",+'5 BS Adjusted'!E24,"")</f>
        <v>376</v>
      </c>
      <c r="E24" s="250">
        <f>IF($B24="Operating",+'5 BS Adjusted'!F24,"")</f>
        <v>414</v>
      </c>
      <c r="F24" s="250">
        <f>IF($B24="Operating",+'5 BS Adjusted'!G24,"")</f>
        <v>392</v>
      </c>
    </row>
    <row r="25" spans="1:6" x14ac:dyDescent="0.3">
      <c r="A25" s="249" t="s">
        <v>354</v>
      </c>
      <c r="B25" s="248" t="str">
        <f>IF(IFERROR(VLOOKUP(A25,'5 BS Adjusted'!A:C,2,),"")&gt;"",IFERROR(VLOOKUP(A25,'5 BS Adjusted'!A:C,2,),""),IFERROR(VLOOKUP(A25,'5 BS Adjusted'!A:C,3,),""))</f>
        <v>Operating</v>
      </c>
      <c r="C25" s="250">
        <f>IF($B25="Operating",+'5 BS Adjusted'!D25,"")</f>
        <v>76</v>
      </c>
      <c r="D25" s="250">
        <f>IF($B25="Operating",+'5 BS Adjusted'!E25,"")</f>
        <v>328</v>
      </c>
      <c r="E25" s="250">
        <f>IF($B25="Operating",+'5 BS Adjusted'!F25,"")</f>
        <v>244</v>
      </c>
      <c r="F25" s="250">
        <f>IF($B25="Operating",+'5 BS Adjusted'!G25,"")</f>
        <v>218</v>
      </c>
    </row>
    <row r="26" spans="1:6" x14ac:dyDescent="0.3">
      <c r="A26" s="249" t="s">
        <v>355</v>
      </c>
      <c r="B26" s="248" t="str">
        <f>IF(IFERROR(VLOOKUP(A26,'5 BS Adjusted'!A:C,2,),"")&gt;"",IFERROR(VLOOKUP(A26,'5 BS Adjusted'!A:C,2,),""),IFERROR(VLOOKUP(A26,'5 BS Adjusted'!A:C,3,),""))</f>
        <v>Operating</v>
      </c>
      <c r="C26" s="250">
        <f>IF($B26="Operating",+'5 BS Adjusted'!D26,"")</f>
        <v>224</v>
      </c>
      <c r="D26" s="250">
        <f>IF($B26="Operating",+'5 BS Adjusted'!E26,"")</f>
        <v>224</v>
      </c>
      <c r="E26" s="250">
        <f>IF($B26="Operating",+'5 BS Adjusted'!F26,"")</f>
        <v>229</v>
      </c>
      <c r="F26" s="250">
        <f>IF($B26="Operating",+'5 BS Adjusted'!G26,"")</f>
        <v>829</v>
      </c>
    </row>
    <row r="27" spans="1:6" x14ac:dyDescent="0.3">
      <c r="A27" s="249" t="s">
        <v>356</v>
      </c>
      <c r="B27" s="248" t="str">
        <f>IF(IFERROR(VLOOKUP(A27,'5 BS Adjusted'!A:C,2,),"")&gt;"",IFERROR(VLOOKUP(A27,'5 BS Adjusted'!A:C,2,),""),IFERROR(VLOOKUP(A27,'5 BS Adjusted'!A:C,3,),""))</f>
        <v>Operating</v>
      </c>
      <c r="C27" s="250">
        <f>IF($B27="Operating",+'5 BS Adjusted'!D27,"")</f>
        <v>8</v>
      </c>
      <c r="D27" s="250">
        <f>IF($B27="Operating",+'5 BS Adjusted'!E27,"")</f>
        <v>8</v>
      </c>
      <c r="E27" s="250">
        <f>IF($B27="Operating",+'5 BS Adjusted'!F27,"")</f>
        <v>8</v>
      </c>
      <c r="F27" s="250">
        <f>IF($B27="Operating",+'5 BS Adjusted'!G27,"")</f>
        <v>8</v>
      </c>
    </row>
    <row r="28" spans="1:6" x14ac:dyDescent="0.3">
      <c r="A28" s="249" t="s">
        <v>357</v>
      </c>
      <c r="B28" s="248" t="str">
        <f>IF(IFERROR(VLOOKUP(A28,'5 BS Adjusted'!A:C,2,),"")&gt;"",IFERROR(VLOOKUP(A28,'5 BS Adjusted'!A:C,2,),""),IFERROR(VLOOKUP(A28,'5 BS Adjusted'!A:C,3,),""))</f>
        <v>Operating</v>
      </c>
      <c r="C28" s="250">
        <f>IF($B28="Operating",+'5 BS Adjusted'!D28,"")</f>
        <v>42</v>
      </c>
      <c r="D28" s="250">
        <f>IF($B28="Operating",+'5 BS Adjusted'!E28,"")</f>
        <v>42</v>
      </c>
      <c r="E28" s="250">
        <f>IF($B28="Operating",+'5 BS Adjusted'!F28,"")</f>
        <v>42</v>
      </c>
      <c r="F28" s="250">
        <f>IF($B28="Operating",+'5 BS Adjusted'!G28,"")</f>
        <v>42</v>
      </c>
    </row>
    <row r="29" spans="1:6" x14ac:dyDescent="0.3">
      <c r="A29" s="249" t="s">
        <v>358</v>
      </c>
      <c r="B29" s="248" t="str">
        <f>IF(IFERROR(VLOOKUP(A29,'5 BS Adjusted'!A:C,2,),"")&gt;"",IFERROR(VLOOKUP(A29,'5 BS Adjusted'!A:C,2,),""),IFERROR(VLOOKUP(A29,'5 BS Adjusted'!A:C,3,),""))</f>
        <v>Operating</v>
      </c>
      <c r="C29" s="250">
        <f>IF($B29="Operating",+'5 BS Adjusted'!D29,"")</f>
        <v>5</v>
      </c>
      <c r="D29" s="250">
        <f>IF($B29="Operating",+'5 BS Adjusted'!E29,"")</f>
        <v>5</v>
      </c>
      <c r="E29" s="250">
        <f>IF($B29="Operating",+'5 BS Adjusted'!F29,"")</f>
        <v>22</v>
      </c>
      <c r="F29" s="250">
        <f>IF($B29="Operating",+'5 BS Adjusted'!G29,"")</f>
        <v>24</v>
      </c>
    </row>
    <row r="30" spans="1:6" x14ac:dyDescent="0.3">
      <c r="A30" s="249" t="s">
        <v>359</v>
      </c>
      <c r="B30" s="248" t="str">
        <f>IF(IFERROR(VLOOKUP(A30,'5 BS Adjusted'!A:C,2,),"")&gt;"",IFERROR(VLOOKUP(A30,'5 BS Adjusted'!A:C,2,),""),IFERROR(VLOOKUP(A30,'5 BS Adjusted'!A:C,3,),""))</f>
        <v>Operating</v>
      </c>
      <c r="C30" s="250">
        <f>IF($B30="Operating",+'5 BS Adjusted'!D30,"")</f>
        <v>45</v>
      </c>
      <c r="D30" s="250">
        <f>IF($B30="Operating",+'5 BS Adjusted'!E30,"")</f>
        <v>40</v>
      </c>
      <c r="E30" s="250">
        <f>IF($B30="Operating",+'5 BS Adjusted'!F30,"")</f>
        <v>45</v>
      </c>
      <c r="F30" s="250">
        <f>IF($B30="Operating",+'5 BS Adjusted'!G30,"")</f>
        <v>43</v>
      </c>
    </row>
    <row r="31" spans="1:6" x14ac:dyDescent="0.3">
      <c r="A31" s="249" t="s">
        <v>360</v>
      </c>
      <c r="B31" s="248" t="str">
        <f>IF(IFERROR(VLOOKUP(A31,'5 BS Adjusted'!A:C,2,),"")&gt;"",IFERROR(VLOOKUP(A31,'5 BS Adjusted'!A:C,2,),""),IFERROR(VLOOKUP(A31,'5 BS Adjusted'!A:C,3,),""))</f>
        <v>Operating</v>
      </c>
      <c r="C31" s="250">
        <f>IF($B31="Operating",+'5 BS Adjusted'!D31,"")</f>
        <v>6</v>
      </c>
      <c r="D31" s="250">
        <f>IF($B31="Operating",+'5 BS Adjusted'!E31,"")</f>
        <v>36</v>
      </c>
      <c r="E31" s="250">
        <f>IF($B31="Operating",+'5 BS Adjusted'!F31,"")</f>
        <v>74</v>
      </c>
      <c r="F31" s="250">
        <f>IF($B31="Operating",+'5 BS Adjusted'!G31,"")</f>
        <v>63</v>
      </c>
    </row>
    <row r="32" spans="1:6" x14ac:dyDescent="0.3">
      <c r="A32" s="249" t="s">
        <v>361</v>
      </c>
      <c r="B32" s="248" t="str">
        <f>IF(IFERROR(VLOOKUP(A32,'5 BS Adjusted'!A:C,2,),"")&gt;"",IFERROR(VLOOKUP(A32,'5 BS Adjusted'!A:C,2,),""),IFERROR(VLOOKUP(A32,'5 BS Adjusted'!A:C,3,),""))</f>
        <v>Operating</v>
      </c>
      <c r="C32" s="250">
        <f>IF($B32="Operating",+'5 BS Adjusted'!D32,"")</f>
        <v>10</v>
      </c>
      <c r="D32" s="250">
        <f>IF($B32="Operating",+'5 BS Adjusted'!E32,"")</f>
        <v>10</v>
      </c>
      <c r="E32" s="250">
        <f>IF($B32="Operating",+'5 BS Adjusted'!F32,"")</f>
        <v>10</v>
      </c>
      <c r="F32" s="250">
        <f>IF($B32="Operating",+'5 BS Adjusted'!G32,"")</f>
        <v>428</v>
      </c>
    </row>
    <row r="33" spans="1:6" x14ac:dyDescent="0.3">
      <c r="A33" s="249" t="s">
        <v>362</v>
      </c>
      <c r="B33" s="248" t="str">
        <f>IF(IFERROR(VLOOKUP(A33,'5 BS Adjusted'!A:C,2,),"")&gt;"",IFERROR(VLOOKUP(A33,'5 BS Adjusted'!A:C,2,),""),IFERROR(VLOOKUP(A33,'5 BS Adjusted'!A:C,3,),""))</f>
        <v>Operating</v>
      </c>
      <c r="C33" s="250">
        <f>IF($B33="Operating",+'5 BS Adjusted'!D33,"")</f>
        <v>-8</v>
      </c>
      <c r="D33" s="250">
        <f>IF($B33="Operating",+'5 BS Adjusted'!E33,"")</f>
        <v>-8</v>
      </c>
      <c r="E33" s="250">
        <f>IF($B33="Operating",+'5 BS Adjusted'!F33,"")</f>
        <v>-8</v>
      </c>
      <c r="F33" s="250">
        <f>IF($B33="Operating",+'5 BS Adjusted'!G33,"")</f>
        <v>-8</v>
      </c>
    </row>
    <row r="34" spans="1:6" x14ac:dyDescent="0.3">
      <c r="A34" s="249" t="s">
        <v>363</v>
      </c>
      <c r="B34" s="248" t="str">
        <f>IF(IFERROR(VLOOKUP(A34,'5 BS Adjusted'!A:C,2,),"")&gt;"",IFERROR(VLOOKUP(A34,'5 BS Adjusted'!A:C,2,),""),IFERROR(VLOOKUP(A34,'5 BS Adjusted'!A:C,3,),""))</f>
        <v>Operating</v>
      </c>
      <c r="C34" s="250">
        <f>IF($B34="Operating",+'5 BS Adjusted'!D34,"")</f>
        <v>-16</v>
      </c>
      <c r="D34" s="250">
        <f>IF($B34="Operating",+'5 BS Adjusted'!E34,"")</f>
        <v>-19</v>
      </c>
      <c r="E34" s="250">
        <f>IF($B34="Operating",+'5 BS Adjusted'!F34,"")</f>
        <v>-22</v>
      </c>
      <c r="F34" s="250">
        <f>IF($B34="Operating",+'5 BS Adjusted'!G34,"")</f>
        <v>-25</v>
      </c>
    </row>
    <row r="35" spans="1:6" x14ac:dyDescent="0.3">
      <c r="A35" s="249" t="s">
        <v>364</v>
      </c>
      <c r="B35" s="248" t="str">
        <f>IF(IFERROR(VLOOKUP(A35,'5 BS Adjusted'!A:C,2,),"")&gt;"",IFERROR(VLOOKUP(A35,'5 BS Adjusted'!A:C,2,),""),IFERROR(VLOOKUP(A35,'5 BS Adjusted'!A:C,3,),""))</f>
        <v>Operating</v>
      </c>
      <c r="C35" s="250">
        <f>IF($B35="Operating",+'5 BS Adjusted'!D35,"")</f>
        <v>-4</v>
      </c>
      <c r="D35" s="250">
        <f>IF($B35="Operating",+'5 BS Adjusted'!E35,"")</f>
        <v>-4</v>
      </c>
      <c r="E35" s="250">
        <f>IF($B35="Operating",+'5 BS Adjusted'!F35,"")</f>
        <v>-5</v>
      </c>
      <c r="F35" s="250">
        <f>IF($B35="Operating",+'5 BS Adjusted'!G35,"")</f>
        <v>-6</v>
      </c>
    </row>
    <row r="36" spans="1:6" x14ac:dyDescent="0.3">
      <c r="A36" s="249" t="s">
        <v>365</v>
      </c>
      <c r="B36" s="248" t="str">
        <f>IF(IFERROR(VLOOKUP(A36,'5 BS Adjusted'!A:C,2,),"")&gt;"",IFERROR(VLOOKUP(A36,'5 BS Adjusted'!A:C,2,),""),IFERROR(VLOOKUP(A36,'5 BS Adjusted'!A:C,3,),""))</f>
        <v>Operating</v>
      </c>
      <c r="C36" s="250">
        <f>IF($B36="Operating",+'5 BS Adjusted'!D36,"")</f>
        <v>-11</v>
      </c>
      <c r="D36" s="250">
        <f>IF($B36="Operating",+'5 BS Adjusted'!E36,"")</f>
        <v>-14</v>
      </c>
      <c r="E36" s="250">
        <f>IF($B36="Operating",+'5 BS Adjusted'!F36,"")</f>
        <v>-18</v>
      </c>
      <c r="F36" s="250">
        <f>IF($B36="Operating",+'5 BS Adjusted'!G36,"")</f>
        <v>-20</v>
      </c>
    </row>
    <row r="37" spans="1:6" x14ac:dyDescent="0.3">
      <c r="A37" s="249" t="s">
        <v>366</v>
      </c>
      <c r="B37" s="248" t="str">
        <f>IF(IFERROR(VLOOKUP(A37,'5 BS Adjusted'!A:C,2,),"")&gt;"",IFERROR(VLOOKUP(A37,'5 BS Adjusted'!A:C,2,),""),IFERROR(VLOOKUP(A37,'5 BS Adjusted'!A:C,3,),""))</f>
        <v>Operating</v>
      </c>
      <c r="C37" s="250">
        <f>IF($B37="Operating",+'5 BS Adjusted'!D37,"")</f>
        <v>-6</v>
      </c>
      <c r="D37" s="250">
        <f>IF($B37="Operating",+'5 BS Adjusted'!E37,"")</f>
        <v>-6</v>
      </c>
      <c r="E37" s="250">
        <f>IF($B37="Operating",+'5 BS Adjusted'!F37,"")</f>
        <v>-10</v>
      </c>
      <c r="F37" s="250">
        <f>IF($B37="Operating",+'5 BS Adjusted'!G37,"")</f>
        <v>-12</v>
      </c>
    </row>
    <row r="38" spans="1:6" x14ac:dyDescent="0.3">
      <c r="A38" s="249" t="s">
        <v>367</v>
      </c>
      <c r="B38" s="248" t="str">
        <f>IF(IFERROR(VLOOKUP(A38,'5 BS Adjusted'!A:C,2,),"")&gt;"",IFERROR(VLOOKUP(A38,'5 BS Adjusted'!A:C,2,),""),IFERROR(VLOOKUP(A38,'5 BS Adjusted'!A:C,3,),""))</f>
        <v>Operating</v>
      </c>
      <c r="C38" s="250">
        <f>IF($B38="Operating",+'5 BS Adjusted'!D38,"")</f>
        <v>-2</v>
      </c>
      <c r="D38" s="250">
        <f>IF($B38="Operating",+'5 BS Adjusted'!E38,"")</f>
        <v>-3</v>
      </c>
      <c r="E38" s="250">
        <f>IF($B38="Operating",+'5 BS Adjusted'!F38,"")</f>
        <v>-4</v>
      </c>
      <c r="F38" s="250">
        <f>IF($B38="Operating",+'5 BS Adjusted'!G38,"")</f>
        <v>-16</v>
      </c>
    </row>
    <row r="39" spans="1:6" x14ac:dyDescent="0.3">
      <c r="A39" s="249" t="s">
        <v>368</v>
      </c>
      <c r="B39" s="248" t="str">
        <f>IF(IFERROR(VLOOKUP(A39,'5 BS Adjusted'!A:C,2,),"")&gt;"",IFERROR(VLOOKUP(A39,'5 BS Adjusted'!A:C,2,),""),IFERROR(VLOOKUP(A39,'5 BS Adjusted'!A:C,3,),""))</f>
        <v>Operating</v>
      </c>
      <c r="C39" s="250">
        <f>IF($B39="Operating",+'5 BS Adjusted'!D39,"")</f>
        <v>1625</v>
      </c>
      <c r="D39" s="250">
        <f>IF($B39="Operating",+'5 BS Adjusted'!E39,"")</f>
        <v>1625</v>
      </c>
      <c r="E39" s="250">
        <f>IF($B39="Operating",+'5 BS Adjusted'!F39,"")</f>
        <v>1625</v>
      </c>
      <c r="F39" s="250">
        <f>IF($B39="Operating",+'5 BS Adjusted'!G39,"")</f>
        <v>1625</v>
      </c>
    </row>
    <row r="40" spans="1:6" x14ac:dyDescent="0.3">
      <c r="A40" s="249" t="s">
        <v>369</v>
      </c>
      <c r="B40" s="248" t="str">
        <f>IF(IFERROR(VLOOKUP(A40,'5 BS Adjusted'!A:C,2,),"")&gt;"",IFERROR(VLOOKUP(A40,'5 BS Adjusted'!A:C,2,),""),IFERROR(VLOOKUP(A40,'5 BS Adjusted'!A:C,3,),""))</f>
        <v>Operating</v>
      </c>
      <c r="C40" s="250">
        <f>IF($B40="Operating",+'5 BS Adjusted'!D40,"")</f>
        <v>158</v>
      </c>
      <c r="D40" s="250">
        <f>IF($B40="Operating",+'5 BS Adjusted'!E40,"")</f>
        <v>176</v>
      </c>
      <c r="E40" s="250">
        <f>IF($B40="Operating",+'5 BS Adjusted'!F40,"")</f>
        <v>360</v>
      </c>
      <c r="F40" s="250">
        <f>IF($B40="Operating",+'5 BS Adjusted'!G40,"")</f>
        <v>360</v>
      </c>
    </row>
    <row r="41" spans="1:6" x14ac:dyDescent="0.3">
      <c r="A41" s="249" t="s">
        <v>370</v>
      </c>
      <c r="B41" s="248" t="str">
        <f>IF(IFERROR(VLOOKUP(A41,'5 BS Adjusted'!A:C,2,),"")&gt;"",IFERROR(VLOOKUP(A41,'5 BS Adjusted'!A:C,2,),""),IFERROR(VLOOKUP(A41,'5 BS Adjusted'!A:C,3,),""))</f>
        <v>Operating</v>
      </c>
      <c r="C41" s="250">
        <f>IF($B41="Operating",+'5 BS Adjusted'!D41,"")</f>
        <v>416</v>
      </c>
      <c r="D41" s="250">
        <f>IF($B41="Operating",+'5 BS Adjusted'!E41,"")</f>
        <v>383</v>
      </c>
      <c r="E41" s="250">
        <f>IF($B41="Operating",+'5 BS Adjusted'!F41,"")</f>
        <v>434</v>
      </c>
      <c r="F41" s="250">
        <f>IF($B41="Operating",+'5 BS Adjusted'!G41,"")</f>
        <v>415</v>
      </c>
    </row>
    <row r="42" spans="1:6" x14ac:dyDescent="0.3">
      <c r="A42" s="249" t="s">
        <v>371</v>
      </c>
      <c r="B42" s="248" t="str">
        <f>IF(IFERROR(VLOOKUP(A42,'5 BS Adjusted'!A:C,2,),"")&gt;"",IFERROR(VLOOKUP(A42,'5 BS Adjusted'!A:C,2,),""),IFERROR(VLOOKUP(A42,'5 BS Adjusted'!A:C,3,),""))</f>
        <v>Operating</v>
      </c>
      <c r="C42" s="250">
        <f>IF($B42="Operating",+'5 BS Adjusted'!D42,"")</f>
        <v>0</v>
      </c>
      <c r="D42" s="250">
        <f>IF($B42="Operating",+'5 BS Adjusted'!E42,"")</f>
        <v>98</v>
      </c>
      <c r="E42" s="250">
        <f>IF($B42="Operating",+'5 BS Adjusted'!F42,"")</f>
        <v>86</v>
      </c>
      <c r="F42" s="250">
        <f>IF($B42="Operating",+'5 BS Adjusted'!G42,"")</f>
        <v>73</v>
      </c>
    </row>
    <row r="43" spans="1:6" x14ac:dyDescent="0.3">
      <c r="A43" s="249" t="s">
        <v>454</v>
      </c>
      <c r="B43" s="248" t="str">
        <f>IF(IFERROR(VLOOKUP(A43,'5 BS Adjusted'!A:C,2,),"")&gt;"",IFERROR(VLOOKUP(A43,'5 BS Adjusted'!A:C,2,),""),IFERROR(VLOOKUP(A43,'5 BS Adjusted'!A:C,3,),""))</f>
        <v>Operating</v>
      </c>
      <c r="C43" s="250">
        <f>IF($B43="Operating",+'5 BS Adjusted'!D43,"")</f>
        <v>0</v>
      </c>
      <c r="D43" s="250">
        <f>IF($B43="Operating",+'5 BS Adjusted'!E43,"")</f>
        <v>0</v>
      </c>
      <c r="E43" s="250">
        <f>IF($B43="Operating",+'5 BS Adjusted'!F43,"")</f>
        <v>0</v>
      </c>
      <c r="F43" s="250">
        <f>IF($B43="Operating",+'5 BS Adjusted'!G43,"")</f>
        <v>367</v>
      </c>
    </row>
    <row r="44" spans="1:6" x14ac:dyDescent="0.3">
      <c r="A44" s="249" t="s">
        <v>232</v>
      </c>
      <c r="B44" s="248" t="str">
        <f>IF(IFERROR(VLOOKUP(A44,'5 BS Adjusted'!A:C,2,),"")&gt;"",IFERROR(VLOOKUP(A44,'5 BS Adjusted'!A:C,2,),""),IFERROR(VLOOKUP(A44,'5 BS Adjusted'!A:C,3,),""))</f>
        <v>Operating</v>
      </c>
      <c r="C44" s="250">
        <f>IF($B44="Operating",+'5 BS Adjusted'!D44,"")</f>
        <v>456</v>
      </c>
      <c r="D44" s="250">
        <f>IF($B44="Operating",+'5 BS Adjusted'!E44,"")</f>
        <v>438</v>
      </c>
      <c r="E44" s="250">
        <f>IF($B44="Operating",+'5 BS Adjusted'!F44,"")</f>
        <v>429</v>
      </c>
      <c r="F44" s="250">
        <f>IF($B44="Operating",+'5 BS Adjusted'!G44,"")</f>
        <v>413</v>
      </c>
    </row>
    <row r="45" spans="1:6" x14ac:dyDescent="0.3">
      <c r="A45" s="249" t="s">
        <v>372</v>
      </c>
      <c r="B45" s="248" t="str">
        <f>IF(IFERROR(VLOOKUP(A45,'5 BS Adjusted'!A:C,2,),"")&gt;"",IFERROR(VLOOKUP(A45,'5 BS Adjusted'!A:C,2,),""),IFERROR(VLOOKUP(A45,'5 BS Adjusted'!A:C,3,),""))</f>
        <v>Operating</v>
      </c>
      <c r="C45" s="250">
        <f>IF($B45="Operating",+'5 BS Adjusted'!D45,"")</f>
        <v>13</v>
      </c>
      <c r="D45" s="250">
        <f>IF($B45="Operating",+'5 BS Adjusted'!E45,"")</f>
        <v>0</v>
      </c>
      <c r="E45" s="250">
        <f>IF($B45="Operating",+'5 BS Adjusted'!F45,"")</f>
        <v>0</v>
      </c>
      <c r="F45" s="250">
        <f>IF($B45="Operating",+'5 BS Adjusted'!G45,"")</f>
        <v>0</v>
      </c>
    </row>
    <row r="46" spans="1:6" x14ac:dyDescent="0.3">
      <c r="A46" s="249" t="s">
        <v>373</v>
      </c>
      <c r="B46" s="248" t="str">
        <f>IF(IFERROR(VLOOKUP(A46,'5 BS Adjusted'!A:C,2,),"")&gt;"",IFERROR(VLOOKUP(A46,'5 BS Adjusted'!A:C,2,),""),IFERROR(VLOOKUP(A46,'5 BS Adjusted'!A:C,3,),""))</f>
        <v>Operating</v>
      </c>
      <c r="C46" s="250">
        <f>IF($B46="Operating",+'5 BS Adjusted'!D46,"")</f>
        <v>15</v>
      </c>
      <c r="D46" s="250">
        <f>IF($B46="Operating",+'5 BS Adjusted'!E46,"")</f>
        <v>17</v>
      </c>
      <c r="E46" s="250">
        <f>IF($B46="Operating",+'5 BS Adjusted'!F46,"")</f>
        <v>22</v>
      </c>
      <c r="F46" s="250">
        <f>IF($B46="Operating",+'5 BS Adjusted'!G46,"")</f>
        <v>11</v>
      </c>
    </row>
    <row r="47" spans="1:6" x14ac:dyDescent="0.3">
      <c r="A47" s="249" t="s">
        <v>374</v>
      </c>
      <c r="B47" s="248" t="str">
        <f>IF(IFERROR(VLOOKUP(A47,'5 BS Adjusted'!A:C,2,),"")&gt;"",IFERROR(VLOOKUP(A47,'5 BS Adjusted'!A:C,2,),""),IFERROR(VLOOKUP(A47,'5 BS Adjusted'!A:C,3,),""))</f>
        <v>Operating</v>
      </c>
      <c r="C47" s="250">
        <f>IF($B47="Operating",+'5 BS Adjusted'!D47,"")</f>
        <v>21</v>
      </c>
      <c r="D47" s="250">
        <f>IF($B47="Operating",+'5 BS Adjusted'!E47,"")</f>
        <v>42</v>
      </c>
      <c r="E47" s="250">
        <f>IF($B47="Operating",+'5 BS Adjusted'!F47,"")</f>
        <v>26</v>
      </c>
      <c r="F47" s="250">
        <f>IF($B47="Operating",+'5 BS Adjusted'!G47,"")</f>
        <v>20</v>
      </c>
    </row>
    <row r="48" spans="1:6" x14ac:dyDescent="0.3">
      <c r="A48" s="249" t="s">
        <v>375</v>
      </c>
      <c r="B48" s="248" t="str">
        <f>IF(IFERROR(VLOOKUP(A48,'5 BS Adjusted'!A:C,2,),"")&gt;"",IFERROR(VLOOKUP(A48,'5 BS Adjusted'!A:C,2,),""),IFERROR(VLOOKUP(A48,'5 BS Adjusted'!A:C,3,),""))</f>
        <v>Operating</v>
      </c>
      <c r="C48" s="250">
        <f>IF($B48="Operating",+'5 BS Adjusted'!D48,"")</f>
        <v>31</v>
      </c>
      <c r="D48" s="250">
        <f>IF($B48="Operating",+'5 BS Adjusted'!E48,"")</f>
        <v>28</v>
      </c>
      <c r="E48" s="250">
        <f>IF($B48="Operating",+'5 BS Adjusted'!F48,"")</f>
        <v>20</v>
      </c>
      <c r="F48" s="250">
        <f>IF($B48="Operating",+'5 BS Adjusted'!G48,"")</f>
        <v>14</v>
      </c>
    </row>
    <row r="49" spans="1:6" x14ac:dyDescent="0.3">
      <c r="A49" s="249" t="s">
        <v>376</v>
      </c>
      <c r="B49" s="248" t="str">
        <f>IF(IFERROR(VLOOKUP(A49,'5 BS Adjusted'!A:C,2,),"")&gt;"",IFERROR(VLOOKUP(A49,'5 BS Adjusted'!A:C,2,),""),IFERROR(VLOOKUP(A49,'5 BS Adjusted'!A:C,3,),""))</f>
        <v>Financial</v>
      </c>
      <c r="C49" s="250" t="str">
        <f>IF($B49="Operating",+'5 BS Adjusted'!D49,"")</f>
        <v/>
      </c>
      <c r="D49" s="250" t="str">
        <f>IF($B49="Operating",+'5 BS Adjusted'!E49,"")</f>
        <v/>
      </c>
      <c r="E49" s="250" t="str">
        <f>IF($B49="Operating",+'5 BS Adjusted'!F49,"")</f>
        <v/>
      </c>
      <c r="F49" s="250" t="str">
        <f>IF($B49="Operating",+'5 BS Adjusted'!G49,"")</f>
        <v/>
      </c>
    </row>
    <row r="50" spans="1:6" x14ac:dyDescent="0.3">
      <c r="A50" s="249" t="s">
        <v>377</v>
      </c>
      <c r="B50" s="248" t="str">
        <f>IF(IFERROR(VLOOKUP(A50,'5 BS Adjusted'!A:C,2,),"")&gt;"",IFERROR(VLOOKUP(A50,'5 BS Adjusted'!A:C,2,),""),IFERROR(VLOOKUP(A50,'5 BS Adjusted'!A:C,3,),""))</f>
        <v>Operating</v>
      </c>
      <c r="C50" s="250">
        <f>IF($B50="Operating",+'5 BS Adjusted'!D50,"")</f>
        <v>55</v>
      </c>
      <c r="D50" s="250">
        <f>IF($B50="Operating",+'5 BS Adjusted'!E50,"")</f>
        <v>181</v>
      </c>
      <c r="E50" s="250">
        <f>IF($B50="Operating",+'5 BS Adjusted'!F50,"")</f>
        <v>239</v>
      </c>
      <c r="F50" s="250">
        <f>IF($B50="Operating",+'5 BS Adjusted'!G50,"")</f>
        <v>270</v>
      </c>
    </row>
    <row r="51" spans="1:6" x14ac:dyDescent="0.3">
      <c r="A51" s="249" t="s">
        <v>378</v>
      </c>
      <c r="B51" s="248" t="str">
        <f>IF(IFERROR(VLOOKUP(A51,'5 BS Adjusted'!A:C,2,),"")&gt;"",IFERROR(VLOOKUP(A51,'5 BS Adjusted'!A:C,2,),""),IFERROR(VLOOKUP(A51,'5 BS Adjusted'!A:C,3,),""))</f>
        <v>Operating</v>
      </c>
      <c r="C51" s="250">
        <f>IF($B51="Operating",+'5 BS Adjusted'!D51,"")</f>
        <v>43</v>
      </c>
      <c r="D51" s="250">
        <f>IF($B51="Operating",+'5 BS Adjusted'!E51,"")</f>
        <v>0</v>
      </c>
      <c r="E51" s="250">
        <f>IF($B51="Operating",+'5 BS Adjusted'!F51,"")</f>
        <v>42</v>
      </c>
      <c r="F51" s="250">
        <f>IF($B51="Operating",+'5 BS Adjusted'!G51,"")</f>
        <v>10</v>
      </c>
    </row>
    <row r="52" spans="1:6" x14ac:dyDescent="0.3">
      <c r="A52" s="249" t="s">
        <v>379</v>
      </c>
      <c r="B52" s="248" t="str">
        <f>IF(IFERROR(VLOOKUP(A52,'5 BS Adjusted'!A:C,2,),"")&gt;"",IFERROR(VLOOKUP(A52,'5 BS Adjusted'!A:C,2,),""),IFERROR(VLOOKUP(A52,'5 BS Adjusted'!A:C,3,),""))</f>
        <v>Financial</v>
      </c>
      <c r="C52" s="250" t="str">
        <f>IF($B52="Operating",+'5 BS Adjusted'!D52,"")</f>
        <v/>
      </c>
      <c r="D52" s="250" t="str">
        <f>IF($B52="Operating",+'5 BS Adjusted'!E52,"")</f>
        <v/>
      </c>
      <c r="E52" s="250" t="str">
        <f>IF($B52="Operating",+'5 BS Adjusted'!F52,"")</f>
        <v/>
      </c>
      <c r="F52" s="250" t="str">
        <f>IF($B52="Operating",+'5 BS Adjusted'!G52,"")</f>
        <v/>
      </c>
    </row>
    <row r="53" spans="1:6" x14ac:dyDescent="0.3">
      <c r="A53" s="249" t="s">
        <v>380</v>
      </c>
      <c r="B53" s="248" t="str">
        <f>IF(IFERROR(VLOOKUP(A53,'5 BS Adjusted'!A:C,2,),"")&gt;"",IFERROR(VLOOKUP(A53,'5 BS Adjusted'!A:C,2,),""),IFERROR(VLOOKUP(A53,'5 BS Adjusted'!A:C,3,),""))</f>
        <v>Financial</v>
      </c>
      <c r="C53" s="250" t="str">
        <f>IF($B53="Operating",+'5 BS Adjusted'!D53,"")</f>
        <v/>
      </c>
      <c r="D53" s="250" t="str">
        <f>IF($B53="Operating",+'5 BS Adjusted'!E53,"")</f>
        <v/>
      </c>
      <c r="E53" s="250" t="str">
        <f>IF($B53="Operating",+'5 BS Adjusted'!F53,"")</f>
        <v/>
      </c>
      <c r="F53" s="250" t="str">
        <f>IF($B53="Operating",+'5 BS Adjusted'!G53,"")</f>
        <v/>
      </c>
    </row>
    <row r="54" spans="1:6" x14ac:dyDescent="0.3">
      <c r="A54" s="249" t="s">
        <v>381</v>
      </c>
      <c r="B54" s="248" t="str">
        <f>IF(IFERROR(VLOOKUP(A54,'5 BS Adjusted'!A:C,2,),"")&gt;"",IFERROR(VLOOKUP(A54,'5 BS Adjusted'!A:C,2,),""),IFERROR(VLOOKUP(A54,'5 BS Adjusted'!A:C,3,),""))</f>
        <v>Operating</v>
      </c>
      <c r="C54" s="250">
        <f>IF($B54="Operating",+'5 BS Adjusted'!D54,"")</f>
        <v>86</v>
      </c>
      <c r="D54" s="250">
        <f>IF($B54="Operating",+'5 BS Adjusted'!E54,"")</f>
        <v>31</v>
      </c>
      <c r="E54" s="250">
        <f>IF($B54="Operating",+'5 BS Adjusted'!F54,"")</f>
        <v>71</v>
      </c>
      <c r="F54" s="250">
        <f>IF($B54="Operating",+'5 BS Adjusted'!G54,"")</f>
        <v>26</v>
      </c>
    </row>
    <row r="55" spans="1:6" x14ac:dyDescent="0.3">
      <c r="A55" s="249" t="s">
        <v>382</v>
      </c>
      <c r="B55" s="248" t="str">
        <f>IF(IFERROR(VLOOKUP(A55,'5 BS Adjusted'!A:C,2,),"")&gt;"",IFERROR(VLOOKUP(A55,'5 BS Adjusted'!A:C,2,),""),IFERROR(VLOOKUP(A55,'5 BS Adjusted'!A:C,3,),""))</f>
        <v>Operating</v>
      </c>
      <c r="C55" s="250">
        <f>IF($B55="Operating",+'5 BS Adjusted'!D55,"")</f>
        <v>-63</v>
      </c>
      <c r="D55" s="250">
        <f>IF($B55="Operating",+'5 BS Adjusted'!E55,"")</f>
        <v>-131</v>
      </c>
      <c r="E55" s="250">
        <f>IF($B55="Operating",+'5 BS Adjusted'!F55,"")</f>
        <v>-153</v>
      </c>
      <c r="F55" s="250">
        <f>IF($B55="Operating",+'5 BS Adjusted'!G55,"")</f>
        <v>-166</v>
      </c>
    </row>
    <row r="56" spans="1:6" x14ac:dyDescent="0.3">
      <c r="A56" s="249" t="s">
        <v>383</v>
      </c>
      <c r="B56" s="248" t="str">
        <f>IF(IFERROR(VLOOKUP(A56,'5 BS Adjusted'!A:C,2,),"")&gt;"",IFERROR(VLOOKUP(A56,'5 BS Adjusted'!A:C,2,),""),IFERROR(VLOOKUP(A56,'5 BS Adjusted'!A:C,3,),""))</f>
        <v>Financial</v>
      </c>
      <c r="C56" s="250" t="str">
        <f>IF($B56="Operating",+'5 BS Adjusted'!D56,"")</f>
        <v/>
      </c>
      <c r="D56" s="250" t="str">
        <f>IF($B56="Operating",+'5 BS Adjusted'!E56,"")</f>
        <v/>
      </c>
      <c r="E56" s="250" t="str">
        <f>IF($B56="Operating",+'5 BS Adjusted'!F56,"")</f>
        <v/>
      </c>
      <c r="F56" s="250" t="str">
        <f>IF($B56="Operating",+'5 BS Adjusted'!G56,"")</f>
        <v/>
      </c>
    </row>
    <row r="57" spans="1:6" x14ac:dyDescent="0.3">
      <c r="A57" s="249" t="s">
        <v>384</v>
      </c>
      <c r="B57" s="248" t="str">
        <f>IF(IFERROR(VLOOKUP(A57,'5 BS Adjusted'!A:C,2,),"")&gt;"",IFERROR(VLOOKUP(A57,'5 BS Adjusted'!A:C,2,),""),IFERROR(VLOOKUP(A57,'5 BS Adjusted'!A:C,3,),""))</f>
        <v>Financial</v>
      </c>
      <c r="C57" s="250" t="str">
        <f>IF($B57="Operating",+'5 BS Adjusted'!D57,"")</f>
        <v/>
      </c>
      <c r="D57" s="250" t="str">
        <f>IF($B57="Operating",+'5 BS Adjusted'!E57,"")</f>
        <v/>
      </c>
      <c r="E57" s="250" t="str">
        <f>IF($B57="Operating",+'5 BS Adjusted'!F57,"")</f>
        <v/>
      </c>
      <c r="F57" s="250" t="str">
        <f>IF($B57="Operating",+'5 BS Adjusted'!G57,"")</f>
        <v/>
      </c>
    </row>
    <row r="58" spans="1:6" x14ac:dyDescent="0.3">
      <c r="A58" s="249" t="s">
        <v>164</v>
      </c>
      <c r="B58" s="248" t="str">
        <f>IF(IFERROR(VLOOKUP(A58,'5 BS Adjusted'!A:C,2,),"")&gt;"",IFERROR(VLOOKUP(A58,'5 BS Adjusted'!A:C,2,),""),IFERROR(VLOOKUP(A58,'5 BS Adjusted'!A:C,3,),""))</f>
        <v>Operating</v>
      </c>
      <c r="C58" s="250">
        <f>IF($B58="Operating",+'5 BS Adjusted'!D58,"")</f>
        <v>338</v>
      </c>
      <c r="D58" s="250">
        <f>IF($B58="Operating",+'5 BS Adjusted'!E58,"")</f>
        <v>376</v>
      </c>
      <c r="E58" s="250">
        <f>IF($B58="Operating",+'5 BS Adjusted'!F58,"")</f>
        <v>385</v>
      </c>
      <c r="F58" s="250">
        <f>IF($B58="Operating",+'5 BS Adjusted'!G58,"")</f>
        <v>487</v>
      </c>
    </row>
    <row r="59" spans="1:6" s="13" customFormat="1" x14ac:dyDescent="0.3">
      <c r="A59" s="247" t="s">
        <v>192</v>
      </c>
      <c r="B59" s="251"/>
      <c r="C59" s="252">
        <f>SUM(C5:C58)</f>
        <v>15358</v>
      </c>
      <c r="D59" s="252">
        <f>SUM(D5:D58)</f>
        <v>15479</v>
      </c>
      <c r="E59" s="252">
        <f>SUM(E5:E58)</f>
        <v>16288</v>
      </c>
      <c r="F59" s="252">
        <f>SUM(F5:F58)</f>
        <v>17715</v>
      </c>
    </row>
    <row r="60" spans="1:6" x14ac:dyDescent="0.3">
      <c r="A60" s="249"/>
      <c r="B60" s="248"/>
      <c r="C60" s="249"/>
      <c r="D60" s="249"/>
      <c r="E60" s="249"/>
      <c r="F60" s="249"/>
    </row>
    <row r="61" spans="1:6" x14ac:dyDescent="0.3">
      <c r="A61" s="247" t="s">
        <v>7</v>
      </c>
      <c r="B61" s="248"/>
      <c r="C61" s="249"/>
      <c r="D61" s="249"/>
      <c r="E61" s="249"/>
      <c r="F61" s="249"/>
    </row>
    <row r="62" spans="1:6" x14ac:dyDescent="0.3">
      <c r="A62" s="247" t="s">
        <v>158</v>
      </c>
      <c r="B62" s="248"/>
      <c r="C62" s="249"/>
      <c r="D62" s="249"/>
      <c r="E62" s="249"/>
      <c r="F62" s="249"/>
    </row>
    <row r="63" spans="1:6" x14ac:dyDescent="0.3">
      <c r="A63" s="249" t="s">
        <v>233</v>
      </c>
      <c r="B63" s="248" t="str">
        <f>IF(IFERROR(VLOOKUP(A63,'5 BS Adjusted'!A:C,2,),"")&gt;"",IFERROR(VLOOKUP(A63,'5 BS Adjusted'!A:C,2,),""),IFERROR(VLOOKUP(A63,'5 BS Adjusted'!A:C,3,),""))</f>
        <v>Financial</v>
      </c>
      <c r="C63" s="250" t="str">
        <f>IF($B63="Operating",+'5 BS Adjusted'!D63,"")</f>
        <v/>
      </c>
      <c r="D63" s="250" t="str">
        <f>IF($B63="Operating",+'5 BS Adjusted'!E63,"")</f>
        <v/>
      </c>
      <c r="E63" s="250" t="str">
        <f>IF($B63="Operating",+'5 BS Adjusted'!F63,"")</f>
        <v/>
      </c>
      <c r="F63" s="250" t="str">
        <f>IF($B63="Operating",+'5 BS Adjusted'!G63,"")</f>
        <v/>
      </c>
    </row>
    <row r="64" spans="1:6" x14ac:dyDescent="0.3">
      <c r="A64" s="249" t="s">
        <v>385</v>
      </c>
      <c r="B64" s="248" t="str">
        <f>IF(IFERROR(VLOOKUP(A64,'5 BS Adjusted'!A:C,2,),"")&gt;"",IFERROR(VLOOKUP(A64,'5 BS Adjusted'!A:C,2,),""),IFERROR(VLOOKUP(A64,'5 BS Adjusted'!A:C,3,),""))</f>
        <v>Financial</v>
      </c>
      <c r="C64" s="250" t="str">
        <f>IF($B64="Operating",+'5 BS Adjusted'!D64,"")</f>
        <v/>
      </c>
      <c r="D64" s="250" t="str">
        <f>IF($B64="Operating",+'5 BS Adjusted'!E64,"")</f>
        <v/>
      </c>
      <c r="E64" s="250" t="str">
        <f>IF($B64="Operating",+'5 BS Adjusted'!F64,"")</f>
        <v/>
      </c>
      <c r="F64" s="250" t="str">
        <f>IF($B64="Operating",+'5 BS Adjusted'!G64,"")</f>
        <v/>
      </c>
    </row>
    <row r="65" spans="1:6" x14ac:dyDescent="0.3">
      <c r="A65" s="249" t="s">
        <v>386</v>
      </c>
      <c r="B65" s="248" t="str">
        <f>IF(IFERROR(VLOOKUP(A65,'5 BS Adjusted'!A:C,2,),"")&gt;"",IFERROR(VLOOKUP(A65,'5 BS Adjusted'!A:C,2,),""),IFERROR(VLOOKUP(A65,'5 BS Adjusted'!A:C,3,),""))</f>
        <v>Financial</v>
      </c>
      <c r="C65" s="250" t="str">
        <f>IF($B65="Operating",+'5 BS Adjusted'!D65,"")</f>
        <v/>
      </c>
      <c r="D65" s="250" t="str">
        <f>IF($B65="Operating",+'5 BS Adjusted'!E65,"")</f>
        <v/>
      </c>
      <c r="E65" s="250" t="str">
        <f>IF($B65="Operating",+'5 BS Adjusted'!F65,"")</f>
        <v/>
      </c>
      <c r="F65" s="250" t="str">
        <f>IF($B65="Operating",+'5 BS Adjusted'!G65,"")</f>
        <v/>
      </c>
    </row>
    <row r="66" spans="1:6" x14ac:dyDescent="0.3">
      <c r="A66" s="249" t="s">
        <v>387</v>
      </c>
      <c r="B66" s="248" t="str">
        <f>IF(IFERROR(VLOOKUP(A66,'5 BS Adjusted'!A:C,2,),"")&gt;"",IFERROR(VLOOKUP(A66,'5 BS Adjusted'!A:C,2,),""),IFERROR(VLOOKUP(A66,'5 BS Adjusted'!A:C,3,),""))</f>
        <v>Financial</v>
      </c>
      <c r="C66" s="250" t="str">
        <f>IF($B66="Operating",+'5 BS Adjusted'!D66,"")</f>
        <v/>
      </c>
      <c r="D66" s="250" t="str">
        <f>IF($B66="Operating",+'5 BS Adjusted'!E66,"")</f>
        <v/>
      </c>
      <c r="E66" s="250" t="str">
        <f>IF($B66="Operating",+'5 BS Adjusted'!F66,"")</f>
        <v/>
      </c>
      <c r="F66" s="250" t="str">
        <f>IF($B66="Operating",+'5 BS Adjusted'!G66,"")</f>
        <v/>
      </c>
    </row>
    <row r="67" spans="1:6" x14ac:dyDescent="0.3">
      <c r="A67" s="249" t="s">
        <v>234</v>
      </c>
      <c r="B67" s="248" t="str">
        <f>IF(IFERROR(VLOOKUP(A67,'5 BS Adjusted'!A:C,2,),"")&gt;"",IFERROR(VLOOKUP(A67,'5 BS Adjusted'!A:C,2,),""),IFERROR(VLOOKUP(A67,'5 BS Adjusted'!A:C,3,),""))</f>
        <v>Operating</v>
      </c>
      <c r="C67" s="250">
        <f>IF($B67="Operating",+'5 BS Adjusted'!D67,"")</f>
        <v>-1907</v>
      </c>
      <c r="D67" s="250">
        <f>IF($B67="Operating",+'5 BS Adjusted'!E67,"")</f>
        <v>-2014</v>
      </c>
      <c r="E67" s="250">
        <f>IF($B67="Operating",+'5 BS Adjusted'!F67,"")</f>
        <v>-2269</v>
      </c>
      <c r="F67" s="250">
        <f>IF($B67="Operating",+'5 BS Adjusted'!G67,"")</f>
        <v>-2427</v>
      </c>
    </row>
    <row r="68" spans="1:6" x14ac:dyDescent="0.3">
      <c r="A68" s="249" t="s">
        <v>388</v>
      </c>
      <c r="B68" s="248" t="str">
        <f>IF(IFERROR(VLOOKUP(A68,'5 BS Adjusted'!A:C,2,),"")&gt;"",IFERROR(VLOOKUP(A68,'5 BS Adjusted'!A:C,2,),""),IFERROR(VLOOKUP(A68,'5 BS Adjusted'!A:C,3,),""))</f>
        <v>Operating</v>
      </c>
      <c r="C68" s="250">
        <f>IF($B68="Operating",+'5 BS Adjusted'!D68,"")</f>
        <v>-42</v>
      </c>
      <c r="D68" s="250">
        <f>IF($B68="Operating",+'5 BS Adjusted'!E68,"")</f>
        <v>-47</v>
      </c>
      <c r="E68" s="250">
        <f>IF($B68="Operating",+'5 BS Adjusted'!F68,"")</f>
        <v>-30</v>
      </c>
      <c r="F68" s="250">
        <f>IF($B68="Operating",+'5 BS Adjusted'!G68,"")</f>
        <v>-48</v>
      </c>
    </row>
    <row r="69" spans="1:6" x14ac:dyDescent="0.3">
      <c r="A69" s="249" t="s">
        <v>389</v>
      </c>
      <c r="B69" s="248" t="str">
        <f>IF(IFERROR(VLOOKUP(A69,'5 BS Adjusted'!A:C,2,),"")&gt;"",IFERROR(VLOOKUP(A69,'5 BS Adjusted'!A:C,2,),""),IFERROR(VLOOKUP(A69,'5 BS Adjusted'!A:C,3,),""))</f>
        <v>Operating</v>
      </c>
      <c r="C69" s="250">
        <f>IF($B69="Operating",+'5 BS Adjusted'!D69,"")</f>
        <v>-325</v>
      </c>
      <c r="D69" s="250">
        <f>IF($B69="Operating",+'5 BS Adjusted'!E69,"")</f>
        <v>-318</v>
      </c>
      <c r="E69" s="250">
        <f>IF($B69="Operating",+'5 BS Adjusted'!F69,"")</f>
        <v>-311</v>
      </c>
      <c r="F69" s="250">
        <f>IF($B69="Operating",+'5 BS Adjusted'!G69,"")</f>
        <v>-309</v>
      </c>
    </row>
    <row r="70" spans="1:6" x14ac:dyDescent="0.3">
      <c r="A70" s="249" t="s">
        <v>390</v>
      </c>
      <c r="B70" s="248" t="str">
        <f>IF(IFERROR(VLOOKUP(A70,'5 BS Adjusted'!A:C,2,),"")&gt;"",IFERROR(VLOOKUP(A70,'5 BS Adjusted'!A:C,2,),""),IFERROR(VLOOKUP(A70,'5 BS Adjusted'!A:C,3,),""))</f>
        <v>Operating</v>
      </c>
      <c r="C70" s="250">
        <f>IF($B70="Operating",+'5 BS Adjusted'!D70,"")</f>
        <v>-447</v>
      </c>
      <c r="D70" s="250">
        <f>IF($B70="Operating",+'5 BS Adjusted'!E70,"")</f>
        <v>-436</v>
      </c>
      <c r="E70" s="250">
        <f>IF($B70="Operating",+'5 BS Adjusted'!F70,"")</f>
        <v>-582</v>
      </c>
      <c r="F70" s="250">
        <f>IF($B70="Operating",+'5 BS Adjusted'!G70,"")</f>
        <v>-557</v>
      </c>
    </row>
    <row r="71" spans="1:6" x14ac:dyDescent="0.3">
      <c r="A71" s="249" t="s">
        <v>391</v>
      </c>
      <c r="B71" s="248" t="str">
        <f>IF(IFERROR(VLOOKUP(A71,'5 BS Adjusted'!A:C,2,),"")&gt;"",IFERROR(VLOOKUP(A71,'5 BS Adjusted'!A:C,2,),""),IFERROR(VLOOKUP(A71,'5 BS Adjusted'!A:C,3,),""))</f>
        <v>Operating</v>
      </c>
      <c r="C71" s="250">
        <f>IF($B71="Operating",+'5 BS Adjusted'!D71,"")</f>
        <v>-512</v>
      </c>
      <c r="D71" s="250">
        <f>IF($B71="Operating",+'5 BS Adjusted'!E71,"")</f>
        <v>-569</v>
      </c>
      <c r="E71" s="250">
        <f>IF($B71="Operating",+'5 BS Adjusted'!F71,"")</f>
        <v>-526</v>
      </c>
      <c r="F71" s="250">
        <f>IF($B71="Operating",+'5 BS Adjusted'!G71,"")</f>
        <v>-478</v>
      </c>
    </row>
    <row r="72" spans="1:6" x14ac:dyDescent="0.3">
      <c r="A72" s="249" t="s">
        <v>9</v>
      </c>
      <c r="B72" s="248" t="str">
        <f>IF(IFERROR(VLOOKUP(A72,'5 BS Adjusted'!A:C,2,),"")&gt;"",IFERROR(VLOOKUP(A72,'5 BS Adjusted'!A:C,2,),""),IFERROR(VLOOKUP(A72,'5 BS Adjusted'!A:C,3,),""))</f>
        <v>Financial</v>
      </c>
      <c r="C72" s="250" t="str">
        <f>IF($B72="Operating",+'5 BS Adjusted'!D72,"")</f>
        <v/>
      </c>
      <c r="D72" s="250" t="str">
        <f>IF($B72="Operating",+'5 BS Adjusted'!E72,"")</f>
        <v/>
      </c>
      <c r="E72" s="250" t="str">
        <f>IF($B72="Operating",+'5 BS Adjusted'!F72,"")</f>
        <v/>
      </c>
      <c r="F72" s="250" t="str">
        <f>IF($B72="Operating",+'5 BS Adjusted'!G72,"")</f>
        <v/>
      </c>
    </row>
    <row r="73" spans="1:6" x14ac:dyDescent="0.3">
      <c r="A73" s="249" t="s">
        <v>392</v>
      </c>
      <c r="B73" s="248" t="str">
        <f>IF(IFERROR(VLOOKUP(A73,'5 BS Adjusted'!A:C,2,),"")&gt;"",IFERROR(VLOOKUP(A73,'5 BS Adjusted'!A:C,2,),""),IFERROR(VLOOKUP(A73,'5 BS Adjusted'!A:C,3,),""))</f>
        <v>Operating</v>
      </c>
      <c r="C73" s="250">
        <f>IF($B73="Operating",+'5 BS Adjusted'!D73,"")</f>
        <v>-43</v>
      </c>
      <c r="D73" s="250">
        <f>IF($B73="Operating",+'5 BS Adjusted'!E73,"")</f>
        <v>-34</v>
      </c>
      <c r="E73" s="250">
        <f>IF($B73="Operating",+'5 BS Adjusted'!F73,"")</f>
        <v>-48</v>
      </c>
      <c r="F73" s="250">
        <f>IF($B73="Operating",+'5 BS Adjusted'!G73,"")</f>
        <v>-19</v>
      </c>
    </row>
    <row r="74" spans="1:6" x14ac:dyDescent="0.3">
      <c r="A74" s="249" t="s">
        <v>393</v>
      </c>
      <c r="B74" s="248" t="str">
        <f>IF(IFERROR(VLOOKUP(A74,'5 BS Adjusted'!A:C,2,),"")&gt;"",IFERROR(VLOOKUP(A74,'5 BS Adjusted'!A:C,2,),""),IFERROR(VLOOKUP(A74,'5 BS Adjusted'!A:C,3,),""))</f>
        <v>Operating</v>
      </c>
      <c r="C74" s="250">
        <f>IF($B74="Operating",+'5 BS Adjusted'!D74,"")</f>
        <v>0</v>
      </c>
      <c r="D74" s="250">
        <f>IF($B74="Operating",+'5 BS Adjusted'!E74,"")</f>
        <v>-51</v>
      </c>
      <c r="E74" s="250">
        <f>IF($B74="Operating",+'5 BS Adjusted'!F74,"")</f>
        <v>0</v>
      </c>
      <c r="F74" s="250">
        <f>IF($B74="Operating",+'5 BS Adjusted'!G74,"")</f>
        <v>0</v>
      </c>
    </row>
    <row r="75" spans="1:6" x14ac:dyDescent="0.3">
      <c r="A75" s="249" t="s">
        <v>394</v>
      </c>
      <c r="B75" s="248" t="str">
        <f>IF(IFERROR(VLOOKUP(A75,'5 BS Adjusted'!A:C,2,),"")&gt;"",IFERROR(VLOOKUP(A75,'5 BS Adjusted'!A:C,2,),""),IFERROR(VLOOKUP(A75,'5 BS Adjusted'!A:C,3,),""))</f>
        <v>Operating</v>
      </c>
      <c r="C75" s="250">
        <f>IF($B75="Operating",+'5 BS Adjusted'!D75,"")</f>
        <v>-345</v>
      </c>
      <c r="D75" s="250">
        <f>IF($B75="Operating",+'5 BS Adjusted'!E75,"")</f>
        <v>-318</v>
      </c>
      <c r="E75" s="250">
        <f>IF($B75="Operating",+'5 BS Adjusted'!F75,"")</f>
        <v>-208</v>
      </c>
      <c r="F75" s="250">
        <f>IF($B75="Operating",+'5 BS Adjusted'!G75,"")</f>
        <v>-220</v>
      </c>
    </row>
    <row r="76" spans="1:6" x14ac:dyDescent="0.3">
      <c r="A76" s="249" t="s">
        <v>395</v>
      </c>
      <c r="B76" s="248" t="str">
        <f>IF(IFERROR(VLOOKUP(A76,'5 BS Adjusted'!A:C,2,),"")&gt;"",IFERROR(VLOOKUP(A76,'5 BS Adjusted'!A:C,2,),""),IFERROR(VLOOKUP(A76,'5 BS Adjusted'!A:C,3,),""))</f>
        <v>Operating</v>
      </c>
      <c r="C76" s="250">
        <f>IF($B76="Operating",+'5 BS Adjusted'!D76,"")</f>
        <v>-576</v>
      </c>
      <c r="D76" s="250">
        <f>IF($B76="Operating",+'5 BS Adjusted'!E76,"")</f>
        <v>-602</v>
      </c>
      <c r="E76" s="250">
        <f>IF($B76="Operating",+'5 BS Adjusted'!F76,"")</f>
        <v>-332</v>
      </c>
      <c r="F76" s="250">
        <f>IF($B76="Operating",+'5 BS Adjusted'!G76,"")</f>
        <v>-613</v>
      </c>
    </row>
    <row r="77" spans="1:6" x14ac:dyDescent="0.3">
      <c r="A77" s="249" t="s">
        <v>396</v>
      </c>
      <c r="B77" s="248" t="str">
        <f>IF(IFERROR(VLOOKUP(A77,'5 BS Adjusted'!A:C,2,),"")&gt;"",IFERROR(VLOOKUP(A77,'5 BS Adjusted'!A:C,2,),""),IFERROR(VLOOKUP(A77,'5 BS Adjusted'!A:C,3,),""))</f>
        <v>Operating</v>
      </c>
      <c r="C77" s="250">
        <f>IF($B77="Operating",+'5 BS Adjusted'!D77,"")</f>
        <v>0</v>
      </c>
      <c r="D77" s="250">
        <f>IF($B77="Operating",+'5 BS Adjusted'!E77,"")</f>
        <v>0</v>
      </c>
      <c r="E77" s="250">
        <f>IF($B77="Operating",+'5 BS Adjusted'!F77,"")</f>
        <v>0</v>
      </c>
      <c r="F77" s="250">
        <f>IF($B77="Operating",+'5 BS Adjusted'!G77,"")</f>
        <v>0</v>
      </c>
    </row>
    <row r="78" spans="1:6" x14ac:dyDescent="0.3">
      <c r="A78" s="249" t="s">
        <v>397</v>
      </c>
      <c r="B78" s="248" t="str">
        <f>IF(IFERROR(VLOOKUP(A78,'5 BS Adjusted'!A:C,2,),"")&gt;"",IFERROR(VLOOKUP(A78,'5 BS Adjusted'!A:C,2,),""),IFERROR(VLOOKUP(A78,'5 BS Adjusted'!A:C,3,),""))</f>
        <v>Financial</v>
      </c>
      <c r="C78" s="250" t="str">
        <f>IF($B78="Operating",+'5 BS Adjusted'!D78,"")</f>
        <v/>
      </c>
      <c r="D78" s="250" t="str">
        <f>IF($B78="Operating",+'5 BS Adjusted'!E78,"")</f>
        <v/>
      </c>
      <c r="E78" s="250" t="str">
        <f>IF($B78="Operating",+'5 BS Adjusted'!F78,"")</f>
        <v/>
      </c>
      <c r="F78" s="250" t="str">
        <f>IF($B78="Operating",+'5 BS Adjusted'!G78,"")</f>
        <v/>
      </c>
    </row>
    <row r="79" spans="1:6" x14ac:dyDescent="0.3">
      <c r="A79" s="249" t="s">
        <v>398</v>
      </c>
      <c r="B79" s="248" t="str">
        <f>IF(IFERROR(VLOOKUP(A79,'5 BS Adjusted'!A:C,2,),"")&gt;"",IFERROR(VLOOKUP(A79,'5 BS Adjusted'!A:C,2,),""),IFERROR(VLOOKUP(A79,'5 BS Adjusted'!A:C,3,),""))</f>
        <v>Financial</v>
      </c>
      <c r="C79" s="250" t="str">
        <f>IF($B79="Operating",+'5 BS Adjusted'!D79,"")</f>
        <v/>
      </c>
      <c r="D79" s="250" t="str">
        <f>IF($B79="Operating",+'5 BS Adjusted'!E79,"")</f>
        <v/>
      </c>
      <c r="E79" s="250" t="str">
        <f>IF($B79="Operating",+'5 BS Adjusted'!F79,"")</f>
        <v/>
      </c>
      <c r="F79" s="250" t="str">
        <f>IF($B79="Operating",+'5 BS Adjusted'!G79,"")</f>
        <v/>
      </c>
    </row>
    <row r="80" spans="1:6" x14ac:dyDescent="0.3">
      <c r="A80" s="249" t="s">
        <v>399</v>
      </c>
      <c r="B80" s="248" t="str">
        <f>IF(IFERROR(VLOOKUP(A80,'5 BS Adjusted'!A:C,2,),"")&gt;"",IFERROR(VLOOKUP(A80,'5 BS Adjusted'!A:C,2,),""),IFERROR(VLOOKUP(A80,'5 BS Adjusted'!A:C,3,),""))</f>
        <v>Financial</v>
      </c>
      <c r="C80" s="250" t="str">
        <f>IF($B80="Operating",+'5 BS Adjusted'!D80,"")</f>
        <v/>
      </c>
      <c r="D80" s="250" t="str">
        <f>IF($B80="Operating",+'5 BS Adjusted'!E80,"")</f>
        <v/>
      </c>
      <c r="E80" s="250" t="str">
        <f>IF($B80="Operating",+'5 BS Adjusted'!F80,"")</f>
        <v/>
      </c>
      <c r="F80" s="250" t="str">
        <f>IF($B80="Operating",+'5 BS Adjusted'!G80,"")</f>
        <v/>
      </c>
    </row>
    <row r="81" spans="1:6" x14ac:dyDescent="0.3">
      <c r="A81" s="249" t="s">
        <v>137</v>
      </c>
      <c r="B81" s="248" t="str">
        <f>IF(IFERROR(VLOOKUP(A81,'5 BS Adjusted'!A:C,2,),"")&gt;"",IFERROR(VLOOKUP(A81,'5 BS Adjusted'!A:C,2,),""),IFERROR(VLOOKUP(A81,'5 BS Adjusted'!A:C,3,),""))</f>
        <v>Financial</v>
      </c>
      <c r="C81" s="250" t="str">
        <f>IF($B81="Operating",+'5 BS Adjusted'!D81,"")</f>
        <v/>
      </c>
      <c r="D81" s="250" t="str">
        <f>IF($B81="Operating",+'5 BS Adjusted'!E81,"")</f>
        <v/>
      </c>
      <c r="E81" s="250" t="str">
        <f>IF($B81="Operating",+'5 BS Adjusted'!F81,"")</f>
        <v/>
      </c>
      <c r="F81" s="250" t="str">
        <f>IF($B81="Operating",+'5 BS Adjusted'!G81,"")</f>
        <v/>
      </c>
    </row>
    <row r="82" spans="1:6" x14ac:dyDescent="0.3">
      <c r="A82" s="249" t="s">
        <v>116</v>
      </c>
      <c r="B82" s="248" t="str">
        <f>IF(IFERROR(VLOOKUP(A82,'5 BS Adjusted'!A:C,2,),"")&gt;"",IFERROR(VLOOKUP(A82,'5 BS Adjusted'!A:C,2,),""),IFERROR(VLOOKUP(A82,'5 BS Adjusted'!A:C,3,),""))</f>
        <v>Financial</v>
      </c>
      <c r="C82" s="250" t="str">
        <f>IF($B82="Operating",+'5 BS Adjusted'!D82,"")</f>
        <v/>
      </c>
      <c r="D82" s="250" t="str">
        <f>IF($B82="Operating",+'5 BS Adjusted'!E82,"")</f>
        <v/>
      </c>
      <c r="E82" s="250" t="str">
        <f>IF($B82="Operating",+'5 BS Adjusted'!F82,"")</f>
        <v/>
      </c>
      <c r="F82" s="250" t="str">
        <f>IF($B82="Operating",+'5 BS Adjusted'!G82,"")</f>
        <v/>
      </c>
    </row>
    <row r="83" spans="1:6" x14ac:dyDescent="0.3">
      <c r="A83" s="249" t="s">
        <v>400</v>
      </c>
      <c r="B83" s="248" t="str">
        <f>IF(IFERROR(VLOOKUP(A83,'5 BS Adjusted'!A:C,2,),"")&gt;"",IFERROR(VLOOKUP(A83,'5 BS Adjusted'!A:C,2,),""),IFERROR(VLOOKUP(A83,'5 BS Adjusted'!A:C,3,),""))</f>
        <v>Operating</v>
      </c>
      <c r="C83" s="250">
        <f>IF($B83="Operating",+'5 BS Adjusted'!D83,"")</f>
        <v>0</v>
      </c>
      <c r="D83" s="250">
        <f>IF($B83="Operating",+'5 BS Adjusted'!E83,"")</f>
        <v>-48</v>
      </c>
      <c r="E83" s="250">
        <f>IF($B83="Operating",+'5 BS Adjusted'!F83,"")</f>
        <v>-192</v>
      </c>
      <c r="F83" s="250">
        <f>IF($B83="Operating",+'5 BS Adjusted'!G83,"")</f>
        <v>-115</v>
      </c>
    </row>
    <row r="84" spans="1:6" x14ac:dyDescent="0.3">
      <c r="A84" s="249" t="s">
        <v>401</v>
      </c>
      <c r="B84" s="248" t="str">
        <f>IF(IFERROR(VLOOKUP(A84,'5 BS Adjusted'!A:C,2,),"")&gt;"",IFERROR(VLOOKUP(A84,'5 BS Adjusted'!A:C,2,),""),IFERROR(VLOOKUP(A84,'5 BS Adjusted'!A:C,3,),""))</f>
        <v>Financial</v>
      </c>
      <c r="C84" s="250" t="str">
        <f>IF($B84="Operating",+'5 BS Adjusted'!D84,"")</f>
        <v/>
      </c>
      <c r="D84" s="250" t="str">
        <f>IF($B84="Operating",+'5 BS Adjusted'!E84,"")</f>
        <v/>
      </c>
      <c r="E84" s="250" t="str">
        <f>IF($B84="Operating",+'5 BS Adjusted'!F84,"")</f>
        <v/>
      </c>
      <c r="F84" s="250" t="str">
        <f>IF($B84="Operating",+'5 BS Adjusted'!G84,"")</f>
        <v/>
      </c>
    </row>
    <row r="85" spans="1:6" x14ac:dyDescent="0.3">
      <c r="A85" s="249" t="s">
        <v>334</v>
      </c>
      <c r="B85" s="248" t="str">
        <f>IF(IFERROR(VLOOKUP(A85,'5 BS Adjusted'!A:C,2,),"")&gt;"",IFERROR(VLOOKUP(A85,'5 BS Adjusted'!A:C,2,),""),IFERROR(VLOOKUP(A85,'5 BS Adjusted'!A:C,3,),""))</f>
        <v>Financial</v>
      </c>
      <c r="C85" s="250" t="str">
        <f>IF($B85="Operating",+'5 BS Adjusted'!D85,"")</f>
        <v/>
      </c>
      <c r="D85" s="250" t="str">
        <f>IF($B85="Operating",+'5 BS Adjusted'!E85,"")</f>
        <v/>
      </c>
      <c r="E85" s="250" t="str">
        <f>IF($B85="Operating",+'5 BS Adjusted'!F85,"")</f>
        <v/>
      </c>
      <c r="F85" s="250" t="str">
        <f>IF($B85="Operating",+'5 BS Adjusted'!G85,"")</f>
        <v/>
      </c>
    </row>
    <row r="86" spans="1:6" s="13" customFormat="1" x14ac:dyDescent="0.3">
      <c r="A86" s="247" t="s">
        <v>160</v>
      </c>
      <c r="B86" s="251"/>
      <c r="C86" s="253" t="str">
        <f>IF($B86="Operating",+'5 BS Adjusted'!D86,"")</f>
        <v/>
      </c>
      <c r="D86" s="253" t="str">
        <f>IF($B86="Operating",+'5 BS Adjusted'!E86,"")</f>
        <v/>
      </c>
      <c r="E86" s="253" t="str">
        <f>IF($B86="Operating",+'5 BS Adjusted'!F86,"")</f>
        <v/>
      </c>
      <c r="F86" s="253" t="str">
        <f>IF($B86="Operating",+'5 BS Adjusted'!G86,"")</f>
        <v/>
      </c>
    </row>
    <row r="87" spans="1:6" s="13" customFormat="1" x14ac:dyDescent="0.3">
      <c r="A87" s="247" t="s">
        <v>161</v>
      </c>
      <c r="B87" s="251"/>
      <c r="C87" s="253" t="str">
        <f>IF($B87="Operating",+'5 BS Adjusted'!D87,"")</f>
        <v/>
      </c>
      <c r="D87" s="253" t="str">
        <f>IF($B87="Operating",+'5 BS Adjusted'!E87,"")</f>
        <v/>
      </c>
      <c r="E87" s="253" t="str">
        <f>IF($B87="Operating",+'5 BS Adjusted'!F87,"")</f>
        <v/>
      </c>
      <c r="F87" s="253" t="str">
        <f>IF($B87="Operating",+'5 BS Adjusted'!G87,"")</f>
        <v/>
      </c>
    </row>
    <row r="88" spans="1:6" x14ac:dyDescent="0.3">
      <c r="A88" s="249" t="s">
        <v>226</v>
      </c>
      <c r="B88" s="248" t="str">
        <f>IF(IFERROR(VLOOKUP(A88,'5 BS Adjusted'!A:C,2,),"")&gt;"",IFERROR(VLOOKUP(A88,'5 BS Adjusted'!A:C,2,),""),IFERROR(VLOOKUP(A88,'5 BS Adjusted'!A:C,3,),""))</f>
        <v>Equity</v>
      </c>
      <c r="C88" s="250" t="str">
        <f>IF($B88="Operating",+'5 BS Adjusted'!D88,"")</f>
        <v/>
      </c>
      <c r="D88" s="250" t="str">
        <f>IF($B88="Operating",+'5 BS Adjusted'!E88,"")</f>
        <v/>
      </c>
      <c r="E88" s="250" t="str">
        <f>IF($B88="Operating",+'5 BS Adjusted'!F88,"")</f>
        <v/>
      </c>
      <c r="F88" s="250" t="str">
        <f>IF($B88="Operating",+'5 BS Adjusted'!G88,"")</f>
        <v/>
      </c>
    </row>
    <row r="89" spans="1:6" x14ac:dyDescent="0.3">
      <c r="A89" s="249" t="s">
        <v>236</v>
      </c>
      <c r="B89" s="248" t="str">
        <f>IF(IFERROR(VLOOKUP(A89,'5 BS Adjusted'!A:C,2,),"")&gt;"",IFERROR(VLOOKUP(A89,'5 BS Adjusted'!A:C,2,),""),IFERROR(VLOOKUP(A89,'5 BS Adjusted'!A:C,3,),""))</f>
        <v>Equity</v>
      </c>
      <c r="C89" s="250" t="str">
        <f>IF($B89="Operating",+'5 BS Adjusted'!D89,"")</f>
        <v/>
      </c>
      <c r="D89" s="250" t="str">
        <f>IF($B89="Operating",+'5 BS Adjusted'!E89,"")</f>
        <v/>
      </c>
      <c r="E89" s="250" t="str">
        <f>IF($B89="Operating",+'5 BS Adjusted'!F89,"")</f>
        <v/>
      </c>
      <c r="F89" s="250" t="str">
        <f>IF($B89="Operating",+'5 BS Adjusted'!G89,"")</f>
        <v/>
      </c>
    </row>
    <row r="90" spans="1:6" x14ac:dyDescent="0.3">
      <c r="A90" s="249" t="s">
        <v>8</v>
      </c>
      <c r="B90" s="248" t="str">
        <f>IF(IFERROR(VLOOKUP(A90,'5 BS Adjusted'!A:C,2,),"")&gt;"",IFERROR(VLOOKUP(A90,'5 BS Adjusted'!A:C,2,),""),IFERROR(VLOOKUP(A90,'5 BS Adjusted'!A:C,3,),""))</f>
        <v>Equity</v>
      </c>
      <c r="C90" s="250" t="str">
        <f>IF($B90="Operating",+'5 BS Adjusted'!D90,"")</f>
        <v/>
      </c>
      <c r="D90" s="250" t="str">
        <f>IF($B90="Operating",+'5 BS Adjusted'!E90,"")</f>
        <v/>
      </c>
      <c r="E90" s="250" t="str">
        <f>IF($B90="Operating",+'5 BS Adjusted'!F90,"")</f>
        <v/>
      </c>
      <c r="F90" s="250" t="str">
        <f>IF($B90="Operating",+'5 BS Adjusted'!G90,"")</f>
        <v/>
      </c>
    </row>
    <row r="91" spans="1:6" x14ac:dyDescent="0.3">
      <c r="A91" s="249" t="s">
        <v>237</v>
      </c>
      <c r="B91" s="248" t="str">
        <f>IF(IFERROR(VLOOKUP(A91,'5 BS Adjusted'!A:C,2,),"")&gt;"",IFERROR(VLOOKUP(A91,'5 BS Adjusted'!A:C,2,),""),IFERROR(VLOOKUP(A91,'5 BS Adjusted'!A:C,3,),""))</f>
        <v>Equity</v>
      </c>
      <c r="C91" s="250" t="str">
        <f>IF($B91="Operating",+'5 BS Adjusted'!D91,"")</f>
        <v/>
      </c>
      <c r="D91" s="250" t="str">
        <f>IF($B91="Operating",+'5 BS Adjusted'!E91,"")</f>
        <v/>
      </c>
      <c r="E91" s="250" t="str">
        <f>IF($B91="Operating",+'5 BS Adjusted'!F91,"")</f>
        <v/>
      </c>
      <c r="F91" s="250" t="str">
        <f>IF($B91="Operating",+'5 BS Adjusted'!G91,"")</f>
        <v/>
      </c>
    </row>
    <row r="92" spans="1:6" x14ac:dyDescent="0.3">
      <c r="A92" s="249" t="s">
        <v>228</v>
      </c>
      <c r="B92" s="248" t="str">
        <f>IF(IFERROR(VLOOKUP(A92,'5 BS Adjusted'!A:C,2,),"")&gt;"",IFERROR(VLOOKUP(A92,'5 BS Adjusted'!A:C,2,),""),IFERROR(VLOOKUP(A92,'5 BS Adjusted'!A:C,3,),""))</f>
        <v>Equity</v>
      </c>
      <c r="C92" s="250" t="str">
        <f>IF($B92="Operating",+'5 BS Adjusted'!D92,"")</f>
        <v/>
      </c>
      <c r="D92" s="250" t="str">
        <f>IF($B92="Operating",+'5 BS Adjusted'!E92,"")</f>
        <v/>
      </c>
      <c r="E92" s="250" t="str">
        <f>IF($B92="Operating",+'5 BS Adjusted'!F92,"")</f>
        <v/>
      </c>
      <c r="F92" s="250" t="str">
        <f>IF($B92="Operating",+'5 BS Adjusted'!G92,"")</f>
        <v/>
      </c>
    </row>
    <row r="93" spans="1:6" x14ac:dyDescent="0.3">
      <c r="A93" s="249" t="s">
        <v>79</v>
      </c>
      <c r="B93" s="248" t="str">
        <f>IF(IFERROR(VLOOKUP(A93,'5 BS Adjusted'!A:C,2,),"")&gt;"",IFERROR(VLOOKUP(A93,'5 BS Adjusted'!A:C,2,),""),IFERROR(VLOOKUP(A93,'5 BS Adjusted'!A:C,3,),""))</f>
        <v>Equity</v>
      </c>
      <c r="C93" s="250" t="str">
        <f>IF($B93="Operating",+'5 BS Adjusted'!#REF!,"")</f>
        <v/>
      </c>
      <c r="D93" s="250" t="str">
        <f>IF($B93="Operating",+'5 BS Adjusted'!#REF!,"")</f>
        <v/>
      </c>
      <c r="E93" s="250" t="str">
        <f>IF($B93="Operating",+'5 BS Adjusted'!#REF!,"")</f>
        <v/>
      </c>
      <c r="F93" s="250" t="str">
        <f>IF($B93="Operating",+'5 BS Adjusted'!#REF!,"")</f>
        <v/>
      </c>
    </row>
    <row r="94" spans="1:6" x14ac:dyDescent="0.3">
      <c r="A94" s="249" t="s">
        <v>238</v>
      </c>
      <c r="B94" s="248" t="str">
        <f>IF(IFERROR(VLOOKUP(A94,'5 BS Adjusted'!A:C,2,),"")&gt;"",IFERROR(VLOOKUP(A94,'5 BS Adjusted'!A:C,2,),""),IFERROR(VLOOKUP(A94,'5 BS Adjusted'!A:C,3,),""))</f>
        <v>Financial</v>
      </c>
      <c r="C94" s="250" t="str">
        <f>IF($B94="Operating",+'5 BS Adjusted'!D94,"")</f>
        <v/>
      </c>
      <c r="D94" s="250" t="str">
        <f>IF($B94="Operating",+'5 BS Adjusted'!E94,"")</f>
        <v/>
      </c>
      <c r="E94" s="250" t="str">
        <f>IF($B94="Operating",+'5 BS Adjusted'!F94,"")</f>
        <v/>
      </c>
      <c r="F94" s="250" t="str">
        <f>IF($B94="Operating",+'5 BS Adjusted'!G94,"")</f>
        <v/>
      </c>
    </row>
    <row r="95" spans="1:6" s="13" customFormat="1" x14ac:dyDescent="0.3">
      <c r="A95" s="247" t="s">
        <v>162</v>
      </c>
      <c r="B95" s="251"/>
      <c r="C95" s="247"/>
      <c r="D95" s="247"/>
      <c r="E95" s="247"/>
      <c r="F95" s="247"/>
    </row>
    <row r="96" spans="1:6" s="13" customFormat="1" x14ac:dyDescent="0.3">
      <c r="A96" s="247" t="s">
        <v>193</v>
      </c>
      <c r="B96" s="251" t="str">
        <f>IF(IFERROR(VLOOKUP(A96,'5 BS Adjusted'!A:C,2,),"")&gt;"",IFERROR(VLOOKUP(A96,'5 BS Adjusted'!A:C,2,),""),IFERROR(VLOOKUP(A96,'5 BS Adjusted'!A:C,3,),""))</f>
        <v/>
      </c>
      <c r="C96" s="252">
        <f>SUM(C63:C95)</f>
        <v>-4197</v>
      </c>
      <c r="D96" s="252">
        <f t="shared" ref="D96:F96" si="0">SUM(D63:D95)</f>
        <v>-4437</v>
      </c>
      <c r="E96" s="252">
        <f t="shared" si="0"/>
        <v>-4498</v>
      </c>
      <c r="F96" s="252">
        <f t="shared" si="0"/>
        <v>-4786</v>
      </c>
    </row>
    <row r="97" spans="1:8" s="13" customFormat="1" x14ac:dyDescent="0.3">
      <c r="A97" s="247"/>
      <c r="B97" s="251" t="str">
        <f>IF(IFERROR(VLOOKUP(A97,'5 BS Adjusted'!A:C,2,),"")&gt;"",IFERROR(VLOOKUP(A97,'5 BS Adjusted'!A:C,2,),""),IFERROR(VLOOKUP(A97,'5 BS Adjusted'!A:C,3,),""))</f>
        <v/>
      </c>
      <c r="C97" s="247"/>
      <c r="D97" s="247"/>
      <c r="E97" s="247"/>
      <c r="F97" s="247"/>
    </row>
    <row r="98" spans="1:8" s="13" customFormat="1" ht="15" thickBot="1" x14ac:dyDescent="0.35">
      <c r="A98" s="247" t="s">
        <v>188</v>
      </c>
      <c r="B98" s="251" t="str">
        <f>IF(IFERROR(VLOOKUP(A98,'5 BS Adjusted'!A:C,2,),"")&gt;"",IFERROR(VLOOKUP(A98,'5 BS Adjusted'!A:C,2,),""),IFERROR(VLOOKUP(A98,'5 BS Adjusted'!A:C,3,),""))</f>
        <v/>
      </c>
      <c r="C98" s="254">
        <f>+C59+C96</f>
        <v>11161</v>
      </c>
      <c r="D98" s="254">
        <f>+D59+D96</f>
        <v>11042</v>
      </c>
      <c r="E98" s="254">
        <f>+E59+E96</f>
        <v>11790</v>
      </c>
      <c r="F98" s="254">
        <f>+F59+F96</f>
        <v>12929</v>
      </c>
    </row>
    <row r="99" spans="1:8" ht="15" thickTop="1" x14ac:dyDescent="0.3">
      <c r="A99" s="133"/>
      <c r="C99" s="8"/>
      <c r="D99" s="8"/>
      <c r="E99" s="8"/>
      <c r="F99" s="8"/>
    </row>
    <row r="100" spans="1:8" x14ac:dyDescent="0.3">
      <c r="B100" s="1" t="str">
        <f>IF(IFERROR(VLOOKUP(A100,'5 BS Adjusted'!A:C,2,),"")&gt;"",IFERROR(VLOOKUP(A100,'5 BS Adjusted'!A:C,2,),""),IFERROR(VLOOKUP(A100,'5 BS Adjusted'!A:C,3,),""))</f>
        <v/>
      </c>
      <c r="H100" s="44"/>
    </row>
    <row r="101" spans="1:8" s="13" customFormat="1" ht="15" thickBot="1" x14ac:dyDescent="0.35">
      <c r="A101" s="183"/>
      <c r="B101" s="255"/>
      <c r="C101" s="256">
        <f>+C3</f>
        <v>42371</v>
      </c>
      <c r="D101" s="256">
        <f>+D3</f>
        <v>42735</v>
      </c>
      <c r="E101" s="256">
        <f>+E3</f>
        <v>43099</v>
      </c>
      <c r="F101" s="256">
        <f>+F3</f>
        <v>43463</v>
      </c>
    </row>
    <row r="102" spans="1:8" x14ac:dyDescent="0.3">
      <c r="A102" s="183" t="s">
        <v>4</v>
      </c>
      <c r="B102" s="257"/>
      <c r="C102" s="181"/>
      <c r="D102" s="181"/>
      <c r="E102" s="181"/>
      <c r="F102" s="181"/>
    </row>
    <row r="103" spans="1:8" x14ac:dyDescent="0.3">
      <c r="A103" s="181" t="s">
        <v>5</v>
      </c>
      <c r="B103" s="257" t="str">
        <f>IF(IFERROR(VLOOKUP(A103,'5 BS Adjusted'!A:C,2,),"")&gt;"",IFERROR(VLOOKUP(A103,'5 BS Adjusted'!A:C,2,),""),IFERROR(VLOOKUP(A103,'5 BS Adjusted'!A:C,3,),""))</f>
        <v>Split</v>
      </c>
      <c r="C103" s="258">
        <f>+'5 BS Adjusted'!D5-'5 Adj NOA'!C5</f>
        <v>0</v>
      </c>
      <c r="D103" s="258">
        <f>+'5 BS Adjusted'!E5-'5 Adj NOA'!D5</f>
        <v>102</v>
      </c>
      <c r="E103" s="258">
        <f>+'5 BS Adjusted'!F5-'5 Adj NOA'!E5</f>
        <v>108</v>
      </c>
      <c r="F103" s="258">
        <f>+'5 BS Adjusted'!G5-'5 Adj NOA'!F5</f>
        <v>147</v>
      </c>
    </row>
    <row r="104" spans="1:8" x14ac:dyDescent="0.3">
      <c r="A104" s="181" t="s">
        <v>337</v>
      </c>
      <c r="B104" s="257" t="str">
        <f>IF(IFERROR(VLOOKUP(A104,'5 BS Adjusted'!A:C,2,),"")&gt;"",IFERROR(VLOOKUP(A104,'5 BS Adjusted'!A:C,2,),""),IFERROR(VLOOKUP(A104,'5 BS Adjusted'!A:C,3,),""))</f>
        <v>Operating</v>
      </c>
      <c r="C104" s="258" t="str">
        <f>IF($B104="Financial",+'5 BS Adjusted'!D6,"")</f>
        <v/>
      </c>
      <c r="D104" s="258" t="str">
        <f>IF($B104="Financial",+'5 BS Adjusted'!E6,"")</f>
        <v/>
      </c>
      <c r="E104" s="258" t="str">
        <f>IF($B104="Financial",+'5 BS Adjusted'!F6,"")</f>
        <v/>
      </c>
      <c r="F104" s="258" t="str">
        <f>IF($B104="Financial",+'5 BS Adjusted'!G6,"")</f>
        <v/>
      </c>
    </row>
    <row r="105" spans="1:8" x14ac:dyDescent="0.3">
      <c r="A105" s="181" t="s">
        <v>338</v>
      </c>
      <c r="B105" s="257" t="str">
        <f>IF(IFERROR(VLOOKUP(A105,'5 BS Adjusted'!A:C,2,),"")&gt;"",IFERROR(VLOOKUP(A105,'5 BS Adjusted'!A:C,2,),""),IFERROR(VLOOKUP(A105,'5 BS Adjusted'!A:C,3,),""))</f>
        <v>Operating</v>
      </c>
      <c r="C105" s="258" t="str">
        <f>IF($B105="Financial",+'5 BS Adjusted'!D7,"")</f>
        <v/>
      </c>
      <c r="D105" s="258" t="str">
        <f>IF($B105="Financial",+'5 BS Adjusted'!E7,"")</f>
        <v/>
      </c>
      <c r="E105" s="258" t="str">
        <f>IF($B105="Financial",+'5 BS Adjusted'!F7,"")</f>
        <v/>
      </c>
      <c r="F105" s="258" t="str">
        <f>IF($B105="Financial",+'5 BS Adjusted'!G7,"")</f>
        <v/>
      </c>
    </row>
    <row r="106" spans="1:8" x14ac:dyDescent="0.3">
      <c r="A106" s="181" t="s">
        <v>339</v>
      </c>
      <c r="B106" s="257" t="str">
        <f>IF(IFERROR(VLOOKUP(A106,'5 BS Adjusted'!A:C,2,),"")&gt;"",IFERROR(VLOOKUP(A106,'5 BS Adjusted'!A:C,2,),""),IFERROR(VLOOKUP(A106,'5 BS Adjusted'!A:C,3,),""))</f>
        <v>Operating</v>
      </c>
      <c r="C106" s="258" t="str">
        <f>IF($B106="Financial",+'5 BS Adjusted'!D8,"")</f>
        <v/>
      </c>
      <c r="D106" s="258" t="str">
        <f>IF($B106="Financial",+'5 BS Adjusted'!E8,"")</f>
        <v/>
      </c>
      <c r="E106" s="258" t="str">
        <f>IF($B106="Financial",+'5 BS Adjusted'!F8,"")</f>
        <v/>
      </c>
      <c r="F106" s="258" t="str">
        <f>IF($B106="Financial",+'5 BS Adjusted'!G8,"")</f>
        <v/>
      </c>
    </row>
    <row r="107" spans="1:8" x14ac:dyDescent="0.3">
      <c r="A107" s="181" t="s">
        <v>340</v>
      </c>
      <c r="B107" s="257" t="str">
        <f>IF(IFERROR(VLOOKUP(A107,'5 BS Adjusted'!A:C,2,),"")&gt;"",IFERROR(VLOOKUP(A107,'5 BS Adjusted'!A:C,2,),""),IFERROR(VLOOKUP(A107,'5 BS Adjusted'!A:C,3,),""))</f>
        <v>Operating</v>
      </c>
      <c r="C107" s="258" t="str">
        <f>IF($B107="Financial",+'5 BS Adjusted'!D9,"")</f>
        <v/>
      </c>
      <c r="D107" s="258" t="str">
        <f>IF($B107="Financial",+'5 BS Adjusted'!E9,"")</f>
        <v/>
      </c>
      <c r="E107" s="258" t="str">
        <f>IF($B107="Financial",+'5 BS Adjusted'!F9,"")</f>
        <v/>
      </c>
      <c r="F107" s="258" t="str">
        <f>IF($B107="Financial",+'5 BS Adjusted'!G9,"")</f>
        <v/>
      </c>
    </row>
    <row r="108" spans="1:8" x14ac:dyDescent="0.3">
      <c r="A108" s="181" t="s">
        <v>341</v>
      </c>
      <c r="B108" s="257" t="str">
        <f>IF(IFERROR(VLOOKUP(A108,'5 BS Adjusted'!A:C,2,),"")&gt;"",IFERROR(VLOOKUP(A108,'5 BS Adjusted'!A:C,2,),""),IFERROR(VLOOKUP(A108,'5 BS Adjusted'!A:C,3,),""))</f>
        <v>Operating</v>
      </c>
      <c r="C108" s="258" t="str">
        <f>IF($B108="Financial",+'5 BS Adjusted'!D10,"")</f>
        <v/>
      </c>
      <c r="D108" s="258" t="str">
        <f>IF($B108="Financial",+'5 BS Adjusted'!E10,"")</f>
        <v/>
      </c>
      <c r="E108" s="258" t="str">
        <f>IF($B108="Financial",+'5 BS Adjusted'!F10,"")</f>
        <v/>
      </c>
      <c r="F108" s="258" t="str">
        <f>IF($B108="Financial",+'5 BS Adjusted'!G10,"")</f>
        <v/>
      </c>
    </row>
    <row r="109" spans="1:8" x14ac:dyDescent="0.3">
      <c r="A109" s="181" t="s">
        <v>342</v>
      </c>
      <c r="B109" s="257" t="str">
        <f>IF(IFERROR(VLOOKUP(A109,'5 BS Adjusted'!A:C,2,),"")&gt;"",IFERROR(VLOOKUP(A109,'5 BS Adjusted'!A:C,2,),""),IFERROR(VLOOKUP(A109,'5 BS Adjusted'!A:C,3,),""))</f>
        <v>Operating</v>
      </c>
      <c r="C109" s="258" t="str">
        <f>IF($B109="Financial",+'5 BS Adjusted'!D11,"")</f>
        <v/>
      </c>
      <c r="D109" s="258" t="str">
        <f>IF($B109="Financial",+'5 BS Adjusted'!E11,"")</f>
        <v/>
      </c>
      <c r="E109" s="258" t="str">
        <f>IF($B109="Financial",+'5 BS Adjusted'!F11,"")</f>
        <v/>
      </c>
      <c r="F109" s="258" t="str">
        <f>IF($B109="Financial",+'5 BS Adjusted'!G11,"")</f>
        <v/>
      </c>
    </row>
    <row r="110" spans="1:8" x14ac:dyDescent="0.3">
      <c r="A110" s="181" t="s">
        <v>22</v>
      </c>
      <c r="B110" s="257" t="str">
        <f>IF(IFERROR(VLOOKUP(A110,'5 BS Adjusted'!A:C,2,),"")&gt;"",IFERROR(VLOOKUP(A110,'5 BS Adjusted'!A:C,2,),""),IFERROR(VLOOKUP(A110,'5 BS Adjusted'!A:C,3,),""))</f>
        <v>Operating</v>
      </c>
      <c r="C110" s="258" t="str">
        <f>IF($B110="Financial",+'5 BS Adjusted'!D12,"")</f>
        <v/>
      </c>
      <c r="D110" s="258" t="str">
        <f>IF($B110="Financial",+'5 BS Adjusted'!E12,"")</f>
        <v/>
      </c>
      <c r="E110" s="258" t="str">
        <f>IF($B110="Financial",+'5 BS Adjusted'!F12,"")</f>
        <v/>
      </c>
      <c r="F110" s="258" t="str">
        <f>IF($B110="Financial",+'5 BS Adjusted'!G12,"")</f>
        <v/>
      </c>
    </row>
    <row r="111" spans="1:8" x14ac:dyDescent="0.3">
      <c r="A111" s="181" t="s">
        <v>343</v>
      </c>
      <c r="B111" s="257" t="str">
        <f>IF(IFERROR(VLOOKUP(A111,'5 BS Adjusted'!A:C,2,),"")&gt;"",IFERROR(VLOOKUP(A111,'5 BS Adjusted'!A:C,2,),""),IFERROR(VLOOKUP(A111,'5 BS Adjusted'!A:C,3,),""))</f>
        <v>Operating</v>
      </c>
      <c r="C111" s="258" t="str">
        <f>IF($B111="Financial",+'5 BS Adjusted'!D13,"")</f>
        <v/>
      </c>
      <c r="D111" s="258" t="str">
        <f>IF($B111="Financial",+'5 BS Adjusted'!E13,"")</f>
        <v/>
      </c>
      <c r="E111" s="258" t="str">
        <f>IF($B111="Financial",+'5 BS Adjusted'!F13,"")</f>
        <v/>
      </c>
      <c r="F111" s="258" t="str">
        <f>IF($B111="Financial",+'5 BS Adjusted'!G13,"")</f>
        <v/>
      </c>
    </row>
    <row r="112" spans="1:8" x14ac:dyDescent="0.3">
      <c r="A112" s="181" t="s">
        <v>344</v>
      </c>
      <c r="B112" s="257" t="str">
        <f>IF(IFERROR(VLOOKUP(A112,'5 BS Adjusted'!A:C,2,),"")&gt;"",IFERROR(VLOOKUP(A112,'5 BS Adjusted'!A:C,2,),""),IFERROR(VLOOKUP(A112,'5 BS Adjusted'!A:C,3,),""))</f>
        <v>Operating</v>
      </c>
      <c r="C112" s="258" t="str">
        <f>IF($B112="Financial",+'5 BS Adjusted'!D14,"")</f>
        <v/>
      </c>
      <c r="D112" s="258" t="str">
        <f>IF($B112="Financial",+'5 BS Adjusted'!E14,"")</f>
        <v/>
      </c>
      <c r="E112" s="258" t="str">
        <f>IF($B112="Financial",+'5 BS Adjusted'!F14,"")</f>
        <v/>
      </c>
      <c r="F112" s="258" t="str">
        <f>IF($B112="Financial",+'5 BS Adjusted'!G14,"")</f>
        <v/>
      </c>
    </row>
    <row r="113" spans="1:6" x14ac:dyDescent="0.3">
      <c r="A113" s="181" t="s">
        <v>345</v>
      </c>
      <c r="B113" s="257" t="str">
        <f>IF(IFERROR(VLOOKUP(A113,'5 BS Adjusted'!A:C,2,),"")&gt;"",IFERROR(VLOOKUP(A113,'5 BS Adjusted'!A:C,2,),""),IFERROR(VLOOKUP(A113,'5 BS Adjusted'!A:C,3,),""))</f>
        <v>Operating</v>
      </c>
      <c r="C113" s="258" t="str">
        <f>IF($B113="Financial",+'5 BS Adjusted'!D15,"")</f>
        <v/>
      </c>
      <c r="D113" s="258" t="str">
        <f>IF($B113="Financial",+'5 BS Adjusted'!E15,"")</f>
        <v/>
      </c>
      <c r="E113" s="258" t="str">
        <f>IF($B113="Financial",+'5 BS Adjusted'!F15,"")</f>
        <v/>
      </c>
      <c r="F113" s="258" t="str">
        <f>IF($B113="Financial",+'5 BS Adjusted'!G15,"")</f>
        <v/>
      </c>
    </row>
    <row r="114" spans="1:6" x14ac:dyDescent="0.3">
      <c r="A114" s="181" t="s">
        <v>346</v>
      </c>
      <c r="B114" s="257" t="str">
        <f>IF(IFERROR(VLOOKUP(A114,'5 BS Adjusted'!A:C,2,),"")&gt;"",IFERROR(VLOOKUP(A114,'5 BS Adjusted'!A:C,2,),""),IFERROR(VLOOKUP(A114,'5 BS Adjusted'!A:C,3,),""))</f>
        <v>Operating</v>
      </c>
      <c r="C114" s="258" t="str">
        <f>IF($B114="Financial",+'5 BS Adjusted'!D16,"")</f>
        <v/>
      </c>
      <c r="D114" s="258" t="str">
        <f>IF($B114="Financial",+'5 BS Adjusted'!E16,"")</f>
        <v/>
      </c>
      <c r="E114" s="258" t="str">
        <f>IF($B114="Financial",+'5 BS Adjusted'!F16,"")</f>
        <v/>
      </c>
      <c r="F114" s="258" t="str">
        <f>IF($B114="Financial",+'5 BS Adjusted'!G16,"")</f>
        <v/>
      </c>
    </row>
    <row r="115" spans="1:6" x14ac:dyDescent="0.3">
      <c r="A115" s="181" t="s">
        <v>347</v>
      </c>
      <c r="B115" s="257" t="str">
        <f>IF(IFERROR(VLOOKUP(A115,'5 BS Adjusted'!A:C,2,),"")&gt;"",IFERROR(VLOOKUP(A115,'5 BS Adjusted'!A:C,2,),""),IFERROR(VLOOKUP(A115,'5 BS Adjusted'!A:C,3,),""))</f>
        <v>Operating</v>
      </c>
      <c r="C115" s="258" t="str">
        <f>IF($B115="Financial",+'5 BS Adjusted'!D17,"")</f>
        <v/>
      </c>
      <c r="D115" s="258" t="str">
        <f>IF($B115="Financial",+'5 BS Adjusted'!E17,"")</f>
        <v/>
      </c>
      <c r="E115" s="258" t="str">
        <f>IF($B115="Financial",+'5 BS Adjusted'!F17,"")</f>
        <v/>
      </c>
      <c r="F115" s="258" t="str">
        <f>IF($B115="Financial",+'5 BS Adjusted'!G17,"")</f>
        <v/>
      </c>
    </row>
    <row r="116" spans="1:6" x14ac:dyDescent="0.3">
      <c r="A116" s="181" t="s">
        <v>348</v>
      </c>
      <c r="B116" s="257" t="str">
        <f>IF(IFERROR(VLOOKUP(A116,'5 BS Adjusted'!A:C,2,),"")&gt;"",IFERROR(VLOOKUP(A116,'5 BS Adjusted'!A:C,2,),""),IFERROR(VLOOKUP(A116,'5 BS Adjusted'!A:C,3,),""))</f>
        <v>Operating</v>
      </c>
      <c r="C116" s="258" t="str">
        <f>IF($B116="Financial",+'5 BS Adjusted'!D18,"")</f>
        <v/>
      </c>
      <c r="D116" s="258" t="str">
        <f>IF($B116="Financial",+'5 BS Adjusted'!E18,"")</f>
        <v/>
      </c>
      <c r="E116" s="258" t="str">
        <f>IF($B116="Financial",+'5 BS Adjusted'!F18,"")</f>
        <v/>
      </c>
      <c r="F116" s="258" t="str">
        <f>IF($B116="Financial",+'5 BS Adjusted'!G18,"")</f>
        <v/>
      </c>
    </row>
    <row r="117" spans="1:6" x14ac:dyDescent="0.3">
      <c r="A117" s="181" t="s">
        <v>77</v>
      </c>
      <c r="B117" s="257" t="str">
        <f>IF(IFERROR(VLOOKUP(A117,'5 BS Adjusted'!A:C,2,),"")&gt;"",IFERROR(VLOOKUP(A117,'5 BS Adjusted'!A:C,2,),""),IFERROR(VLOOKUP(A117,'5 BS Adjusted'!A:C,3,),""))</f>
        <v>Operating</v>
      </c>
      <c r="C117" s="258" t="str">
        <f>IF($B117="Financial",+'5 BS Adjusted'!D19,"")</f>
        <v/>
      </c>
      <c r="D117" s="258" t="str">
        <f>IF($B117="Financial",+'5 BS Adjusted'!E19,"")</f>
        <v/>
      </c>
      <c r="E117" s="258" t="str">
        <f>IF($B117="Financial",+'5 BS Adjusted'!F19,"")</f>
        <v/>
      </c>
      <c r="F117" s="258" t="str">
        <f>IF($B117="Financial",+'5 BS Adjusted'!G19,"")</f>
        <v/>
      </c>
    </row>
    <row r="118" spans="1:6" x14ac:dyDescent="0.3">
      <c r="A118" s="181" t="s">
        <v>349</v>
      </c>
      <c r="B118" s="257" t="str">
        <f>IF(IFERROR(VLOOKUP(A118,'5 BS Adjusted'!A:C,2,),"")&gt;"",IFERROR(VLOOKUP(A118,'5 BS Adjusted'!A:C,2,),""),IFERROR(VLOOKUP(A118,'5 BS Adjusted'!A:C,3,),""))</f>
        <v>Operating</v>
      </c>
      <c r="C118" s="258" t="str">
        <f>IF($B118="Financial",+'5 BS Adjusted'!D20,"")</f>
        <v/>
      </c>
      <c r="D118" s="258" t="str">
        <f>IF($B118="Financial",+'5 BS Adjusted'!E20,"")</f>
        <v/>
      </c>
      <c r="E118" s="258" t="str">
        <f>IF($B118="Financial",+'5 BS Adjusted'!F20,"")</f>
        <v/>
      </c>
      <c r="F118" s="258" t="str">
        <f>IF($B118="Financial",+'5 BS Adjusted'!G20,"")</f>
        <v/>
      </c>
    </row>
    <row r="119" spans="1:6" x14ac:dyDescent="0.3">
      <c r="A119" s="181" t="s">
        <v>350</v>
      </c>
      <c r="B119" s="257" t="str">
        <f>IF(IFERROR(VLOOKUP(A119,'5 BS Adjusted'!A:C,2,),"")&gt;"",IFERROR(VLOOKUP(A119,'5 BS Adjusted'!A:C,2,),""),IFERROR(VLOOKUP(A119,'5 BS Adjusted'!A:C,3,),""))</f>
        <v>Operating</v>
      </c>
      <c r="C119" s="258" t="str">
        <f>IF($B119="Financial",+'5 BS Adjusted'!D21,"")</f>
        <v/>
      </c>
      <c r="D119" s="258" t="str">
        <f>IF($B119="Financial",+'5 BS Adjusted'!E21,"")</f>
        <v/>
      </c>
      <c r="E119" s="258" t="str">
        <f>IF($B119="Financial",+'5 BS Adjusted'!F21,"")</f>
        <v/>
      </c>
      <c r="F119" s="258" t="str">
        <f>IF($B119="Financial",+'5 BS Adjusted'!G21,"")</f>
        <v/>
      </c>
    </row>
    <row r="120" spans="1:6" x14ac:dyDescent="0.3">
      <c r="A120" s="181" t="s">
        <v>351</v>
      </c>
      <c r="B120" s="257" t="str">
        <f>IF(IFERROR(VLOOKUP(A120,'5 BS Adjusted'!A:C,2,),"")&gt;"",IFERROR(VLOOKUP(A120,'5 BS Adjusted'!A:C,2,),""),IFERROR(VLOOKUP(A120,'5 BS Adjusted'!A:C,3,),""))</f>
        <v>Operating</v>
      </c>
      <c r="C120" s="258" t="str">
        <f>IF($B120="Financial",+'5 BS Adjusted'!D22,"")</f>
        <v/>
      </c>
      <c r="D120" s="258" t="str">
        <f>IF($B120="Financial",+'5 BS Adjusted'!E22,"")</f>
        <v/>
      </c>
      <c r="E120" s="258" t="str">
        <f>IF($B120="Financial",+'5 BS Adjusted'!F22,"")</f>
        <v/>
      </c>
      <c r="F120" s="258" t="str">
        <f>IF($B120="Financial",+'5 BS Adjusted'!G22,"")</f>
        <v/>
      </c>
    </row>
    <row r="121" spans="1:6" x14ac:dyDescent="0.3">
      <c r="A121" s="181" t="s">
        <v>352</v>
      </c>
      <c r="B121" s="257" t="str">
        <f>IF(IFERROR(VLOOKUP(A121,'5 BS Adjusted'!A:C,2,),"")&gt;"",IFERROR(VLOOKUP(A121,'5 BS Adjusted'!A:C,2,),""),IFERROR(VLOOKUP(A121,'5 BS Adjusted'!A:C,3,),""))</f>
        <v>Operating</v>
      </c>
      <c r="C121" s="258" t="str">
        <f>IF($B121="Financial",+'5 BS Adjusted'!D23,"")</f>
        <v/>
      </c>
      <c r="D121" s="258" t="str">
        <f>IF($B121="Financial",+'5 BS Adjusted'!E23,"")</f>
        <v/>
      </c>
      <c r="E121" s="258" t="str">
        <f>IF($B121="Financial",+'5 BS Adjusted'!F23,"")</f>
        <v/>
      </c>
      <c r="F121" s="258" t="str">
        <f>IF($B121="Financial",+'5 BS Adjusted'!G23,"")</f>
        <v/>
      </c>
    </row>
    <row r="122" spans="1:6" x14ac:dyDescent="0.3">
      <c r="A122" s="181" t="s">
        <v>353</v>
      </c>
      <c r="B122" s="257" t="str">
        <f>IF(IFERROR(VLOOKUP(A122,'5 BS Adjusted'!A:C,2,),"")&gt;"",IFERROR(VLOOKUP(A122,'5 BS Adjusted'!A:C,2,),""),IFERROR(VLOOKUP(A122,'5 BS Adjusted'!A:C,3,),""))</f>
        <v>Operating</v>
      </c>
      <c r="C122" s="258" t="str">
        <f>IF($B122="Financial",+'5 BS Adjusted'!D24,"")</f>
        <v/>
      </c>
      <c r="D122" s="258" t="str">
        <f>IF($B122="Financial",+'5 BS Adjusted'!E24,"")</f>
        <v/>
      </c>
      <c r="E122" s="258" t="str">
        <f>IF($B122="Financial",+'5 BS Adjusted'!F24,"")</f>
        <v/>
      </c>
      <c r="F122" s="258" t="str">
        <f>IF($B122="Financial",+'5 BS Adjusted'!G24,"")</f>
        <v/>
      </c>
    </row>
    <row r="123" spans="1:6" x14ac:dyDescent="0.3">
      <c r="A123" s="181" t="s">
        <v>354</v>
      </c>
      <c r="B123" s="257" t="str">
        <f>IF(IFERROR(VLOOKUP(A123,'5 BS Adjusted'!A:C,2,),"")&gt;"",IFERROR(VLOOKUP(A123,'5 BS Adjusted'!A:C,2,),""),IFERROR(VLOOKUP(A123,'5 BS Adjusted'!A:C,3,),""))</f>
        <v>Operating</v>
      </c>
      <c r="C123" s="258" t="str">
        <f>IF($B123="Financial",+'5 BS Adjusted'!D25,"")</f>
        <v/>
      </c>
      <c r="D123" s="258" t="str">
        <f>IF($B123="Financial",+'5 BS Adjusted'!E25,"")</f>
        <v/>
      </c>
      <c r="E123" s="258" t="str">
        <f>IF($B123="Financial",+'5 BS Adjusted'!F25,"")</f>
        <v/>
      </c>
      <c r="F123" s="258" t="str">
        <f>IF($B123="Financial",+'5 BS Adjusted'!G25,"")</f>
        <v/>
      </c>
    </row>
    <row r="124" spans="1:6" x14ac:dyDescent="0.3">
      <c r="A124" s="181" t="s">
        <v>355</v>
      </c>
      <c r="B124" s="257" t="str">
        <f>IF(IFERROR(VLOOKUP(A124,'5 BS Adjusted'!A:C,2,),"")&gt;"",IFERROR(VLOOKUP(A124,'5 BS Adjusted'!A:C,2,),""),IFERROR(VLOOKUP(A124,'5 BS Adjusted'!A:C,3,),""))</f>
        <v>Operating</v>
      </c>
      <c r="C124" s="258" t="str">
        <f>IF($B124="Financial",+'5 BS Adjusted'!D26,"")</f>
        <v/>
      </c>
      <c r="D124" s="258" t="str">
        <f>IF($B124="Financial",+'5 BS Adjusted'!E26,"")</f>
        <v/>
      </c>
      <c r="E124" s="258" t="str">
        <f>IF($B124="Financial",+'5 BS Adjusted'!F26,"")</f>
        <v/>
      </c>
      <c r="F124" s="258" t="str">
        <f>IF($B124="Financial",+'5 BS Adjusted'!G26,"")</f>
        <v/>
      </c>
    </row>
    <row r="125" spans="1:6" x14ac:dyDescent="0.3">
      <c r="A125" s="181" t="s">
        <v>356</v>
      </c>
      <c r="B125" s="257" t="str">
        <f>IF(IFERROR(VLOOKUP(A125,'5 BS Adjusted'!A:C,2,),"")&gt;"",IFERROR(VLOOKUP(A125,'5 BS Adjusted'!A:C,2,),""),IFERROR(VLOOKUP(A125,'5 BS Adjusted'!A:C,3,),""))</f>
        <v>Operating</v>
      </c>
      <c r="C125" s="258" t="str">
        <f>IF($B125="Financial",+'5 BS Adjusted'!D27,"")</f>
        <v/>
      </c>
      <c r="D125" s="258" t="str">
        <f>IF($B125="Financial",+'5 BS Adjusted'!E27,"")</f>
        <v/>
      </c>
      <c r="E125" s="258" t="str">
        <f>IF($B125="Financial",+'5 BS Adjusted'!F27,"")</f>
        <v/>
      </c>
      <c r="F125" s="258" t="str">
        <f>IF($B125="Financial",+'5 BS Adjusted'!G27,"")</f>
        <v/>
      </c>
    </row>
    <row r="126" spans="1:6" x14ac:dyDescent="0.3">
      <c r="A126" s="181" t="s">
        <v>357</v>
      </c>
      <c r="B126" s="257" t="str">
        <f>IF(IFERROR(VLOOKUP(A126,'5 BS Adjusted'!A:C,2,),"")&gt;"",IFERROR(VLOOKUP(A126,'5 BS Adjusted'!A:C,2,),""),IFERROR(VLOOKUP(A126,'5 BS Adjusted'!A:C,3,),""))</f>
        <v>Operating</v>
      </c>
      <c r="C126" s="258" t="str">
        <f>IF($B126="Financial",+'5 BS Adjusted'!D28,"")</f>
        <v/>
      </c>
      <c r="D126" s="258" t="str">
        <f>IF($B126="Financial",+'5 BS Adjusted'!E28,"")</f>
        <v/>
      </c>
      <c r="E126" s="258" t="str">
        <f>IF($B126="Financial",+'5 BS Adjusted'!F28,"")</f>
        <v/>
      </c>
      <c r="F126" s="258" t="str">
        <f>IF($B126="Financial",+'5 BS Adjusted'!G28,"")</f>
        <v/>
      </c>
    </row>
    <row r="127" spans="1:6" x14ac:dyDescent="0.3">
      <c r="A127" s="181" t="s">
        <v>358</v>
      </c>
      <c r="B127" s="257" t="str">
        <f>IF(IFERROR(VLOOKUP(A127,'5 BS Adjusted'!A:C,2,),"")&gt;"",IFERROR(VLOOKUP(A127,'5 BS Adjusted'!A:C,2,),""),IFERROR(VLOOKUP(A127,'5 BS Adjusted'!A:C,3,),""))</f>
        <v>Operating</v>
      </c>
      <c r="C127" s="258" t="str">
        <f>IF($B127="Financial",+'5 BS Adjusted'!D29,"")</f>
        <v/>
      </c>
      <c r="D127" s="258" t="str">
        <f>IF($B127="Financial",+'5 BS Adjusted'!E29,"")</f>
        <v/>
      </c>
      <c r="E127" s="258" t="str">
        <f>IF($B127="Financial",+'5 BS Adjusted'!F29,"")</f>
        <v/>
      </c>
      <c r="F127" s="258" t="str">
        <f>IF($B127="Financial",+'5 BS Adjusted'!G29,"")</f>
        <v/>
      </c>
    </row>
    <row r="128" spans="1:6" x14ac:dyDescent="0.3">
      <c r="A128" s="181" t="s">
        <v>359</v>
      </c>
      <c r="B128" s="257" t="str">
        <f>IF(IFERROR(VLOOKUP(A128,'5 BS Adjusted'!A:C,2,),"")&gt;"",IFERROR(VLOOKUP(A128,'5 BS Adjusted'!A:C,2,),""),IFERROR(VLOOKUP(A128,'5 BS Adjusted'!A:C,3,),""))</f>
        <v>Operating</v>
      </c>
      <c r="C128" s="258" t="str">
        <f>IF($B128="Financial",+'5 BS Adjusted'!D30,"")</f>
        <v/>
      </c>
      <c r="D128" s="258" t="str">
        <f>IF($B128="Financial",+'5 BS Adjusted'!E30,"")</f>
        <v/>
      </c>
      <c r="E128" s="258" t="str">
        <f>IF($B128="Financial",+'5 BS Adjusted'!F30,"")</f>
        <v/>
      </c>
      <c r="F128" s="258" t="str">
        <f>IF($B128="Financial",+'5 BS Adjusted'!G30,"")</f>
        <v/>
      </c>
    </row>
    <row r="129" spans="1:6" x14ac:dyDescent="0.3">
      <c r="A129" s="181" t="s">
        <v>360</v>
      </c>
      <c r="B129" s="257" t="str">
        <f>IF(IFERROR(VLOOKUP(A129,'5 BS Adjusted'!A:C,2,),"")&gt;"",IFERROR(VLOOKUP(A129,'5 BS Adjusted'!A:C,2,),""),IFERROR(VLOOKUP(A129,'5 BS Adjusted'!A:C,3,),""))</f>
        <v>Operating</v>
      </c>
      <c r="C129" s="258" t="str">
        <f>IF($B129="Financial",+'5 BS Adjusted'!D31,"")</f>
        <v/>
      </c>
      <c r="D129" s="258" t="str">
        <f>IF($B129="Financial",+'5 BS Adjusted'!E31,"")</f>
        <v/>
      </c>
      <c r="E129" s="258" t="str">
        <f>IF($B129="Financial",+'5 BS Adjusted'!F31,"")</f>
        <v/>
      </c>
      <c r="F129" s="258" t="str">
        <f>IF($B129="Financial",+'5 BS Adjusted'!G31,"")</f>
        <v/>
      </c>
    </row>
    <row r="130" spans="1:6" x14ac:dyDescent="0.3">
      <c r="A130" s="181" t="s">
        <v>361</v>
      </c>
      <c r="B130" s="257" t="str">
        <f>IF(IFERROR(VLOOKUP(A130,'5 BS Adjusted'!A:C,2,),"")&gt;"",IFERROR(VLOOKUP(A130,'5 BS Adjusted'!A:C,2,),""),IFERROR(VLOOKUP(A130,'5 BS Adjusted'!A:C,3,),""))</f>
        <v>Operating</v>
      </c>
      <c r="C130" s="258" t="str">
        <f>IF($B130="Financial",+'5 BS Adjusted'!D32,"")</f>
        <v/>
      </c>
      <c r="D130" s="258" t="str">
        <f>IF($B130="Financial",+'5 BS Adjusted'!E32,"")</f>
        <v/>
      </c>
      <c r="E130" s="258" t="str">
        <f>IF($B130="Financial",+'5 BS Adjusted'!F32,"")</f>
        <v/>
      </c>
      <c r="F130" s="258" t="str">
        <f>IF($B130="Financial",+'5 BS Adjusted'!G32,"")</f>
        <v/>
      </c>
    </row>
    <row r="131" spans="1:6" x14ac:dyDescent="0.3">
      <c r="A131" s="181" t="s">
        <v>362</v>
      </c>
      <c r="B131" s="257" t="str">
        <f>IF(IFERROR(VLOOKUP(A131,'5 BS Adjusted'!A:C,2,),"")&gt;"",IFERROR(VLOOKUP(A131,'5 BS Adjusted'!A:C,2,),""),IFERROR(VLOOKUP(A131,'5 BS Adjusted'!A:C,3,),""))</f>
        <v>Operating</v>
      </c>
      <c r="C131" s="258" t="str">
        <f>IF($B131="Financial",+'5 BS Adjusted'!D33,"")</f>
        <v/>
      </c>
      <c r="D131" s="258" t="str">
        <f>IF($B131="Financial",+'5 BS Adjusted'!E33,"")</f>
        <v/>
      </c>
      <c r="E131" s="258" t="str">
        <f>IF($B131="Financial",+'5 BS Adjusted'!F33,"")</f>
        <v/>
      </c>
      <c r="F131" s="258" t="str">
        <f>IF($B131="Financial",+'5 BS Adjusted'!G33,"")</f>
        <v/>
      </c>
    </row>
    <row r="132" spans="1:6" x14ac:dyDescent="0.3">
      <c r="A132" s="181" t="s">
        <v>363</v>
      </c>
      <c r="B132" s="257" t="str">
        <f>IF(IFERROR(VLOOKUP(A132,'5 BS Adjusted'!A:C,2,),"")&gt;"",IFERROR(VLOOKUP(A132,'5 BS Adjusted'!A:C,2,),""),IFERROR(VLOOKUP(A132,'5 BS Adjusted'!A:C,3,),""))</f>
        <v>Operating</v>
      </c>
      <c r="C132" s="258" t="str">
        <f>IF($B132="Financial",+'5 BS Adjusted'!D34,"")</f>
        <v/>
      </c>
      <c r="D132" s="258" t="str">
        <f>IF($B132="Financial",+'5 BS Adjusted'!E34,"")</f>
        <v/>
      </c>
      <c r="E132" s="258" t="str">
        <f>IF($B132="Financial",+'5 BS Adjusted'!F34,"")</f>
        <v/>
      </c>
      <c r="F132" s="258" t="str">
        <f>IF($B132="Financial",+'5 BS Adjusted'!G34,"")</f>
        <v/>
      </c>
    </row>
    <row r="133" spans="1:6" x14ac:dyDescent="0.3">
      <c r="A133" s="181" t="s">
        <v>364</v>
      </c>
      <c r="B133" s="257" t="str">
        <f>IF(IFERROR(VLOOKUP(A133,'5 BS Adjusted'!A:C,2,),"")&gt;"",IFERROR(VLOOKUP(A133,'5 BS Adjusted'!A:C,2,),""),IFERROR(VLOOKUP(A133,'5 BS Adjusted'!A:C,3,),""))</f>
        <v>Operating</v>
      </c>
      <c r="C133" s="258" t="str">
        <f>IF($B133="Financial",+'5 BS Adjusted'!D35,"")</f>
        <v/>
      </c>
      <c r="D133" s="258" t="str">
        <f>IF($B133="Financial",+'5 BS Adjusted'!E35,"")</f>
        <v/>
      </c>
      <c r="E133" s="258" t="str">
        <f>IF($B133="Financial",+'5 BS Adjusted'!F35,"")</f>
        <v/>
      </c>
      <c r="F133" s="258" t="str">
        <f>IF($B133="Financial",+'5 BS Adjusted'!G35,"")</f>
        <v/>
      </c>
    </row>
    <row r="134" spans="1:6" x14ac:dyDescent="0.3">
      <c r="A134" s="181" t="s">
        <v>365</v>
      </c>
      <c r="B134" s="257" t="str">
        <f>IF(IFERROR(VLOOKUP(A134,'5 BS Adjusted'!A:C,2,),"")&gt;"",IFERROR(VLOOKUP(A134,'5 BS Adjusted'!A:C,2,),""),IFERROR(VLOOKUP(A134,'5 BS Adjusted'!A:C,3,),""))</f>
        <v>Operating</v>
      </c>
      <c r="C134" s="258" t="str">
        <f>IF($B134="Financial",+'5 BS Adjusted'!D36,"")</f>
        <v/>
      </c>
      <c r="D134" s="258" t="str">
        <f>IF($B134="Financial",+'5 BS Adjusted'!E36,"")</f>
        <v/>
      </c>
      <c r="E134" s="258" t="str">
        <f>IF($B134="Financial",+'5 BS Adjusted'!F36,"")</f>
        <v/>
      </c>
      <c r="F134" s="258" t="str">
        <f>IF($B134="Financial",+'5 BS Adjusted'!G36,"")</f>
        <v/>
      </c>
    </row>
    <row r="135" spans="1:6" x14ac:dyDescent="0.3">
      <c r="A135" s="181" t="s">
        <v>366</v>
      </c>
      <c r="B135" s="257" t="str">
        <f>IF(IFERROR(VLOOKUP(A135,'5 BS Adjusted'!A:C,2,),"")&gt;"",IFERROR(VLOOKUP(A135,'5 BS Adjusted'!A:C,2,),""),IFERROR(VLOOKUP(A135,'5 BS Adjusted'!A:C,3,),""))</f>
        <v>Operating</v>
      </c>
      <c r="C135" s="258" t="str">
        <f>IF($B135="Financial",+'5 BS Adjusted'!D37,"")</f>
        <v/>
      </c>
      <c r="D135" s="258" t="str">
        <f>IF($B135="Financial",+'5 BS Adjusted'!E37,"")</f>
        <v/>
      </c>
      <c r="E135" s="258" t="str">
        <f>IF($B135="Financial",+'5 BS Adjusted'!F37,"")</f>
        <v/>
      </c>
      <c r="F135" s="258" t="str">
        <f>IF($B135="Financial",+'5 BS Adjusted'!G37,"")</f>
        <v/>
      </c>
    </row>
    <row r="136" spans="1:6" x14ac:dyDescent="0.3">
      <c r="A136" s="181" t="s">
        <v>367</v>
      </c>
      <c r="B136" s="257" t="str">
        <f>IF(IFERROR(VLOOKUP(A136,'5 BS Adjusted'!A:C,2,),"")&gt;"",IFERROR(VLOOKUP(A136,'5 BS Adjusted'!A:C,2,),""),IFERROR(VLOOKUP(A136,'5 BS Adjusted'!A:C,3,),""))</f>
        <v>Operating</v>
      </c>
      <c r="C136" s="258" t="str">
        <f>IF($B136="Financial",+'5 BS Adjusted'!D38,"")</f>
        <v/>
      </c>
      <c r="D136" s="258" t="str">
        <f>IF($B136="Financial",+'5 BS Adjusted'!E38,"")</f>
        <v/>
      </c>
      <c r="E136" s="258" t="str">
        <f>IF($B136="Financial",+'5 BS Adjusted'!F38,"")</f>
        <v/>
      </c>
      <c r="F136" s="258" t="str">
        <f>IF($B136="Financial",+'5 BS Adjusted'!G38,"")</f>
        <v/>
      </c>
    </row>
    <row r="137" spans="1:6" x14ac:dyDescent="0.3">
      <c r="A137" s="181" t="s">
        <v>368</v>
      </c>
      <c r="B137" s="257" t="str">
        <f>IF(IFERROR(VLOOKUP(A137,'5 BS Adjusted'!A:C,2,),"")&gt;"",IFERROR(VLOOKUP(A137,'5 BS Adjusted'!A:C,2,),""),IFERROR(VLOOKUP(A137,'5 BS Adjusted'!A:C,3,),""))</f>
        <v>Operating</v>
      </c>
      <c r="C137" s="258" t="str">
        <f>IF($B137="Financial",+'5 BS Adjusted'!D39,"")</f>
        <v/>
      </c>
      <c r="D137" s="258" t="str">
        <f>IF($B137="Financial",+'5 BS Adjusted'!E39,"")</f>
        <v/>
      </c>
      <c r="E137" s="258" t="str">
        <f>IF($B137="Financial",+'5 BS Adjusted'!F39,"")</f>
        <v/>
      </c>
      <c r="F137" s="258" t="str">
        <f>IF($B137="Financial",+'5 BS Adjusted'!G39,"")</f>
        <v/>
      </c>
    </row>
    <row r="138" spans="1:6" x14ac:dyDescent="0.3">
      <c r="A138" s="181" t="s">
        <v>369</v>
      </c>
      <c r="B138" s="257" t="str">
        <f>IF(IFERROR(VLOOKUP(A138,'5 BS Adjusted'!A:C,2,),"")&gt;"",IFERROR(VLOOKUP(A138,'5 BS Adjusted'!A:C,2,),""),IFERROR(VLOOKUP(A138,'5 BS Adjusted'!A:C,3,),""))</f>
        <v>Operating</v>
      </c>
      <c r="C138" s="258" t="str">
        <f>IF($B138="Financial",+'5 BS Adjusted'!D40,"")</f>
        <v/>
      </c>
      <c r="D138" s="258" t="str">
        <f>IF($B138="Financial",+'5 BS Adjusted'!E40,"")</f>
        <v/>
      </c>
      <c r="E138" s="258" t="str">
        <f>IF($B138="Financial",+'5 BS Adjusted'!F40,"")</f>
        <v/>
      </c>
      <c r="F138" s="258" t="str">
        <f>IF($B138="Financial",+'5 BS Adjusted'!G40,"")</f>
        <v/>
      </c>
    </row>
    <row r="139" spans="1:6" x14ac:dyDescent="0.3">
      <c r="A139" s="181" t="s">
        <v>370</v>
      </c>
      <c r="B139" s="257" t="str">
        <f>IF(IFERROR(VLOOKUP(A139,'5 BS Adjusted'!A:C,2,),"")&gt;"",IFERROR(VLOOKUP(A139,'5 BS Adjusted'!A:C,2,),""),IFERROR(VLOOKUP(A139,'5 BS Adjusted'!A:C,3,),""))</f>
        <v>Operating</v>
      </c>
      <c r="C139" s="258" t="str">
        <f>IF($B139="Financial",+'5 BS Adjusted'!D41,"")</f>
        <v/>
      </c>
      <c r="D139" s="258" t="str">
        <f>IF($B139="Financial",+'5 BS Adjusted'!E41,"")</f>
        <v/>
      </c>
      <c r="E139" s="258" t="str">
        <f>IF($B139="Financial",+'5 BS Adjusted'!F41,"")</f>
        <v/>
      </c>
      <c r="F139" s="258" t="str">
        <f>IF($B139="Financial",+'5 BS Adjusted'!G41,"")</f>
        <v/>
      </c>
    </row>
    <row r="140" spans="1:6" x14ac:dyDescent="0.3">
      <c r="A140" s="181" t="s">
        <v>371</v>
      </c>
      <c r="B140" s="257" t="str">
        <f>IF(IFERROR(VLOOKUP(A140,'5 BS Adjusted'!A:C,2,),"")&gt;"",IFERROR(VLOOKUP(A140,'5 BS Adjusted'!A:C,2,),""),IFERROR(VLOOKUP(A140,'5 BS Adjusted'!A:C,3,),""))</f>
        <v>Operating</v>
      </c>
      <c r="C140" s="258" t="str">
        <f>IF($B140="Financial",+'5 BS Adjusted'!D42,"")</f>
        <v/>
      </c>
      <c r="D140" s="258" t="str">
        <f>IF($B140="Financial",+'5 BS Adjusted'!E42,"")</f>
        <v/>
      </c>
      <c r="E140" s="258" t="str">
        <f>IF($B140="Financial",+'5 BS Adjusted'!F42,"")</f>
        <v/>
      </c>
      <c r="F140" s="258" t="str">
        <f>IF($B140="Financial",+'5 BS Adjusted'!G42,"")</f>
        <v/>
      </c>
    </row>
    <row r="141" spans="1:6" x14ac:dyDescent="0.3">
      <c r="A141" s="181" t="s">
        <v>454</v>
      </c>
      <c r="B141" s="257" t="str">
        <f>IF(IFERROR(VLOOKUP(A141,'5 BS Adjusted'!A:C,2,),"")&gt;"",IFERROR(VLOOKUP(A141,'5 BS Adjusted'!A:C,2,),""),IFERROR(VLOOKUP(A141,'5 BS Adjusted'!A:C,3,),""))</f>
        <v>Operating</v>
      </c>
      <c r="C141" s="258" t="str">
        <f>IF($B141="Financial",+'5 BS Adjusted'!D43,"")</f>
        <v/>
      </c>
      <c r="D141" s="258" t="str">
        <f>IF($B141="Financial",+'5 BS Adjusted'!E43,"")</f>
        <v/>
      </c>
      <c r="E141" s="258" t="str">
        <f>IF($B141="Financial",+'5 BS Adjusted'!F43,"")</f>
        <v/>
      </c>
      <c r="F141" s="258" t="str">
        <f>IF($B141="Financial",+'5 BS Adjusted'!G43,"")</f>
        <v/>
      </c>
    </row>
    <row r="142" spans="1:6" x14ac:dyDescent="0.3">
      <c r="A142" s="181" t="s">
        <v>232</v>
      </c>
      <c r="B142" s="257" t="str">
        <f>IF(IFERROR(VLOOKUP(A142,'5 BS Adjusted'!A:C,2,),"")&gt;"",IFERROR(VLOOKUP(A142,'5 BS Adjusted'!A:C,2,),""),IFERROR(VLOOKUP(A142,'5 BS Adjusted'!A:C,3,),""))</f>
        <v>Operating</v>
      </c>
      <c r="C142" s="258" t="str">
        <f>IF($B142="Financial",+'5 BS Adjusted'!D44,"")</f>
        <v/>
      </c>
      <c r="D142" s="258" t="str">
        <f>IF($B142="Financial",+'5 BS Adjusted'!E44,"")</f>
        <v/>
      </c>
      <c r="E142" s="258" t="str">
        <f>IF($B142="Financial",+'5 BS Adjusted'!F44,"")</f>
        <v/>
      </c>
      <c r="F142" s="258" t="str">
        <f>IF($B142="Financial",+'5 BS Adjusted'!G44,"")</f>
        <v/>
      </c>
    </row>
    <row r="143" spans="1:6" x14ac:dyDescent="0.3">
      <c r="A143" s="181" t="s">
        <v>372</v>
      </c>
      <c r="B143" s="257" t="str">
        <f>IF(IFERROR(VLOOKUP(A143,'5 BS Adjusted'!A:C,2,),"")&gt;"",IFERROR(VLOOKUP(A143,'5 BS Adjusted'!A:C,2,),""),IFERROR(VLOOKUP(A143,'5 BS Adjusted'!A:C,3,),""))</f>
        <v>Operating</v>
      </c>
      <c r="C143" s="258" t="str">
        <f>IF($B143="Financial",+'5 BS Adjusted'!D45,"")</f>
        <v/>
      </c>
      <c r="D143" s="258" t="str">
        <f>IF($B143="Financial",+'5 BS Adjusted'!E45,"")</f>
        <v/>
      </c>
      <c r="E143" s="258" t="str">
        <f>IF($B143="Financial",+'5 BS Adjusted'!F45,"")</f>
        <v/>
      </c>
      <c r="F143" s="258" t="str">
        <f>IF($B143="Financial",+'5 BS Adjusted'!G45,"")</f>
        <v/>
      </c>
    </row>
    <row r="144" spans="1:6" x14ac:dyDescent="0.3">
      <c r="A144" s="181" t="s">
        <v>373</v>
      </c>
      <c r="B144" s="257" t="str">
        <f>IF(IFERROR(VLOOKUP(A144,'5 BS Adjusted'!A:C,2,),"")&gt;"",IFERROR(VLOOKUP(A144,'5 BS Adjusted'!A:C,2,),""),IFERROR(VLOOKUP(A144,'5 BS Adjusted'!A:C,3,),""))</f>
        <v>Operating</v>
      </c>
      <c r="C144" s="258" t="str">
        <f>IF($B144="Financial",+'5 BS Adjusted'!D46,"")</f>
        <v/>
      </c>
      <c r="D144" s="258" t="str">
        <f>IF($B144="Financial",+'5 BS Adjusted'!E46,"")</f>
        <v/>
      </c>
      <c r="E144" s="258" t="str">
        <f>IF($B144="Financial",+'5 BS Adjusted'!F46,"")</f>
        <v/>
      </c>
      <c r="F144" s="258" t="str">
        <f>IF($B144="Financial",+'5 BS Adjusted'!G46,"")</f>
        <v/>
      </c>
    </row>
    <row r="145" spans="1:6" x14ac:dyDescent="0.3">
      <c r="A145" s="181" t="s">
        <v>374</v>
      </c>
      <c r="B145" s="257" t="str">
        <f>IF(IFERROR(VLOOKUP(A145,'5 BS Adjusted'!A:C,2,),"")&gt;"",IFERROR(VLOOKUP(A145,'5 BS Adjusted'!A:C,2,),""),IFERROR(VLOOKUP(A145,'5 BS Adjusted'!A:C,3,),""))</f>
        <v>Operating</v>
      </c>
      <c r="C145" s="258" t="str">
        <f>IF($B145="Financial",+'5 BS Adjusted'!D47,"")</f>
        <v/>
      </c>
      <c r="D145" s="258" t="str">
        <f>IF($B145="Financial",+'5 BS Adjusted'!E47,"")</f>
        <v/>
      </c>
      <c r="E145" s="258" t="str">
        <f>IF($B145="Financial",+'5 BS Adjusted'!F47,"")</f>
        <v/>
      </c>
      <c r="F145" s="258" t="str">
        <f>IF($B145="Financial",+'5 BS Adjusted'!G47,"")</f>
        <v/>
      </c>
    </row>
    <row r="146" spans="1:6" x14ac:dyDescent="0.3">
      <c r="A146" s="181" t="s">
        <v>375</v>
      </c>
      <c r="B146" s="257" t="str">
        <f>IF(IFERROR(VLOOKUP(A146,'5 BS Adjusted'!A:C,2,),"")&gt;"",IFERROR(VLOOKUP(A146,'5 BS Adjusted'!A:C,2,),""),IFERROR(VLOOKUP(A146,'5 BS Adjusted'!A:C,3,),""))</f>
        <v>Operating</v>
      </c>
      <c r="C146" s="258" t="str">
        <f>IF($B146="Financial",+'5 BS Adjusted'!D48,"")</f>
        <v/>
      </c>
      <c r="D146" s="258" t="str">
        <f>IF($B146="Financial",+'5 BS Adjusted'!E48,"")</f>
        <v/>
      </c>
      <c r="E146" s="258" t="str">
        <f>IF($B146="Financial",+'5 BS Adjusted'!F48,"")</f>
        <v/>
      </c>
      <c r="F146" s="258" t="str">
        <f>IF($B146="Financial",+'5 BS Adjusted'!G48,"")</f>
        <v/>
      </c>
    </row>
    <row r="147" spans="1:6" x14ac:dyDescent="0.3">
      <c r="A147" s="181" t="s">
        <v>376</v>
      </c>
      <c r="B147" s="257" t="str">
        <f>IF(IFERROR(VLOOKUP(A147,'5 BS Adjusted'!A:C,2,),"")&gt;"",IFERROR(VLOOKUP(A147,'5 BS Adjusted'!A:C,2,),""),IFERROR(VLOOKUP(A147,'5 BS Adjusted'!A:C,3,),""))</f>
        <v>Financial</v>
      </c>
      <c r="C147" s="258">
        <f>IF($B147="Financial",+'5 BS Adjusted'!D49,"")</f>
        <v>366</v>
      </c>
      <c r="D147" s="258">
        <f>IF($B147="Financial",+'5 BS Adjusted'!E49,"")</f>
        <v>403</v>
      </c>
      <c r="E147" s="258">
        <f>IF($B147="Financial",+'5 BS Adjusted'!F49,"")</f>
        <v>154</v>
      </c>
      <c r="F147" s="258">
        <f>IF($B147="Financial",+'5 BS Adjusted'!G49,"")</f>
        <v>132</v>
      </c>
    </row>
    <row r="148" spans="1:6" x14ac:dyDescent="0.3">
      <c r="A148" s="181" t="s">
        <v>377</v>
      </c>
      <c r="B148" s="257" t="str">
        <f>IF(IFERROR(VLOOKUP(A148,'5 BS Adjusted'!A:C,2,),"")&gt;"",IFERROR(VLOOKUP(A148,'5 BS Adjusted'!A:C,2,),""),IFERROR(VLOOKUP(A148,'5 BS Adjusted'!A:C,3,),""))</f>
        <v>Operating</v>
      </c>
      <c r="C148" s="258" t="str">
        <f>IF($B148="Financial",+'5 BS Adjusted'!D50,"")</f>
        <v/>
      </c>
      <c r="D148" s="258" t="str">
        <f>IF($B148="Financial",+'5 BS Adjusted'!E50,"")</f>
        <v/>
      </c>
      <c r="E148" s="258" t="str">
        <f>IF($B148="Financial",+'5 BS Adjusted'!F50,"")</f>
        <v/>
      </c>
      <c r="F148" s="258" t="str">
        <f>IF($B148="Financial",+'5 BS Adjusted'!G50,"")</f>
        <v/>
      </c>
    </row>
    <row r="149" spans="1:6" x14ac:dyDescent="0.3">
      <c r="A149" s="181" t="s">
        <v>378</v>
      </c>
      <c r="B149" s="257" t="str">
        <f>IF(IFERROR(VLOOKUP(A149,'5 BS Adjusted'!A:C,2,),"")&gt;"",IFERROR(VLOOKUP(A149,'5 BS Adjusted'!A:C,2,),""),IFERROR(VLOOKUP(A149,'5 BS Adjusted'!A:C,3,),""))</f>
        <v>Operating</v>
      </c>
      <c r="C149" s="258" t="str">
        <f>IF($B149="Financial",+'5 BS Adjusted'!D51,"")</f>
        <v/>
      </c>
      <c r="D149" s="258" t="str">
        <f>IF($B149="Financial",+'5 BS Adjusted'!E51,"")</f>
        <v/>
      </c>
      <c r="E149" s="258" t="str">
        <f>IF($B149="Financial",+'5 BS Adjusted'!F51,"")</f>
        <v/>
      </c>
      <c r="F149" s="258" t="str">
        <f>IF($B149="Financial",+'5 BS Adjusted'!G51,"")</f>
        <v/>
      </c>
    </row>
    <row r="150" spans="1:6" x14ac:dyDescent="0.3">
      <c r="A150" s="181" t="s">
        <v>379</v>
      </c>
      <c r="B150" s="257" t="str">
        <f>IF(IFERROR(VLOOKUP(A150,'5 BS Adjusted'!A:C,2,),"")&gt;"",IFERROR(VLOOKUP(A150,'5 BS Adjusted'!A:C,2,),""),IFERROR(VLOOKUP(A150,'5 BS Adjusted'!A:C,3,),""))</f>
        <v>Financial</v>
      </c>
      <c r="C150" s="258">
        <f>IF($B150="Financial",+'5 BS Adjusted'!D52,"")</f>
        <v>35</v>
      </c>
      <c r="D150" s="258">
        <f>IF($B150="Financial",+'5 BS Adjusted'!E52,"")</f>
        <v>38</v>
      </c>
      <c r="E150" s="258">
        <f>IF($B150="Financial",+'5 BS Adjusted'!F52,"")</f>
        <v>25</v>
      </c>
      <c r="F150" s="258">
        <f>IF($B150="Financial",+'5 BS Adjusted'!G52,"")</f>
        <v>20</v>
      </c>
    </row>
    <row r="151" spans="1:6" x14ac:dyDescent="0.3">
      <c r="A151" s="181" t="s">
        <v>380</v>
      </c>
      <c r="B151" s="257" t="str">
        <f>IF(IFERROR(VLOOKUP(A151,'5 BS Adjusted'!A:C,2,),"")&gt;"",IFERROR(VLOOKUP(A151,'5 BS Adjusted'!A:C,2,),""),IFERROR(VLOOKUP(A151,'5 BS Adjusted'!A:C,3,),""))</f>
        <v>Financial</v>
      </c>
      <c r="C151" s="258">
        <f>IF($B151="Financial",+'5 BS Adjusted'!D53,"")</f>
        <v>141.20316699999995</v>
      </c>
      <c r="D151" s="258">
        <f>IF($B151="Financial",+'5 BS Adjusted'!E53,"")</f>
        <v>106.84825099999996</v>
      </c>
      <c r="E151" s="258">
        <f>IF($B151="Financial",+'5 BS Adjusted'!F53,"")</f>
        <v>45.748163400000003</v>
      </c>
      <c r="F151" s="258">
        <f>IF($B151="Financial",+'5 BS Adjusted'!G53,"")</f>
        <v>31</v>
      </c>
    </row>
    <row r="152" spans="1:6" x14ac:dyDescent="0.3">
      <c r="A152" s="181" t="s">
        <v>381</v>
      </c>
      <c r="B152" s="257" t="str">
        <f>IF(IFERROR(VLOOKUP(A152,'5 BS Adjusted'!A:C,2,),"")&gt;"",IFERROR(VLOOKUP(A152,'5 BS Adjusted'!A:C,2,),""),IFERROR(VLOOKUP(A152,'5 BS Adjusted'!A:C,3,),""))</f>
        <v>Operating</v>
      </c>
      <c r="C152" s="258" t="str">
        <f>IF($B152="Financial",+'5 BS Adjusted'!D54,"")</f>
        <v/>
      </c>
      <c r="D152" s="258" t="str">
        <f>IF($B152="Financial",+'5 BS Adjusted'!E54,"")</f>
        <v/>
      </c>
      <c r="E152" s="258" t="str">
        <f>IF($B152="Financial",+'5 BS Adjusted'!F54,"")</f>
        <v/>
      </c>
      <c r="F152" s="258" t="str">
        <f>IF($B152="Financial",+'5 BS Adjusted'!G54,"")</f>
        <v/>
      </c>
    </row>
    <row r="153" spans="1:6" x14ac:dyDescent="0.3">
      <c r="A153" s="181" t="s">
        <v>382</v>
      </c>
      <c r="B153" s="257" t="str">
        <f>IF(IFERROR(VLOOKUP(A153,'5 BS Adjusted'!A:C,2,),"")&gt;"",IFERROR(VLOOKUP(A153,'5 BS Adjusted'!A:C,2,),""),IFERROR(VLOOKUP(A153,'5 BS Adjusted'!A:C,3,),""))</f>
        <v>Operating</v>
      </c>
      <c r="C153" s="258" t="str">
        <f>IF($B153="Financial",+'5 BS Adjusted'!D55,"")</f>
        <v/>
      </c>
      <c r="D153" s="258" t="str">
        <f>IF($B153="Financial",+'5 BS Adjusted'!E55,"")</f>
        <v/>
      </c>
      <c r="E153" s="258" t="str">
        <f>IF($B153="Financial",+'5 BS Adjusted'!F55,"")</f>
        <v/>
      </c>
      <c r="F153" s="258" t="str">
        <f>IF($B153="Financial",+'5 BS Adjusted'!G55,"")</f>
        <v/>
      </c>
    </row>
    <row r="154" spans="1:6" x14ac:dyDescent="0.3">
      <c r="A154" s="181" t="s">
        <v>383</v>
      </c>
      <c r="B154" s="257" t="str">
        <f>IF(IFERROR(VLOOKUP(A154,'5 BS Adjusted'!A:C,2,),"")&gt;"",IFERROR(VLOOKUP(A154,'5 BS Adjusted'!A:C,2,),""),IFERROR(VLOOKUP(A154,'5 BS Adjusted'!A:C,3,),""))</f>
        <v>Financial</v>
      </c>
      <c r="C154" s="258">
        <f>IF($B154="Financial",+'5 BS Adjusted'!D56,"")</f>
        <v>4584</v>
      </c>
      <c r="D154" s="258">
        <f>IF($B154="Financial",+'5 BS Adjusted'!E56,"")</f>
        <v>4544</v>
      </c>
      <c r="E154" s="258">
        <f>IF($B154="Financial",+'5 BS Adjusted'!F56,"")</f>
        <v>5043</v>
      </c>
      <c r="F154" s="258">
        <f>IF($B154="Financial",+'5 BS Adjusted'!G56,"")</f>
        <v>4677</v>
      </c>
    </row>
    <row r="155" spans="1:6" x14ac:dyDescent="0.3">
      <c r="A155" s="181" t="s">
        <v>384</v>
      </c>
      <c r="B155" s="257" t="str">
        <f>IF(IFERROR(VLOOKUP(A155,'5 BS Adjusted'!A:C,2,),"")&gt;"",IFERROR(VLOOKUP(A155,'5 BS Adjusted'!A:C,2,),""),IFERROR(VLOOKUP(A155,'5 BS Adjusted'!A:C,3,),""))</f>
        <v>Financial</v>
      </c>
      <c r="C155" s="258">
        <f>IF($B155="Financial",+'5 BS Adjusted'!D57,"")</f>
        <v>1084</v>
      </c>
      <c r="D155" s="258">
        <f>IF($B155="Financial",+'5 BS Adjusted'!E57,"")</f>
        <v>1136</v>
      </c>
      <c r="E155" s="258">
        <f>IF($B155="Financial",+'5 BS Adjusted'!F57,"")</f>
        <v>1292</v>
      </c>
      <c r="F155" s="258">
        <f>IF($B155="Financial",+'5 BS Adjusted'!G57,"")</f>
        <v>1140</v>
      </c>
    </row>
    <row r="156" spans="1:6" x14ac:dyDescent="0.3">
      <c r="A156" s="181" t="s">
        <v>164</v>
      </c>
      <c r="B156" s="257" t="str">
        <f>IF(IFERROR(VLOOKUP(A156,'5 BS Adjusted'!A:C,2,),"")&gt;"",IFERROR(VLOOKUP(A156,'5 BS Adjusted'!A:C,2,),""),IFERROR(VLOOKUP(A156,'5 BS Adjusted'!A:C,3,),""))</f>
        <v>Operating</v>
      </c>
      <c r="C156" s="258" t="str">
        <f>IF($B156="Financial",+'5 BS Adjusted'!D58,"")</f>
        <v/>
      </c>
      <c r="D156" s="258" t="str">
        <f>IF($B156="Financial",+'5 BS Adjusted'!E58,"")</f>
        <v/>
      </c>
      <c r="E156" s="258" t="str">
        <f>IF($B156="Financial",+'5 BS Adjusted'!F58,"")</f>
        <v/>
      </c>
      <c r="F156" s="258" t="str">
        <f>IF($B156="Financial",+'5 BS Adjusted'!G58,"")</f>
        <v/>
      </c>
    </row>
    <row r="157" spans="1:6" s="13" customFormat="1" x14ac:dyDescent="0.3">
      <c r="A157" s="183" t="s">
        <v>175</v>
      </c>
      <c r="B157" s="255" t="str">
        <f>IF(IFERROR(VLOOKUP(A157,'5 BS Adjusted'!A:C,2,),"")&gt;"",IFERROR(VLOOKUP(A157,'5 BS Adjusted'!A:C,2,),""),IFERROR(VLOOKUP(A157,'5 BS Adjusted'!A:C,3,),""))</f>
        <v/>
      </c>
      <c r="C157" s="259">
        <f>SUM(C103:C156)</f>
        <v>6210.2031669999997</v>
      </c>
      <c r="D157" s="259">
        <f>SUM(D103:D156)</f>
        <v>6329.8482510000003</v>
      </c>
      <c r="E157" s="259">
        <f>SUM(E103:E156)</f>
        <v>6667.7481633999996</v>
      </c>
      <c r="F157" s="259">
        <f>SUM(F103:F156)</f>
        <v>6147</v>
      </c>
    </row>
    <row r="158" spans="1:6" x14ac:dyDescent="0.3">
      <c r="A158" s="181"/>
      <c r="B158" s="257" t="str">
        <f>IF(IFERROR(VLOOKUP(A158,'5 BS Adjusted'!A:C,2,),"")&gt;"",IFERROR(VLOOKUP(A158,'5 BS Adjusted'!A:C,2,),""),IFERROR(VLOOKUP(A158,'5 BS Adjusted'!A:C,3,),""))</f>
        <v/>
      </c>
      <c r="C158" s="181"/>
      <c r="D158" s="181"/>
      <c r="E158" s="181"/>
      <c r="F158" s="181"/>
    </row>
    <row r="159" spans="1:6" x14ac:dyDescent="0.3">
      <c r="A159" s="183" t="s">
        <v>7</v>
      </c>
      <c r="B159" s="257"/>
      <c r="C159" s="181"/>
      <c r="D159" s="181"/>
      <c r="E159" s="181"/>
      <c r="F159" s="181"/>
    </row>
    <row r="160" spans="1:6" x14ac:dyDescent="0.3">
      <c r="A160" s="183" t="s">
        <v>158</v>
      </c>
      <c r="B160" s="257"/>
      <c r="C160" s="181"/>
      <c r="D160" s="181"/>
      <c r="E160" s="181"/>
      <c r="F160" s="181"/>
    </row>
    <row r="161" spans="1:6" x14ac:dyDescent="0.3">
      <c r="A161" s="181" t="s">
        <v>233</v>
      </c>
      <c r="B161" s="257" t="str">
        <f>IF(IFERROR(VLOOKUP(A161,'5 BS Adjusted'!A:C,2,),"")&gt;"",IFERROR(VLOOKUP(A161,'5 BS Adjusted'!A:C,2,),""),IFERROR(VLOOKUP(A161,'5 BS Adjusted'!A:C,3,),""))</f>
        <v>Financial</v>
      </c>
      <c r="C161" s="258">
        <f>IF($B161="Financial",+'5 BS Adjusted'!D63,"")</f>
        <v>-1266</v>
      </c>
      <c r="D161" s="258">
        <f>IF($B161="Financial",+'5 BS Adjusted'!E63,"")</f>
        <v>-631</v>
      </c>
      <c r="E161" s="258">
        <f>IF($B161="Financial",+'5 BS Adjusted'!F63,"")</f>
        <v>-409</v>
      </c>
      <c r="F161" s="258">
        <f>IF($B161="Financial",+'5 BS Adjusted'!G63,"")</f>
        <v>-510</v>
      </c>
    </row>
    <row r="162" spans="1:6" x14ac:dyDescent="0.3">
      <c r="A162" s="181" t="s">
        <v>385</v>
      </c>
      <c r="B162" s="257" t="str">
        <f>IF(IFERROR(VLOOKUP(A162,'5 BS Adjusted'!A:C,2,),"")&gt;"",IFERROR(VLOOKUP(A162,'5 BS Adjusted'!A:C,2,),""),IFERROR(VLOOKUP(A162,'5 BS Adjusted'!A:C,3,),""))</f>
        <v>Financial</v>
      </c>
      <c r="C162" s="258">
        <f>IF($B162="Financial",+'5 BS Adjusted'!D64,"")</f>
        <v>-899</v>
      </c>
      <c r="D162" s="258">
        <f>IF($B162="Financial",+'5 BS Adjusted'!E64,"")</f>
        <v>-80</v>
      </c>
      <c r="E162" s="258">
        <f>IF($B162="Financial",+'5 BS Adjusted'!F64,"")</f>
        <v>-196</v>
      </c>
      <c r="F162" s="258">
        <f>IF($B162="Financial",+'5 BS Adjusted'!G64,"")</f>
        <v>-15</v>
      </c>
    </row>
    <row r="163" spans="1:6" x14ac:dyDescent="0.3">
      <c r="A163" s="181" t="s">
        <v>386</v>
      </c>
      <c r="B163" s="257" t="str">
        <f>IF(IFERROR(VLOOKUP(A163,'5 BS Adjusted'!A:C,2,),"")&gt;"",IFERROR(VLOOKUP(A163,'5 BS Adjusted'!A:C,2,),""),IFERROR(VLOOKUP(A163,'5 BS Adjusted'!A:C,3,),""))</f>
        <v>Financial</v>
      </c>
      <c r="C163" s="258">
        <f>IF($B163="Financial",+'5 BS Adjusted'!D65,"")</f>
        <v>-261</v>
      </c>
      <c r="D163" s="258">
        <f>IF($B163="Financial",+'5 BS Adjusted'!E65,"")</f>
        <v>-306</v>
      </c>
      <c r="E163" s="258">
        <f>IF($B163="Financial",+'5 BS Adjusted'!F65,"")</f>
        <v>-96</v>
      </c>
      <c r="F163" s="258">
        <f>IF($B163="Financial",+'5 BS Adjusted'!G65,"")</f>
        <v>0</v>
      </c>
    </row>
    <row r="164" spans="1:6" x14ac:dyDescent="0.3">
      <c r="A164" s="181" t="s">
        <v>387</v>
      </c>
      <c r="B164" s="257" t="str">
        <f>IF(IFERROR(VLOOKUP(A164,'5 BS Adjusted'!A:C,2,),"")&gt;"",IFERROR(VLOOKUP(A164,'5 BS Adjusted'!A:C,2,),""),IFERROR(VLOOKUP(A164,'5 BS Adjusted'!A:C,3,),""))</f>
        <v>Financial</v>
      </c>
      <c r="C164" s="258">
        <f>IF($B164="Financial",+'5 BS Adjusted'!D66,"")</f>
        <v>-44</v>
      </c>
      <c r="D164" s="258">
        <f>IF($B164="Financial",+'5 BS Adjusted'!E66,"")</f>
        <v>-52</v>
      </c>
      <c r="E164" s="258">
        <f>IF($B164="Financial",+'5 BS Adjusted'!F66,"")</f>
        <v>-78</v>
      </c>
      <c r="F164" s="258">
        <f>IF($B164="Financial",+'5 BS Adjusted'!G66,"")</f>
        <v>-161</v>
      </c>
    </row>
    <row r="165" spans="1:6" x14ac:dyDescent="0.3">
      <c r="A165" s="181" t="s">
        <v>234</v>
      </c>
      <c r="B165" s="257" t="str">
        <f>IF(IFERROR(VLOOKUP(A165,'5 BS Adjusted'!A:C,2,),"")&gt;"",IFERROR(VLOOKUP(A165,'5 BS Adjusted'!A:C,2,),""),IFERROR(VLOOKUP(A165,'5 BS Adjusted'!A:C,3,),""))</f>
        <v>Operating</v>
      </c>
      <c r="C165" s="258" t="str">
        <f>IF($B165="Financial",+'5 BS Adjusted'!D67,"")</f>
        <v/>
      </c>
      <c r="D165" s="258" t="str">
        <f>IF($B165="Financial",+'5 BS Adjusted'!E67,"")</f>
        <v/>
      </c>
      <c r="E165" s="258" t="str">
        <f>IF($B165="Financial",+'5 BS Adjusted'!F67,"")</f>
        <v/>
      </c>
      <c r="F165" s="258" t="str">
        <f>IF($B165="Financial",+'5 BS Adjusted'!G67,"")</f>
        <v/>
      </c>
    </row>
    <row r="166" spans="1:6" x14ac:dyDescent="0.3">
      <c r="A166" s="181" t="s">
        <v>388</v>
      </c>
      <c r="B166" s="257" t="str">
        <f>IF(IFERROR(VLOOKUP(A166,'5 BS Adjusted'!A:C,2,),"")&gt;"",IFERROR(VLOOKUP(A166,'5 BS Adjusted'!A:C,2,),""),IFERROR(VLOOKUP(A166,'5 BS Adjusted'!A:C,3,),""))</f>
        <v>Operating</v>
      </c>
      <c r="C166" s="258" t="str">
        <f>IF($B166="Financial",+'5 BS Adjusted'!D68,"")</f>
        <v/>
      </c>
      <c r="D166" s="258" t="str">
        <f>IF($B166="Financial",+'5 BS Adjusted'!E68,"")</f>
        <v/>
      </c>
      <c r="E166" s="258" t="str">
        <f>IF($B166="Financial",+'5 BS Adjusted'!F68,"")</f>
        <v/>
      </c>
      <c r="F166" s="258" t="str">
        <f>IF($B166="Financial",+'5 BS Adjusted'!G68,"")</f>
        <v/>
      </c>
    </row>
    <row r="167" spans="1:6" x14ac:dyDescent="0.3">
      <c r="A167" s="181" t="s">
        <v>389</v>
      </c>
      <c r="B167" s="257" t="str">
        <f>IF(IFERROR(VLOOKUP(A167,'5 BS Adjusted'!A:C,2,),"")&gt;"",IFERROR(VLOOKUP(A167,'5 BS Adjusted'!A:C,2,),""),IFERROR(VLOOKUP(A167,'5 BS Adjusted'!A:C,3,),""))</f>
        <v>Operating</v>
      </c>
      <c r="C167" s="258" t="str">
        <f>IF($B167="Financial",+'5 BS Adjusted'!D69,"")</f>
        <v/>
      </c>
      <c r="D167" s="258" t="str">
        <f>IF($B167="Financial",+'5 BS Adjusted'!E69,"")</f>
        <v/>
      </c>
      <c r="E167" s="258" t="str">
        <f>IF($B167="Financial",+'5 BS Adjusted'!F69,"")</f>
        <v/>
      </c>
      <c r="F167" s="258" t="str">
        <f>IF($B167="Financial",+'5 BS Adjusted'!G69,"")</f>
        <v/>
      </c>
    </row>
    <row r="168" spans="1:6" x14ac:dyDescent="0.3">
      <c r="A168" s="181" t="s">
        <v>390</v>
      </c>
      <c r="B168" s="257" t="str">
        <f>IF(IFERROR(VLOOKUP(A168,'5 BS Adjusted'!A:C,2,),"")&gt;"",IFERROR(VLOOKUP(A168,'5 BS Adjusted'!A:C,2,),""),IFERROR(VLOOKUP(A168,'5 BS Adjusted'!A:C,3,),""))</f>
        <v>Operating</v>
      </c>
      <c r="C168" s="258" t="str">
        <f>IF($B168="Financial",+'5 BS Adjusted'!D70,"")</f>
        <v/>
      </c>
      <c r="D168" s="258" t="str">
        <f>IF($B168="Financial",+'5 BS Adjusted'!E70,"")</f>
        <v/>
      </c>
      <c r="E168" s="258" t="str">
        <f>IF($B168="Financial",+'5 BS Adjusted'!F70,"")</f>
        <v/>
      </c>
      <c r="F168" s="258" t="str">
        <f>IF($B168="Financial",+'5 BS Adjusted'!G70,"")</f>
        <v/>
      </c>
    </row>
    <row r="169" spans="1:6" x14ac:dyDescent="0.3">
      <c r="A169" s="181" t="s">
        <v>391</v>
      </c>
      <c r="B169" s="257" t="str">
        <f>IF(IFERROR(VLOOKUP(A169,'5 BS Adjusted'!A:C,2,),"")&gt;"",IFERROR(VLOOKUP(A169,'5 BS Adjusted'!A:C,2,),""),IFERROR(VLOOKUP(A169,'5 BS Adjusted'!A:C,3,),""))</f>
        <v>Operating</v>
      </c>
      <c r="C169" s="258" t="str">
        <f>IF($B169="Financial",+'5 BS Adjusted'!D71,"")</f>
        <v/>
      </c>
      <c r="D169" s="258" t="str">
        <f>IF($B169="Financial",+'5 BS Adjusted'!E71,"")</f>
        <v/>
      </c>
      <c r="E169" s="258" t="str">
        <f>IF($B169="Financial",+'5 BS Adjusted'!F71,"")</f>
        <v/>
      </c>
      <c r="F169" s="258" t="str">
        <f>IF($B169="Financial",+'5 BS Adjusted'!G71,"")</f>
        <v/>
      </c>
    </row>
    <row r="170" spans="1:6" x14ac:dyDescent="0.3">
      <c r="A170" s="181" t="s">
        <v>9</v>
      </c>
      <c r="B170" s="257" t="str">
        <f>IF(IFERROR(VLOOKUP(A170,'5 BS Adjusted'!A:C,2,),"")&gt;"",IFERROR(VLOOKUP(A170,'5 BS Adjusted'!A:C,2,),""),IFERROR(VLOOKUP(A170,'5 BS Adjusted'!A:C,3,),""))</f>
        <v>Financial</v>
      </c>
      <c r="C170" s="258">
        <f>IF($B170="Financial",+'5 BS Adjusted'!D72,"")</f>
        <v>-5289</v>
      </c>
      <c r="D170" s="258">
        <f>IF($B170="Financial",+'5 BS Adjusted'!E72,"")</f>
        <v>-6698</v>
      </c>
      <c r="E170" s="258">
        <f>IF($B170="Financial",+'5 BS Adjusted'!F72,"")</f>
        <v>-7836</v>
      </c>
      <c r="F170" s="258">
        <f>IF($B170="Financial",+'5 BS Adjusted'!G72,"")</f>
        <v>-8207</v>
      </c>
    </row>
    <row r="171" spans="1:6" x14ac:dyDescent="0.3">
      <c r="A171" s="181" t="s">
        <v>392</v>
      </c>
      <c r="B171" s="257" t="str">
        <f>IF(IFERROR(VLOOKUP(A171,'5 BS Adjusted'!A:C,2,),"")&gt;"",IFERROR(VLOOKUP(A171,'5 BS Adjusted'!A:C,2,),""),IFERROR(VLOOKUP(A171,'5 BS Adjusted'!A:C,3,),""))</f>
        <v>Operating</v>
      </c>
      <c r="C171" s="258" t="str">
        <f>IF($B171="Financial",+'5 BS Adjusted'!D73,"")</f>
        <v/>
      </c>
      <c r="D171" s="258" t="str">
        <f>IF($B171="Financial",+'5 BS Adjusted'!E73,"")</f>
        <v/>
      </c>
      <c r="E171" s="258" t="str">
        <f>IF($B171="Financial",+'5 BS Adjusted'!F73,"")</f>
        <v/>
      </c>
      <c r="F171" s="258" t="str">
        <f>IF($B171="Financial",+'5 BS Adjusted'!G73,"")</f>
        <v/>
      </c>
    </row>
    <row r="172" spans="1:6" x14ac:dyDescent="0.3">
      <c r="A172" s="181" t="s">
        <v>393</v>
      </c>
      <c r="B172" s="257" t="str">
        <f>IF(IFERROR(VLOOKUP(A172,'5 BS Adjusted'!A:C,2,),"")&gt;"",IFERROR(VLOOKUP(A172,'5 BS Adjusted'!A:C,2,),""),IFERROR(VLOOKUP(A172,'5 BS Adjusted'!A:C,3,),""))</f>
        <v>Operating</v>
      </c>
      <c r="C172" s="258" t="str">
        <f>IF($B172="Financial",+'5 BS Adjusted'!D74,"")</f>
        <v/>
      </c>
      <c r="D172" s="258" t="str">
        <f>IF($B172="Financial",+'5 BS Adjusted'!E74,"")</f>
        <v/>
      </c>
      <c r="E172" s="258" t="str">
        <f>IF($B172="Financial",+'5 BS Adjusted'!F74,"")</f>
        <v/>
      </c>
      <c r="F172" s="258" t="str">
        <f>IF($B172="Financial",+'5 BS Adjusted'!G74,"")</f>
        <v/>
      </c>
    </row>
    <row r="173" spans="1:6" x14ac:dyDescent="0.3">
      <c r="A173" s="181" t="s">
        <v>394</v>
      </c>
      <c r="B173" s="257" t="str">
        <f>IF(IFERROR(VLOOKUP(A173,'5 BS Adjusted'!A:C,2,),"")&gt;"",IFERROR(VLOOKUP(A173,'5 BS Adjusted'!A:C,2,),""),IFERROR(VLOOKUP(A173,'5 BS Adjusted'!A:C,3,),""))</f>
        <v>Operating</v>
      </c>
      <c r="C173" s="258" t="str">
        <f>IF($B173="Financial",+'5 BS Adjusted'!D75,"")</f>
        <v/>
      </c>
      <c r="D173" s="258" t="str">
        <f>IF($B173="Financial",+'5 BS Adjusted'!E75,"")</f>
        <v/>
      </c>
      <c r="E173" s="258" t="str">
        <f>IF($B173="Financial",+'5 BS Adjusted'!F75,"")</f>
        <v/>
      </c>
      <c r="F173" s="258" t="str">
        <f>IF($B173="Financial",+'5 BS Adjusted'!G75,"")</f>
        <v/>
      </c>
    </row>
    <row r="174" spans="1:6" x14ac:dyDescent="0.3">
      <c r="A174" s="181" t="s">
        <v>395</v>
      </c>
      <c r="B174" s="257" t="str">
        <f>IF(IFERROR(VLOOKUP(A174,'5 BS Adjusted'!A:C,2,),"")&gt;"",IFERROR(VLOOKUP(A174,'5 BS Adjusted'!A:C,2,),""),IFERROR(VLOOKUP(A174,'5 BS Adjusted'!A:C,3,),""))</f>
        <v>Operating</v>
      </c>
      <c r="C174" s="258" t="str">
        <f>IF($B174="Financial",+'5 BS Adjusted'!D76,"")</f>
        <v/>
      </c>
      <c r="D174" s="258" t="str">
        <f>IF($B174="Financial",+'5 BS Adjusted'!E76,"")</f>
        <v/>
      </c>
      <c r="E174" s="258" t="str">
        <f>IF($B174="Financial",+'5 BS Adjusted'!F76,"")</f>
        <v/>
      </c>
      <c r="F174" s="258" t="str">
        <f>IF($B174="Financial",+'5 BS Adjusted'!G76,"")</f>
        <v/>
      </c>
    </row>
    <row r="175" spans="1:6" x14ac:dyDescent="0.3">
      <c r="A175" s="181" t="s">
        <v>396</v>
      </c>
      <c r="B175" s="257" t="str">
        <f>IF(IFERROR(VLOOKUP(A175,'5 BS Adjusted'!A:C,2,),"")&gt;"",IFERROR(VLOOKUP(A175,'5 BS Adjusted'!A:C,2,),""),IFERROR(VLOOKUP(A175,'5 BS Adjusted'!A:C,3,),""))</f>
        <v>Operating</v>
      </c>
      <c r="C175" s="258" t="str">
        <f>IF($B175="Financial",+'5 BS Adjusted'!D77,"")</f>
        <v/>
      </c>
      <c r="D175" s="258" t="str">
        <f>IF($B175="Financial",+'5 BS Adjusted'!E77,"")</f>
        <v/>
      </c>
      <c r="E175" s="258" t="str">
        <f>IF($B175="Financial",+'5 BS Adjusted'!F77,"")</f>
        <v/>
      </c>
      <c r="F175" s="258" t="str">
        <f>IF($B175="Financial",+'5 BS Adjusted'!G77,"")</f>
        <v/>
      </c>
    </row>
    <row r="176" spans="1:6" x14ac:dyDescent="0.3">
      <c r="A176" s="181" t="s">
        <v>397</v>
      </c>
      <c r="B176" s="257" t="str">
        <f>IF(IFERROR(VLOOKUP(A176,'5 BS Adjusted'!A:C,2,),"")&gt;"",IFERROR(VLOOKUP(A176,'5 BS Adjusted'!A:C,2,),""),IFERROR(VLOOKUP(A176,'5 BS Adjusted'!A:C,3,),""))</f>
        <v>Financial</v>
      </c>
      <c r="C176" s="258">
        <f>IF($B176="Financial",+'5 BS Adjusted'!D78,"")</f>
        <v>-5316</v>
      </c>
      <c r="D176" s="258">
        <f>IF($B176="Financial",+'5 BS Adjusted'!E78,"")</f>
        <v>-5510</v>
      </c>
      <c r="E176" s="258">
        <f>IF($B176="Financial",+'5 BS Adjusted'!F78,"")</f>
        <v>-5648</v>
      </c>
      <c r="F176" s="258">
        <f>IF($B176="Financial",+'5 BS Adjusted'!G78,"")</f>
        <v>-5117</v>
      </c>
    </row>
    <row r="177" spans="1:6" x14ac:dyDescent="0.3">
      <c r="A177" s="181" t="s">
        <v>398</v>
      </c>
      <c r="B177" s="257" t="str">
        <f>IF(IFERROR(VLOOKUP(A177,'5 BS Adjusted'!A:C,2,),"")&gt;"",IFERROR(VLOOKUP(A177,'5 BS Adjusted'!A:C,2,),""),IFERROR(VLOOKUP(A177,'5 BS Adjusted'!A:C,3,),""))</f>
        <v>Financial</v>
      </c>
      <c r="C177" s="258">
        <f>IF($B177="Financial",+'5 BS Adjusted'!D79,"")</f>
        <v>-1163</v>
      </c>
      <c r="D177" s="258">
        <f>IF($B177="Financial",+'5 BS Adjusted'!E79,"")</f>
        <v>-1161</v>
      </c>
      <c r="E177" s="258">
        <f>IF($B177="Financial",+'5 BS Adjusted'!F79,"")</f>
        <v>-1190</v>
      </c>
      <c r="F177" s="258">
        <f>IF($B177="Financial",+'5 BS Adjusted'!G79,"")</f>
        <v>-1069</v>
      </c>
    </row>
    <row r="178" spans="1:6" x14ac:dyDescent="0.3">
      <c r="A178" s="181" t="s">
        <v>399</v>
      </c>
      <c r="B178" s="257" t="str">
        <f>IF(IFERROR(VLOOKUP(A178,'5 BS Adjusted'!A:C,2,),"")&gt;"",IFERROR(VLOOKUP(A178,'5 BS Adjusted'!A:C,2,),""),IFERROR(VLOOKUP(A178,'5 BS Adjusted'!A:C,3,),""))</f>
        <v>Financial</v>
      </c>
      <c r="C178" s="258">
        <f>IF($B178="Financial",+'5 BS Adjusted'!D80,"")</f>
        <v>-108</v>
      </c>
      <c r="D178" s="258">
        <f>IF($B178="Financial",+'5 BS Adjusted'!E80,"")</f>
        <v>-87</v>
      </c>
      <c r="E178" s="258">
        <f>IF($B178="Financial",+'5 BS Adjusted'!F80,"")</f>
        <v>-43</v>
      </c>
      <c r="F178" s="258">
        <f>IF($B178="Financial",+'5 BS Adjusted'!G80,"")</f>
        <v>-42</v>
      </c>
    </row>
    <row r="179" spans="1:6" x14ac:dyDescent="0.3">
      <c r="A179" s="181" t="s">
        <v>137</v>
      </c>
      <c r="B179" s="257" t="str">
        <f>IF(IFERROR(VLOOKUP(A179,'5 BS Adjusted'!A:C,2,),"")&gt;"",IFERROR(VLOOKUP(A179,'5 BS Adjusted'!A:C,2,),""),IFERROR(VLOOKUP(A179,'5 BS Adjusted'!A:C,3,),""))</f>
        <v>Financial</v>
      </c>
      <c r="C179" s="258">
        <f>IF($B179="Financial",+'5 BS Adjusted'!D81,"")</f>
        <v>-497</v>
      </c>
      <c r="D179" s="258">
        <f>IF($B179="Financial",+'5 BS Adjusted'!E81,"")</f>
        <v>-555</v>
      </c>
      <c r="E179" s="258">
        <f>IF($B179="Financial",+'5 BS Adjusted'!F81,"")</f>
        <v>-420</v>
      </c>
      <c r="F179" s="258">
        <f>IF($B179="Financial",+'5 BS Adjusted'!G81,"")</f>
        <v>-478</v>
      </c>
    </row>
    <row r="180" spans="1:6" x14ac:dyDescent="0.3">
      <c r="A180" s="181" t="s">
        <v>116</v>
      </c>
      <c r="B180" s="257" t="str">
        <f>IF(IFERROR(VLOOKUP(A180,'5 BS Adjusted'!A:C,2,),"")&gt;"",IFERROR(VLOOKUP(A180,'5 BS Adjusted'!A:C,2,),""),IFERROR(VLOOKUP(A180,'5 BS Adjusted'!A:C,3,),""))</f>
        <v>Financial</v>
      </c>
      <c r="C180" s="258">
        <f>IF($B180="Financial",+'5 BS Adjusted'!D82,"")</f>
        <v>-283.43761999999992</v>
      </c>
      <c r="D180" s="258">
        <f>IF($B180="Financial",+'5 BS Adjusted'!E82,"")</f>
        <v>-188.1378599999999</v>
      </c>
      <c r="E180" s="258">
        <f>IF($B180="Financial",+'5 BS Adjusted'!F82,"")</f>
        <v>-60.705540000000056</v>
      </c>
      <c r="F180" s="258">
        <f>IF($B180="Financial",+'5 BS Adjusted'!G82,"")</f>
        <v>0</v>
      </c>
    </row>
    <row r="181" spans="1:6" x14ac:dyDescent="0.3">
      <c r="A181" s="181" t="s">
        <v>400</v>
      </c>
      <c r="B181" s="257" t="str">
        <f>IF(IFERROR(VLOOKUP(A181,'5 BS Adjusted'!A:C,2,),"")&gt;"",IFERROR(VLOOKUP(A181,'5 BS Adjusted'!A:C,2,),""),IFERROR(VLOOKUP(A181,'5 BS Adjusted'!A:C,3,),""))</f>
        <v>Operating</v>
      </c>
      <c r="C181" s="258" t="str">
        <f>IF($B181="Financial",+'5 BS Adjusted'!D83,"")</f>
        <v/>
      </c>
      <c r="D181" s="258" t="str">
        <f>IF($B181="Financial",+'5 BS Adjusted'!E83,"")</f>
        <v/>
      </c>
      <c r="E181" s="258" t="str">
        <f>IF($B181="Financial",+'5 BS Adjusted'!F83,"")</f>
        <v/>
      </c>
      <c r="F181" s="258" t="str">
        <f>IF($B181="Financial",+'5 BS Adjusted'!G83,"")</f>
        <v/>
      </c>
    </row>
    <row r="182" spans="1:6" x14ac:dyDescent="0.3">
      <c r="A182" s="181" t="s">
        <v>401</v>
      </c>
      <c r="B182" s="257" t="str">
        <f>IF(IFERROR(VLOOKUP(A182,'5 BS Adjusted'!A:C,2,),"")&gt;"",IFERROR(VLOOKUP(A182,'5 BS Adjusted'!A:C,2,),""),IFERROR(VLOOKUP(A182,'5 BS Adjusted'!A:C,3,),""))</f>
        <v>Financial</v>
      </c>
      <c r="C182" s="258">
        <f>IF($B182="Financial",+'5 BS Adjusted'!D84,"")</f>
        <v>-77</v>
      </c>
      <c r="D182" s="258">
        <f>IF($B182="Financial",+'5 BS Adjusted'!E84,"")</f>
        <v>-40</v>
      </c>
      <c r="E182" s="258">
        <f>IF($B182="Financial",+'5 BS Adjusted'!F84,"")</f>
        <v>-40</v>
      </c>
      <c r="F182" s="258">
        <f>IF($B182="Financial",+'5 BS Adjusted'!G84,"")</f>
        <v>-34</v>
      </c>
    </row>
    <row r="183" spans="1:6" x14ac:dyDescent="0.3">
      <c r="A183" s="181" t="s">
        <v>334</v>
      </c>
      <c r="B183" s="257" t="str">
        <f>IF(IFERROR(VLOOKUP(A183,'5 BS Adjusted'!A:C,2,),"")&gt;"",IFERROR(VLOOKUP(A183,'5 BS Adjusted'!A:C,2,),""),IFERROR(VLOOKUP(A183,'5 BS Adjusted'!A:C,3,),""))</f>
        <v>Financial</v>
      </c>
      <c r="C183" s="258">
        <f>IF($B183="Financial",+'5 BS Adjusted'!D85,"")</f>
        <v>-214</v>
      </c>
      <c r="D183" s="258">
        <f>IF($B183="Financial",+'5 BS Adjusted'!E85,"")</f>
        <v>-260</v>
      </c>
      <c r="E183" s="258">
        <f>IF($B183="Financial",+'5 BS Adjusted'!F85,"")</f>
        <v>-295</v>
      </c>
      <c r="F183" s="258">
        <f>IF($B183="Financial",+'5 BS Adjusted'!G85,"")</f>
        <v>-284</v>
      </c>
    </row>
    <row r="184" spans="1:6" s="13" customFormat="1" x14ac:dyDescent="0.3">
      <c r="A184" s="183" t="s">
        <v>160</v>
      </c>
      <c r="B184" s="255"/>
      <c r="C184" s="260" t="str">
        <f>IF($B184="Financial",+'5 BS Adjusted'!D86,"")</f>
        <v/>
      </c>
      <c r="D184" s="260" t="str">
        <f>IF($B184="Financial",+'5 BS Adjusted'!E86,"")</f>
        <v/>
      </c>
      <c r="E184" s="260" t="str">
        <f>IF($B184="Financial",+'5 BS Adjusted'!F86,"")</f>
        <v/>
      </c>
      <c r="F184" s="260" t="str">
        <f>IF($B184="Financial",+'5 BS Adjusted'!G86,"")</f>
        <v/>
      </c>
    </row>
    <row r="185" spans="1:6" s="13" customFormat="1" x14ac:dyDescent="0.3">
      <c r="A185" s="183" t="s">
        <v>161</v>
      </c>
      <c r="B185" s="255"/>
      <c r="C185" s="260" t="str">
        <f>IF($B185="Financial",+'5 BS Adjusted'!D87,"")</f>
        <v/>
      </c>
      <c r="D185" s="260" t="str">
        <f>IF($B185="Financial",+'5 BS Adjusted'!E87,"")</f>
        <v/>
      </c>
      <c r="E185" s="260" t="str">
        <f>IF($B185="Financial",+'5 BS Adjusted'!F87,"")</f>
        <v/>
      </c>
      <c r="F185" s="260" t="str">
        <f>IF($B185="Financial",+'5 BS Adjusted'!G87,"")</f>
        <v/>
      </c>
    </row>
    <row r="186" spans="1:6" x14ac:dyDescent="0.3">
      <c r="A186" s="181" t="s">
        <v>226</v>
      </c>
      <c r="B186" s="257" t="str">
        <f>IF(IFERROR(VLOOKUP(A186,'5 BS Adjusted'!A:C,2,),"")&gt;"",IFERROR(VLOOKUP(A186,'5 BS Adjusted'!A:C,2,),""),IFERROR(VLOOKUP(A186,'5 BS Adjusted'!A:C,3,),""))</f>
        <v>Equity</v>
      </c>
      <c r="C186" s="258" t="str">
        <f>IF($B186="Financial",+'5 BS Adjusted'!D88,"")</f>
        <v/>
      </c>
      <c r="D186" s="258" t="str">
        <f>IF($B186="Financial",+'5 BS Adjusted'!E88,"")</f>
        <v/>
      </c>
      <c r="E186" s="258" t="str">
        <f>IF($B186="Financial",+'5 BS Adjusted'!F88,"")</f>
        <v/>
      </c>
      <c r="F186" s="258" t="str">
        <f>IF($B186="Financial",+'5 BS Adjusted'!G88,"")</f>
        <v/>
      </c>
    </row>
    <row r="187" spans="1:6" x14ac:dyDescent="0.3">
      <c r="A187" s="181" t="s">
        <v>236</v>
      </c>
      <c r="B187" s="257" t="str">
        <f>IF(IFERROR(VLOOKUP(A187,'5 BS Adjusted'!A:C,2,),"")&gt;"",IFERROR(VLOOKUP(A187,'5 BS Adjusted'!A:C,2,),""),IFERROR(VLOOKUP(A187,'5 BS Adjusted'!A:C,3,),""))</f>
        <v>Equity</v>
      </c>
      <c r="C187" s="258" t="str">
        <f>IF($B187="Financial",+'5 BS Adjusted'!D89,"")</f>
        <v/>
      </c>
      <c r="D187" s="258" t="str">
        <f>IF($B187="Financial",+'5 BS Adjusted'!E89,"")</f>
        <v/>
      </c>
      <c r="E187" s="258" t="str">
        <f>IF($B187="Financial",+'5 BS Adjusted'!F89,"")</f>
        <v/>
      </c>
      <c r="F187" s="258" t="str">
        <f>IF($B187="Financial",+'5 BS Adjusted'!G89,"")</f>
        <v/>
      </c>
    </row>
    <row r="188" spans="1:6" x14ac:dyDescent="0.3">
      <c r="A188" s="181" t="s">
        <v>8</v>
      </c>
      <c r="B188" s="257" t="str">
        <f>IF(IFERROR(VLOOKUP(A188,'5 BS Adjusted'!A:C,2,),"")&gt;"",IFERROR(VLOOKUP(A188,'5 BS Adjusted'!A:C,2,),""),IFERROR(VLOOKUP(A188,'5 BS Adjusted'!A:C,3,),""))</f>
        <v>Equity</v>
      </c>
      <c r="C188" s="258" t="str">
        <f>IF($B188="Financial",+'5 BS Adjusted'!D90,"")</f>
        <v/>
      </c>
      <c r="D188" s="258" t="str">
        <f>IF($B188="Financial",+'5 BS Adjusted'!E90,"")</f>
        <v/>
      </c>
      <c r="E188" s="258" t="str">
        <f>IF($B188="Financial",+'5 BS Adjusted'!F90,"")</f>
        <v/>
      </c>
      <c r="F188" s="258" t="str">
        <f>IF($B188="Financial",+'5 BS Adjusted'!G90,"")</f>
        <v/>
      </c>
    </row>
    <row r="189" spans="1:6" x14ac:dyDescent="0.3">
      <c r="A189" s="181" t="s">
        <v>237</v>
      </c>
      <c r="B189" s="257" t="str">
        <f>IF(IFERROR(VLOOKUP(A189,'5 BS Adjusted'!A:C,2,),"")&gt;"",IFERROR(VLOOKUP(A189,'5 BS Adjusted'!A:C,2,),""),IFERROR(VLOOKUP(A189,'5 BS Adjusted'!A:C,3,),""))</f>
        <v>Equity</v>
      </c>
      <c r="C189" s="258" t="str">
        <f>IF($B189="Financial",+'5 BS Adjusted'!D91,"")</f>
        <v/>
      </c>
      <c r="D189" s="258" t="str">
        <f>IF($B189="Financial",+'5 BS Adjusted'!E91,"")</f>
        <v/>
      </c>
      <c r="E189" s="258" t="str">
        <f>IF($B189="Financial",+'5 BS Adjusted'!F91,"")</f>
        <v/>
      </c>
      <c r="F189" s="258" t="str">
        <f>IF($B189="Financial",+'5 BS Adjusted'!G91,"")</f>
        <v/>
      </c>
    </row>
    <row r="190" spans="1:6" x14ac:dyDescent="0.3">
      <c r="A190" s="181" t="s">
        <v>228</v>
      </c>
      <c r="B190" s="257" t="str">
        <f>IF(IFERROR(VLOOKUP(A190,'5 BS Adjusted'!A:C,2,),"")&gt;"",IFERROR(VLOOKUP(A190,'5 BS Adjusted'!A:C,2,),""),IFERROR(VLOOKUP(A190,'5 BS Adjusted'!A:C,3,),""))</f>
        <v>Equity</v>
      </c>
      <c r="C190" s="258" t="str">
        <f>IF($B190="Financial",+'5 BS Adjusted'!D92,"")</f>
        <v/>
      </c>
      <c r="D190" s="258" t="str">
        <f>IF($B190="Financial",+'5 BS Adjusted'!E92,"")</f>
        <v/>
      </c>
      <c r="E190" s="258" t="str">
        <f>IF($B190="Financial",+'5 BS Adjusted'!F92,"")</f>
        <v/>
      </c>
      <c r="F190" s="258" t="str">
        <f>IF($B190="Financial",+'5 BS Adjusted'!G92,"")</f>
        <v/>
      </c>
    </row>
    <row r="191" spans="1:6" x14ac:dyDescent="0.3">
      <c r="A191" s="181" t="s">
        <v>79</v>
      </c>
      <c r="B191" s="257" t="str">
        <f>IF(IFERROR(VLOOKUP(A191,'5 BS Adjusted'!A:C,2,),"")&gt;"",IFERROR(VLOOKUP(A191,'5 BS Adjusted'!A:C,2,),""),IFERROR(VLOOKUP(A191,'5 BS Adjusted'!A:C,3,),""))</f>
        <v>Equity</v>
      </c>
      <c r="C191" s="258" t="str">
        <f>IF($B191="Financial",+'5 BS Adjusted'!D93,"")</f>
        <v/>
      </c>
      <c r="D191" s="258" t="str">
        <f>IF($B191="Financial",+'5 BS Adjusted'!E93,"")</f>
        <v/>
      </c>
      <c r="E191" s="258" t="str">
        <f>IF($B191="Financial",+'5 BS Adjusted'!F93,"")</f>
        <v/>
      </c>
      <c r="F191" s="258" t="str">
        <f>IF($B191="Financial",+'5 BS Adjusted'!G93,"")</f>
        <v/>
      </c>
    </row>
    <row r="192" spans="1:6" x14ac:dyDescent="0.3">
      <c r="A192" s="181" t="s">
        <v>238</v>
      </c>
      <c r="B192" s="257" t="str">
        <f>IF(IFERROR(VLOOKUP(A192,'5 BS Adjusted'!A:C,2,),"")&gt;"",IFERROR(VLOOKUP(A192,'5 BS Adjusted'!A:C,2,),""),IFERROR(VLOOKUP(A192,'5 BS Adjusted'!A:C,3,),""))</f>
        <v>Financial</v>
      </c>
      <c r="C192" s="258">
        <f>IF($B192="Financial",+'5 BS Adjusted'!D94,"")</f>
        <v>-10</v>
      </c>
      <c r="D192" s="258">
        <f>IF($B192="Financial",+'5 BS Adjusted'!E94,"")</f>
        <v>-16</v>
      </c>
      <c r="E192" s="258">
        <f>IF($B192="Financial",+'5 BS Adjusted'!F94,"")</f>
        <v>-16</v>
      </c>
      <c r="F192" s="258">
        <f>IF($B192="Financial",+'5 BS Adjusted'!G94,"")</f>
        <v>-558</v>
      </c>
    </row>
    <row r="193" spans="1:6" s="13" customFormat="1" x14ac:dyDescent="0.3">
      <c r="A193" s="183" t="s">
        <v>162</v>
      </c>
      <c r="B193" s="255"/>
      <c r="C193" s="183"/>
      <c r="D193" s="183"/>
      <c r="E193" s="183"/>
      <c r="F193" s="183"/>
    </row>
    <row r="194" spans="1:6" s="13" customFormat="1" x14ac:dyDescent="0.3">
      <c r="A194" s="183" t="s">
        <v>176</v>
      </c>
      <c r="B194" s="255"/>
      <c r="C194" s="259">
        <f>SUM(C161:C193)</f>
        <v>-15427.437620000001</v>
      </c>
      <c r="D194" s="259">
        <f t="shared" ref="D194:F194" si="1">SUM(D161:D193)</f>
        <v>-15584.137860000001</v>
      </c>
      <c r="E194" s="259">
        <f t="shared" si="1"/>
        <v>-16327.705540000001</v>
      </c>
      <c r="F194" s="259">
        <f t="shared" si="1"/>
        <v>-16475</v>
      </c>
    </row>
    <row r="195" spans="1:6" s="13" customFormat="1" x14ac:dyDescent="0.3">
      <c r="A195" s="183"/>
      <c r="B195" s="255"/>
      <c r="C195" s="183"/>
      <c r="D195" s="183"/>
      <c r="E195" s="183"/>
      <c r="F195" s="183"/>
    </row>
    <row r="196" spans="1:6" s="13" customFormat="1" ht="15" thickBot="1" x14ac:dyDescent="0.35">
      <c r="A196" s="183" t="s">
        <v>82</v>
      </c>
      <c r="B196" s="255"/>
      <c r="C196" s="261">
        <f>+C194+C157</f>
        <v>-9217.2344530000009</v>
      </c>
      <c r="D196" s="261">
        <f>+D194+D157</f>
        <v>-9254.2896089999995</v>
      </c>
      <c r="E196" s="261">
        <f>+E194+E157</f>
        <v>-9659.9573766000012</v>
      </c>
      <c r="F196" s="261">
        <f>+F194+F157</f>
        <v>-10328</v>
      </c>
    </row>
    <row r="197" spans="1:6" ht="15" thickTop="1" x14ac:dyDescent="0.3">
      <c r="A197" s="133"/>
      <c r="C197" s="2"/>
      <c r="D197" s="2"/>
      <c r="E197" s="2"/>
      <c r="F197" s="2"/>
    </row>
    <row r="199" spans="1:6" x14ac:dyDescent="0.3">
      <c r="A199" s="203" t="s">
        <v>13</v>
      </c>
      <c r="B199" s="196"/>
      <c r="C199" s="195"/>
      <c r="D199" s="195"/>
      <c r="E199" s="195"/>
      <c r="F199" s="195"/>
    </row>
    <row r="200" spans="1:6" x14ac:dyDescent="0.3">
      <c r="A200" s="203" t="s">
        <v>188</v>
      </c>
      <c r="B200" s="196"/>
      <c r="C200" s="197">
        <f>+C98</f>
        <v>11161</v>
      </c>
      <c r="D200" s="197">
        <f>+D98</f>
        <v>11042</v>
      </c>
      <c r="E200" s="197">
        <f>+E98</f>
        <v>11790</v>
      </c>
      <c r="F200" s="197">
        <f>+F98</f>
        <v>12929</v>
      </c>
    </row>
    <row r="201" spans="1:6" x14ac:dyDescent="0.3">
      <c r="A201" s="203" t="s">
        <v>82</v>
      </c>
      <c r="B201" s="196"/>
      <c r="C201" s="197">
        <f t="shared" ref="C201:D201" si="2">+C196</f>
        <v>-9217.2344530000009</v>
      </c>
      <c r="D201" s="197">
        <f t="shared" si="2"/>
        <v>-9254.2896089999995</v>
      </c>
      <c r="E201" s="197">
        <f t="shared" ref="E201:F201" si="3">+E196</f>
        <v>-9659.9573766000012</v>
      </c>
      <c r="F201" s="197">
        <f t="shared" si="3"/>
        <v>-10328</v>
      </c>
    </row>
    <row r="202" spans="1:6" ht="15" thickBot="1" x14ac:dyDescent="0.35">
      <c r="A202" s="203" t="s">
        <v>83</v>
      </c>
      <c r="B202" s="196"/>
      <c r="C202" s="200">
        <f t="shared" ref="C202:D202" si="4">SUM(C200:C201)</f>
        <v>1943.7655469999991</v>
      </c>
      <c r="D202" s="200">
        <f t="shared" si="4"/>
        <v>1787.7103910000005</v>
      </c>
      <c r="E202" s="200">
        <f t="shared" ref="E202:F202" si="5">SUM(E200:E201)</f>
        <v>2130.0426233999988</v>
      </c>
      <c r="F202" s="200">
        <f t="shared" si="5"/>
        <v>2601</v>
      </c>
    </row>
    <row r="203" spans="1:6" s="13" customFormat="1" ht="15" thickTop="1" x14ac:dyDescent="0.3">
      <c r="A203" s="203" t="s">
        <v>499</v>
      </c>
      <c r="B203" s="204"/>
      <c r="C203" s="205">
        <f>+C202+'5 BS Adjusted'!D107</f>
        <v>0</v>
      </c>
      <c r="D203" s="205">
        <f>+D202+'5 BS Adjusted'!E107</f>
        <v>0</v>
      </c>
      <c r="E203" s="205">
        <f>+E202+'5 BS Adjusted'!F107</f>
        <v>0</v>
      </c>
      <c r="F203" s="205">
        <f>+F202+'5 BS Adjusted'!G107</f>
        <v>0</v>
      </c>
    </row>
  </sheetData>
  <pageMargins left="0.7" right="0.7" top="0.75" bottom="0.75" header="0.3" footer="0.3"/>
  <pageSetup scale="69"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G124"/>
  <sheetViews>
    <sheetView zoomScale="110" zoomScaleNormal="110" workbookViewId="0">
      <pane xSplit="1" ySplit="3" topLeftCell="B34" activePane="bottomRight" state="frozen"/>
      <selection activeCell="H23" sqref="H23"/>
      <selection pane="topRight" activeCell="H23" sqref="H23"/>
      <selection pane="bottomLeft" activeCell="H23" sqref="H23"/>
      <selection pane="bottomRight" activeCell="H23" sqref="H23"/>
    </sheetView>
  </sheetViews>
  <sheetFormatPr defaultColWidth="8.77734375" defaultRowHeight="14.4" x14ac:dyDescent="0.3"/>
  <cols>
    <col min="1" max="1" width="68.21875" style="14" bestFit="1" customWidth="1"/>
    <col min="2" max="2" width="9.88671875" style="14" bestFit="1" customWidth="1"/>
    <col min="3" max="3" width="8.77734375" style="14" bestFit="1" customWidth="1"/>
    <col min="4" max="6" width="10.77734375" style="14" bestFit="1" customWidth="1"/>
    <col min="7" max="16384" width="8.77734375" style="14"/>
  </cols>
  <sheetData>
    <row r="1" spans="1:7" x14ac:dyDescent="0.3">
      <c r="A1" s="13" t="str">
        <f>+'3 BS Reported'!A1</f>
        <v>Kellogg</v>
      </c>
      <c r="B1" s="74"/>
      <c r="C1" s="74"/>
      <c r="D1" s="74"/>
      <c r="E1" s="74"/>
      <c r="F1" s="74"/>
      <c r="G1" s="74"/>
    </row>
    <row r="2" spans="1:7" x14ac:dyDescent="0.3">
      <c r="A2" s="13"/>
      <c r="B2" s="191" t="s">
        <v>80</v>
      </c>
      <c r="C2" s="74"/>
      <c r="D2" s="74"/>
      <c r="E2" s="74"/>
      <c r="F2" s="74"/>
      <c r="G2" s="74"/>
    </row>
    <row r="3" spans="1:7" ht="15" thickBot="1" x14ac:dyDescent="0.35">
      <c r="A3" s="13" t="str">
        <f>+'3 BS Reported'!A3</f>
        <v>Amounts in millions</v>
      </c>
      <c r="B3" s="191" t="s">
        <v>81</v>
      </c>
      <c r="C3" s="149">
        <f>+'5 IS Adjusted'!D3</f>
        <v>42371</v>
      </c>
      <c r="D3" s="149">
        <f>+'5 IS Adjusted'!E3</f>
        <v>42735</v>
      </c>
      <c r="E3" s="149">
        <f>+'5 IS Adjusted'!F3</f>
        <v>43099</v>
      </c>
      <c r="F3" s="149">
        <f>+'5 IS Adjusted'!G3</f>
        <v>43463</v>
      </c>
      <c r="G3" s="74"/>
    </row>
    <row r="4" spans="1:7" x14ac:dyDescent="0.3">
      <c r="C4" s="33"/>
      <c r="D4" s="33"/>
      <c r="E4" s="33"/>
      <c r="F4" s="33"/>
    </row>
    <row r="5" spans="1:7" x14ac:dyDescent="0.3">
      <c r="A5" s="249" t="s">
        <v>402</v>
      </c>
      <c r="B5" s="248" t="str">
        <f>IF(IFERROR(VLOOKUP(A5,'5 IS Adjusted'!A:C,2,),"")&gt;"",IFERROR(VLOOKUP(A5,'5 IS Adjusted'!A:C,2,),""),IFERROR(VLOOKUP(A5,'5 IS Adjusted'!A:C,3,),""))</f>
        <v>Operating</v>
      </c>
      <c r="C5" s="250">
        <f>IF($B5="Operating",+'5 IS Adjusted'!D5,"")</f>
        <v>2992</v>
      </c>
      <c r="D5" s="250">
        <f>IF($B5="Operating",+'5 IS Adjusted'!E5,"")</f>
        <v>2917</v>
      </c>
      <c r="E5" s="250">
        <f>IF($B5="Operating",+'5 IS Adjusted'!F5,"")</f>
        <v>2709</v>
      </c>
      <c r="F5" s="250">
        <f>IF($B5="Operating",+'5 IS Adjusted'!G5,"")</f>
        <v>2643</v>
      </c>
    </row>
    <row r="6" spans="1:7" x14ac:dyDescent="0.3">
      <c r="A6" s="249" t="s">
        <v>403</v>
      </c>
      <c r="B6" s="248" t="str">
        <f>IF(IFERROR(VLOOKUP(A6,'5 IS Adjusted'!A:C,2,),"")&gt;"",IFERROR(VLOOKUP(A6,'5 IS Adjusted'!A:C,2,),""),IFERROR(VLOOKUP(A6,'5 IS Adjusted'!A:C,3,),""))</f>
        <v>Operating</v>
      </c>
      <c r="C6" s="250">
        <f>IF($B6="Operating",+'5 IS Adjusted'!D6,"")</f>
        <v>3234</v>
      </c>
      <c r="D6" s="250">
        <f>IF($B6="Operating",+'5 IS Adjusted'!E6,"")</f>
        <v>3197</v>
      </c>
      <c r="E6" s="250">
        <f>IF($B6="Operating",+'5 IS Adjusted'!F6,"")</f>
        <v>3110</v>
      </c>
      <c r="F6" s="250">
        <f>IF($B6="Operating",+'5 IS Adjusted'!G6,"")</f>
        <v>2957</v>
      </c>
    </row>
    <row r="7" spans="1:7" x14ac:dyDescent="0.3">
      <c r="A7" s="249" t="s">
        <v>455</v>
      </c>
      <c r="B7" s="248" t="str">
        <f>IF(IFERROR(VLOOKUP(A7,'5 IS Adjusted'!A:C,2,),"")&gt;"",IFERROR(VLOOKUP(A7,'5 IS Adjusted'!A:C,2,),""),IFERROR(VLOOKUP(A7,'5 IS Adjusted'!A:C,3,),""))</f>
        <v>Operating</v>
      </c>
      <c r="C7" s="250">
        <f>IF($B7="Operating",+'5 IS Adjusted'!D7,"")</f>
        <v>1181</v>
      </c>
      <c r="D7" s="250">
        <f>IF($B7="Operating",+'5 IS Adjusted'!E7,"")</f>
        <v>1207</v>
      </c>
      <c r="E7" s="250">
        <f>IF($B7="Operating",+'5 IS Adjusted'!F7,"")</f>
        <v>1242</v>
      </c>
      <c r="F7" s="250">
        <f>IF($B7="Operating",+'5 IS Adjusted'!G7,"")</f>
        <v>1235</v>
      </c>
    </row>
    <row r="8" spans="1:7" x14ac:dyDescent="0.3">
      <c r="A8" s="249" t="s">
        <v>405</v>
      </c>
      <c r="B8" s="248" t="str">
        <f>IF(IFERROR(VLOOKUP(A8,'5 IS Adjusted'!A:C,2,),"")&gt;"",IFERROR(VLOOKUP(A8,'5 IS Adjusted'!A:C,2,),""),IFERROR(VLOOKUP(A8,'5 IS Adjusted'!A:C,3,),""))</f>
        <v>Operating</v>
      </c>
      <c r="C8" s="250">
        <f>IF($B8="Operating",+'5 IS Adjusted'!D8,"")</f>
        <v>1687</v>
      </c>
      <c r="D8" s="250">
        <f>IF($B8="Operating",+'5 IS Adjusted'!E8,"")</f>
        <v>1593</v>
      </c>
      <c r="E8" s="250">
        <f>IF($B8="Operating",+'5 IS Adjusted'!F8,"")</f>
        <v>1612</v>
      </c>
      <c r="F8" s="250">
        <f>IF($B8="Operating",+'5 IS Adjusted'!G8,"")</f>
        <v>1853</v>
      </c>
    </row>
    <row r="9" spans="1:7" x14ac:dyDescent="0.3">
      <c r="A9" s="249" t="s">
        <v>406</v>
      </c>
      <c r="B9" s="248" t="str">
        <f>IF(IFERROR(VLOOKUP(A9,'5 IS Adjusted'!A:C,2,),"")&gt;"",IFERROR(VLOOKUP(A9,'5 IS Adjusted'!A:C,2,),""),IFERROR(VLOOKUP(A9,'5 IS Adjusted'!A:C,3,),""))</f>
        <v>Operating</v>
      </c>
      <c r="C9" s="250">
        <f>IF($B9="Operating",+'5 IS Adjusted'!D9,"")</f>
        <v>2497</v>
      </c>
      <c r="D9" s="250">
        <f>IF($B9="Operating",+'5 IS Adjusted'!E9,"")</f>
        <v>2383</v>
      </c>
      <c r="E9" s="250">
        <f>IF($B9="Operating",+'5 IS Adjusted'!F9,"")</f>
        <v>2291</v>
      </c>
      <c r="F9" s="250">
        <f>IF($B9="Operating",+'5 IS Adjusted'!G9,"")</f>
        <v>2395</v>
      </c>
    </row>
    <row r="10" spans="1:7" x14ac:dyDescent="0.3">
      <c r="A10" s="249" t="s">
        <v>407</v>
      </c>
      <c r="B10" s="248" t="str">
        <f>IF(IFERROR(VLOOKUP(A10,'5 IS Adjusted'!A:C,2,),"")&gt;"",IFERROR(VLOOKUP(A10,'5 IS Adjusted'!A:C,2,),""),IFERROR(VLOOKUP(A10,'5 IS Adjusted'!A:C,3,),""))</f>
        <v>Operating</v>
      </c>
      <c r="C10" s="250">
        <f>IF($B10="Operating",+'5 IS Adjusted'!D10,"")</f>
        <v>1015</v>
      </c>
      <c r="D10" s="250">
        <f>IF($B10="Operating",+'5 IS Adjusted'!E10,"")</f>
        <v>772</v>
      </c>
      <c r="E10" s="250">
        <f>IF($B10="Operating",+'5 IS Adjusted'!F10,"")</f>
        <v>944</v>
      </c>
      <c r="F10" s="250">
        <f>IF($B10="Operating",+'5 IS Adjusted'!G10,"")</f>
        <v>947</v>
      </c>
    </row>
    <row r="11" spans="1:7" x14ac:dyDescent="0.3">
      <c r="A11" s="249" t="s">
        <v>408</v>
      </c>
      <c r="B11" s="248" t="str">
        <f>IF(IFERROR(VLOOKUP(A11,'5 IS Adjusted'!A:C,2,),"")&gt;"",IFERROR(VLOOKUP(A11,'5 IS Adjusted'!A:C,2,),""),IFERROR(VLOOKUP(A11,'5 IS Adjusted'!A:C,3,),""))</f>
        <v>Operating</v>
      </c>
      <c r="C11" s="250">
        <f>IF($B11="Operating",+'5 IS Adjusted'!D11,"")</f>
        <v>919</v>
      </c>
      <c r="D11" s="250">
        <f>IF($B11="Operating",+'5 IS Adjusted'!E11,"")</f>
        <v>896</v>
      </c>
      <c r="E11" s="250">
        <f>IF($B11="Operating",+'5 IS Adjusted'!F11,"")</f>
        <v>946</v>
      </c>
      <c r="F11" s="250">
        <f>IF($B11="Operating",+'5 IS Adjusted'!G11,"")</f>
        <v>1517</v>
      </c>
      <c r="G11" s="28"/>
    </row>
    <row r="12" spans="1:7" x14ac:dyDescent="0.3">
      <c r="A12" s="249" t="s">
        <v>143</v>
      </c>
      <c r="B12" s="248" t="str">
        <f>IF(IFERROR(VLOOKUP(A12,'5 IS Adjusted'!A:C,2,),"")&gt;"",IFERROR(VLOOKUP(A12,'5 IS Adjusted'!A:C,2,),""),IFERROR(VLOOKUP(A12,'5 IS Adjusted'!A:C,3,),""))</f>
        <v>Operating</v>
      </c>
      <c r="C12" s="250"/>
      <c r="D12" s="250">
        <f>IF($B12="Operating",+'5 IS Adjusted'!E12,"")</f>
        <v>-8131</v>
      </c>
      <c r="E12" s="250">
        <f>IF($B12="Operating",+'5 IS Adjusted'!F12,"")</f>
        <v>-8155</v>
      </c>
      <c r="F12" s="250">
        <f>IF($B12="Operating",+'5 IS Adjusted'!G12,"")</f>
        <v>-8821</v>
      </c>
    </row>
    <row r="13" spans="1:7" s="74" customFormat="1" x14ac:dyDescent="0.3">
      <c r="A13" s="247" t="s">
        <v>166</v>
      </c>
      <c r="B13" s="251"/>
      <c r="C13" s="253"/>
      <c r="D13" s="253">
        <f>SUM(D5:D12)</f>
        <v>4834</v>
      </c>
      <c r="E13" s="253">
        <f>SUM(E5:E12)</f>
        <v>4699</v>
      </c>
      <c r="F13" s="253">
        <f>SUM(F5:F12)</f>
        <v>4726</v>
      </c>
    </row>
    <row r="14" spans="1:7" x14ac:dyDescent="0.3">
      <c r="A14" s="249" t="s">
        <v>266</v>
      </c>
      <c r="B14" s="248" t="str">
        <f>IF(IFERROR(VLOOKUP(A14,'5 IS Adjusted'!A:C,2,),"")&gt;"",IFERROR(VLOOKUP(A14,'5 IS Adjusted'!A:C,2,),""),IFERROR(VLOOKUP(A14,'5 IS Adjusted'!A:C,3,),""))</f>
        <v>Operating</v>
      </c>
      <c r="C14" s="250"/>
      <c r="D14" s="250">
        <f>IF($B14="Operating",+'5 IS Adjusted'!E14,"")</f>
        <v>-39</v>
      </c>
      <c r="E14" s="250">
        <f>IF($B14="Operating",+'5 IS Adjusted'!F14,"")</f>
        <v>-41</v>
      </c>
      <c r="F14" s="250">
        <f>IF($B14="Operating",+'5 IS Adjusted'!G14,"")</f>
        <v>-38</v>
      </c>
    </row>
    <row r="15" spans="1:7" x14ac:dyDescent="0.3">
      <c r="A15" s="249" t="s">
        <v>84</v>
      </c>
      <c r="B15" s="248" t="str">
        <f>IF(IFERROR(VLOOKUP(A15,'5 IS Adjusted'!A:C,2,),"")&gt;"",IFERROR(VLOOKUP(A15,'5 IS Adjusted'!A:C,2,),""),IFERROR(VLOOKUP(A15,'5 IS Adjusted'!A:C,3,),""))</f>
        <v>Operating</v>
      </c>
      <c r="C15" s="250"/>
      <c r="D15" s="250">
        <f>IF($B15="Operating",+'5 IS Adjusted'!E15,"")</f>
        <v>-98</v>
      </c>
      <c r="E15" s="250">
        <f>IF($B15="Operating",+'5 IS Adjusted'!F15,"")</f>
        <v>-96</v>
      </c>
      <c r="F15" s="250">
        <f>IF($B15="Operating",+'5 IS Adjusted'!G15,"")</f>
        <v>-87</v>
      </c>
    </row>
    <row r="16" spans="1:7" x14ac:dyDescent="0.3">
      <c r="A16" s="249" t="s">
        <v>85</v>
      </c>
      <c r="B16" s="248" t="str">
        <f>IF(IFERROR(VLOOKUP(A16,'5 IS Adjusted'!A:C,2,),"")&gt;"",IFERROR(VLOOKUP(A16,'5 IS Adjusted'!A:C,2,),""),IFERROR(VLOOKUP(A16,'5 IS Adjusted'!A:C,3,),""))</f>
        <v>Financial</v>
      </c>
      <c r="C16" s="250"/>
      <c r="D16" s="250" t="str">
        <f>IF($B16="Operating",+'5 IS Adjusted'!E16,"")</f>
        <v/>
      </c>
      <c r="E16" s="250" t="str">
        <f>IF($B16="Operating",+'5 IS Adjusted'!F16,"")</f>
        <v/>
      </c>
      <c r="F16" s="250" t="str">
        <f>IF($B16="Operating",+'5 IS Adjusted'!G16,"")</f>
        <v/>
      </c>
    </row>
    <row r="17" spans="1:6" x14ac:dyDescent="0.3">
      <c r="A17" s="249" t="s">
        <v>86</v>
      </c>
      <c r="B17" s="248" t="str">
        <f>IF(IFERROR(VLOOKUP(A17,'5 IS Adjusted'!A:C,2,),"")&gt;"",IFERROR(VLOOKUP(A17,'5 IS Adjusted'!A:C,2,),""),IFERROR(VLOOKUP(A17,'5 IS Adjusted'!A:C,3,),""))</f>
        <v>Financial</v>
      </c>
      <c r="C17" s="250"/>
      <c r="D17" s="250" t="str">
        <f>IF($B17="Operating",+'5 IS Adjusted'!E17,"")</f>
        <v/>
      </c>
      <c r="E17" s="250" t="str">
        <f>IF($B17="Operating",+'5 IS Adjusted'!F17,"")</f>
        <v/>
      </c>
      <c r="F17" s="250" t="str">
        <f>IF($B17="Operating",+'5 IS Adjusted'!G17,"")</f>
        <v/>
      </c>
    </row>
    <row r="18" spans="1:6" x14ac:dyDescent="0.3">
      <c r="A18" s="249" t="s">
        <v>409</v>
      </c>
      <c r="B18" s="248" t="str">
        <f>IF(IFERROR(VLOOKUP(A18,'5 IS Adjusted'!A:C,2,),"")&gt;"",IFERROR(VLOOKUP(A18,'5 IS Adjusted'!A:C,2,),""),IFERROR(VLOOKUP(A18,'5 IS Adjusted'!A:C,3,),""))</f>
        <v>Financial</v>
      </c>
      <c r="C18" s="250"/>
      <c r="D18" s="250" t="str">
        <f>IF($B18="Operating",+'5 IS Adjusted'!E18,"")</f>
        <v/>
      </c>
      <c r="E18" s="250" t="str">
        <f>IF($B18="Operating",+'5 IS Adjusted'!F18,"")</f>
        <v/>
      </c>
      <c r="F18" s="250" t="str">
        <f>IF($B18="Operating",+'5 IS Adjusted'!G18,"")</f>
        <v/>
      </c>
    </row>
    <row r="19" spans="1:6" x14ac:dyDescent="0.3">
      <c r="A19" s="249" t="s">
        <v>87</v>
      </c>
      <c r="B19" s="248" t="str">
        <f>IF(IFERROR(VLOOKUP(A19,'5 IS Adjusted'!A:C,2,),"")&gt;"",IFERROR(VLOOKUP(A19,'5 IS Adjusted'!A:C,2,),""),IFERROR(VLOOKUP(A19,'5 IS Adjusted'!A:C,3,),""))</f>
        <v>Financial</v>
      </c>
      <c r="C19" s="250"/>
      <c r="D19" s="250" t="str">
        <f>IF($B19="Operating",+'5 IS Adjusted'!E19,"")</f>
        <v/>
      </c>
      <c r="E19" s="250" t="str">
        <f>IF($B19="Operating",+'5 IS Adjusted'!F19,"")</f>
        <v/>
      </c>
      <c r="F19" s="250" t="str">
        <f>IF($B19="Operating",+'5 IS Adjusted'!G19,"")</f>
        <v/>
      </c>
    </row>
    <row r="20" spans="1:6" x14ac:dyDescent="0.3">
      <c r="A20" s="249" t="s">
        <v>410</v>
      </c>
      <c r="B20" s="248" t="str">
        <f>IF(IFERROR(VLOOKUP(A20,'5 IS Adjusted'!A:C,2,),"")&gt;"",IFERROR(VLOOKUP(A20,'5 IS Adjusted'!A:C,2,),""),IFERROR(VLOOKUP(A20,'5 IS Adjusted'!A:C,3,),""))</f>
        <v>Financial</v>
      </c>
      <c r="C20" s="250"/>
      <c r="D20" s="250" t="str">
        <f>IF($B20="Operating",+'5 IS Adjusted'!E20,"")</f>
        <v/>
      </c>
      <c r="E20" s="250" t="str">
        <f>IF($B20="Operating",+'5 IS Adjusted'!F20,"")</f>
        <v/>
      </c>
      <c r="F20" s="250" t="str">
        <f>IF($B20="Operating",+'5 IS Adjusted'!G20,"")</f>
        <v/>
      </c>
    </row>
    <row r="21" spans="1:6" x14ac:dyDescent="0.3">
      <c r="A21" s="249" t="s">
        <v>411</v>
      </c>
      <c r="B21" s="248" t="str">
        <f>IF(IFERROR(VLOOKUP(A21,'5 IS Adjusted'!A:C,2,),"")&gt;"",IFERROR(VLOOKUP(A21,'5 IS Adjusted'!A:C,2,),""),IFERROR(VLOOKUP(A21,'5 IS Adjusted'!A:C,3,),""))</f>
        <v>Operating</v>
      </c>
      <c r="C21" s="250"/>
      <c r="D21" s="250">
        <f>IF($B21="Operating",+'5 IS Adjusted'!E21,"")</f>
        <v>-36</v>
      </c>
      <c r="E21" s="250">
        <f>IF($B21="Operating",+'5 IS Adjusted'!F21,"")</f>
        <v>-34</v>
      </c>
      <c r="F21" s="250">
        <f>IF($B21="Operating",+'5 IS Adjusted'!G21,"")</f>
        <v>-27</v>
      </c>
    </row>
    <row r="22" spans="1:6" x14ac:dyDescent="0.3">
      <c r="A22" s="249" t="s">
        <v>412</v>
      </c>
      <c r="B22" s="248" t="str">
        <f>IF(IFERROR(VLOOKUP(A22,'5 IS Adjusted'!A:C,2,),"")&gt;"",IFERROR(VLOOKUP(A22,'5 IS Adjusted'!A:C,2,),""),IFERROR(VLOOKUP(A22,'5 IS Adjusted'!A:C,3,),""))</f>
        <v>Operating</v>
      </c>
      <c r="C22" s="250"/>
      <c r="D22" s="250">
        <f>IF($B22="Operating",+'5 IS Adjusted'!E22,"")</f>
        <v>-21</v>
      </c>
      <c r="E22" s="250">
        <f>IF($B22="Operating",+'5 IS Adjusted'!F22,"")</f>
        <v>-18</v>
      </c>
      <c r="F22" s="250">
        <f>IF($B22="Operating",+'5 IS Adjusted'!G22,"")</f>
        <v>-18</v>
      </c>
    </row>
    <row r="23" spans="1:6" x14ac:dyDescent="0.3">
      <c r="A23" s="249" t="s">
        <v>418</v>
      </c>
      <c r="B23" s="248" t="str">
        <f>IF(IFERROR(VLOOKUP(A23,'5 IS Adjusted'!A:C,2,),"")&gt;"",IFERROR(VLOOKUP(A23,'5 IS Adjusted'!A:C,2,),""),IFERROR(VLOOKUP(A23,'5 IS Adjusted'!A:C,3,),""))</f>
        <v>Operating</v>
      </c>
      <c r="C23" s="250"/>
      <c r="D23" s="250">
        <f>IF($B23="Operating",+'5 IS Adjusted'!E23,"")</f>
        <v>-17</v>
      </c>
      <c r="E23" s="250">
        <f>IF($B23="Operating",+'5 IS Adjusted'!F23,"")</f>
        <v>-16</v>
      </c>
      <c r="F23" s="250">
        <f>IF($B23="Operating",+'5 IS Adjusted'!G23,"")</f>
        <v>-11</v>
      </c>
    </row>
    <row r="24" spans="1:6" x14ac:dyDescent="0.3">
      <c r="A24" s="249" t="s">
        <v>419</v>
      </c>
      <c r="B24" s="248" t="str">
        <f>IF(IFERROR(VLOOKUP(A24,'5 IS Adjusted'!A:C,2,),"")&gt;"",IFERROR(VLOOKUP(A24,'5 IS Adjusted'!A:C,2,),""),IFERROR(VLOOKUP(A24,'5 IS Adjusted'!A:C,3,),""))</f>
        <v>Operating</v>
      </c>
      <c r="C24" s="250"/>
      <c r="D24" s="250">
        <f>IF($B24="Operating",+'5 IS Adjusted'!E24,"")</f>
        <v>-7</v>
      </c>
      <c r="E24" s="250">
        <f>IF($B24="Operating",+'5 IS Adjusted'!F24,"")</f>
        <v>-6</v>
      </c>
      <c r="F24" s="250">
        <f>IF($B24="Operating",+'5 IS Adjusted'!G24,"")</f>
        <v>-3</v>
      </c>
    </row>
    <row r="25" spans="1:6" x14ac:dyDescent="0.3">
      <c r="A25" s="249" t="s">
        <v>294</v>
      </c>
      <c r="B25" s="248" t="str">
        <f>IF(IFERROR(VLOOKUP(A25,'5 IS Adjusted'!A:C,2,),"")&gt;"",IFERROR(VLOOKUP(A25,'5 IS Adjusted'!A:C,2,),""),IFERROR(VLOOKUP(A25,'5 IS Adjusted'!A:C,3,),""))</f>
        <v>Operating</v>
      </c>
      <c r="C25" s="250"/>
      <c r="D25" s="250">
        <f>IF($B25="Operating",+'5 IS Adjusted'!E25,"")</f>
        <v>-182</v>
      </c>
      <c r="E25" s="250">
        <f>IF($B25="Operating",+'5 IS Adjusted'!F25,"")</f>
        <v>-148</v>
      </c>
      <c r="F25" s="250">
        <f>IF($B25="Operating",+'5 IS Adjusted'!G25,"")</f>
        <v>-154</v>
      </c>
    </row>
    <row r="26" spans="1:6" x14ac:dyDescent="0.3">
      <c r="A26" s="249" t="s">
        <v>167</v>
      </c>
      <c r="B26" s="248" t="str">
        <f>IF(IFERROR(VLOOKUP(A26,'5 IS Adjusted'!A:C,2,),"")&gt;"",IFERROR(VLOOKUP(A26,'5 IS Adjusted'!A:C,2,),""),IFERROR(VLOOKUP(A26,'5 IS Adjusted'!A:C,3,),""))</f>
        <v>Operating</v>
      </c>
      <c r="C26" s="250"/>
      <c r="D26" s="250">
        <f>IF($B26="Operating",+'5 IS Adjusted'!E26,"")</f>
        <v>-735</v>
      </c>
      <c r="E26" s="250">
        <f>IF($B26="Operating",+'5 IS Adjusted'!F26,"")</f>
        <v>-732</v>
      </c>
      <c r="F26" s="250">
        <f>IF($B26="Operating",+'5 IS Adjusted'!G26,"")</f>
        <v>-752</v>
      </c>
    </row>
    <row r="27" spans="1:6" x14ac:dyDescent="0.3">
      <c r="A27" s="249" t="s">
        <v>335</v>
      </c>
      <c r="B27" s="248" t="str">
        <f>IF(IFERROR(VLOOKUP(A27,'5 IS Adjusted'!A:C,2,),"")&gt;"",IFERROR(VLOOKUP(A27,'5 IS Adjusted'!A:C,2,),""),IFERROR(VLOOKUP(A27,'5 IS Adjusted'!A:C,3,),""))</f>
        <v>Operating</v>
      </c>
      <c r="C27" s="250"/>
      <c r="D27" s="250">
        <f>IF($B27="Operating",+'5 IS Adjusted'!E27,"")</f>
        <v>-9</v>
      </c>
      <c r="E27" s="250">
        <f>IF($B27="Operating",+'5 IS Adjusted'!F27,"")</f>
        <v>-14</v>
      </c>
      <c r="F27" s="250">
        <f>IF($B27="Operating",+'5 IS Adjusted'!G27,"")</f>
        <v>-4</v>
      </c>
    </row>
    <row r="28" spans="1:6" x14ac:dyDescent="0.3">
      <c r="A28" s="249" t="s">
        <v>78</v>
      </c>
      <c r="B28" s="248" t="str">
        <f>IF(IFERROR(VLOOKUP(A28,'5 IS Adjusted'!A:C,2,),"")&gt;"",IFERROR(VLOOKUP(A28,'5 IS Adjusted'!A:C,2,),""),IFERROR(VLOOKUP(A28,'5 IS Adjusted'!A:C,3,),""))</f>
        <v>Operating</v>
      </c>
      <c r="C28" s="250"/>
      <c r="D28" s="250">
        <f>IF($B28="Operating",+'5 IS Adjusted'!E28,"")</f>
        <v>-159</v>
      </c>
      <c r="E28" s="250">
        <f>IF($B28="Operating",+'5 IS Adjusted'!F28,"")</f>
        <v>-180</v>
      </c>
      <c r="F28" s="250">
        <f>IF($B28="Operating",+'5 IS Adjusted'!G28,"")</f>
        <v>-119</v>
      </c>
    </row>
    <row r="29" spans="1:6" x14ac:dyDescent="0.3">
      <c r="A29" s="249" t="s">
        <v>336</v>
      </c>
      <c r="B29" s="248" t="str">
        <f>IF(IFERROR(VLOOKUP(A29,'5 IS Adjusted'!A:C,2,),"")&gt;"",IFERROR(VLOOKUP(A29,'5 IS Adjusted'!A:C,2,),""),IFERROR(VLOOKUP(A29,'5 IS Adjusted'!A:C,3,),""))</f>
        <v>Operating</v>
      </c>
      <c r="C29" s="250"/>
      <c r="D29" s="250">
        <f>IF($B29="Operating",+'5 IS Adjusted'!E29,"")</f>
        <v>-1872</v>
      </c>
      <c r="E29" s="250">
        <f>IF($B29="Operating",+'5 IS Adjusted'!F29,"")</f>
        <v>-2397</v>
      </c>
      <c r="F29" s="250">
        <f>IF($B29="Operating",+'5 IS Adjusted'!G29,"")</f>
        <v>-1742</v>
      </c>
    </row>
    <row r="30" spans="1:6" s="74" customFormat="1" x14ac:dyDescent="0.3">
      <c r="A30" s="247" t="s">
        <v>151</v>
      </c>
      <c r="B30" s="251"/>
      <c r="C30" s="253"/>
      <c r="D30" s="253"/>
      <c r="E30" s="253"/>
      <c r="F30" s="253"/>
    </row>
    <row r="31" spans="1:6" x14ac:dyDescent="0.3">
      <c r="A31" s="249" t="s">
        <v>3</v>
      </c>
      <c r="B31" s="248" t="str">
        <f>IF(IFERROR(VLOOKUP(A31,'5 IS Adjusted'!A:C,2,),"")&gt;"",IFERROR(VLOOKUP(A31,'5 IS Adjusted'!A:C,2,),""),IFERROR(VLOOKUP(A31,'5 IS Adjusted'!A:C,3,),""))</f>
        <v>Financial</v>
      </c>
      <c r="C31" s="250"/>
      <c r="D31" s="250" t="str">
        <f>IF($B31="Operating",+'5 IS Adjusted'!E31,"")</f>
        <v/>
      </c>
      <c r="E31" s="250" t="str">
        <f>IF($B31="Operating",+'5 IS Adjusted'!F31,"")</f>
        <v/>
      </c>
      <c r="F31" s="250" t="str">
        <f>IF($B31="Operating",+'5 IS Adjusted'!G31,"")</f>
        <v/>
      </c>
    </row>
    <row r="32" spans="1:6" x14ac:dyDescent="0.3">
      <c r="A32" s="249" t="s">
        <v>413</v>
      </c>
      <c r="B32" s="248" t="str">
        <f>IF(IFERROR(VLOOKUP(A32,'5 IS Adjusted'!A:C,2,),"")&gt;"",IFERROR(VLOOKUP(A32,'5 IS Adjusted'!A:C,2,),""),IFERROR(VLOOKUP(A32,'5 IS Adjusted'!A:C,3,),""))</f>
        <v>Financial</v>
      </c>
      <c r="C32" s="250"/>
      <c r="D32" s="250" t="str">
        <f>IF($B32="Operating",+'5 IS Adjusted'!E32,"")</f>
        <v/>
      </c>
      <c r="E32" s="250" t="str">
        <f>IF($B32="Operating",+'5 IS Adjusted'!F32,"")</f>
        <v/>
      </c>
      <c r="F32" s="250" t="str">
        <f>IF($B32="Operating",+'5 IS Adjusted'!G32,"")</f>
        <v/>
      </c>
    </row>
    <row r="33" spans="1:6" x14ac:dyDescent="0.3">
      <c r="A33" s="249" t="s">
        <v>414</v>
      </c>
      <c r="B33" s="248" t="str">
        <f>IF(IFERROR(VLOOKUP(A33,'5 IS Adjusted'!A:C,2,),"")&gt;"",IFERROR(VLOOKUP(A33,'5 IS Adjusted'!A:C,2,),""),IFERROR(VLOOKUP(A33,'5 IS Adjusted'!A:C,3,),""))</f>
        <v>Financial</v>
      </c>
      <c r="C33" s="250"/>
      <c r="D33" s="250" t="str">
        <f>IF($B33="Operating",+'5 IS Adjusted'!E33,"")</f>
        <v/>
      </c>
      <c r="E33" s="250" t="str">
        <f>IF($B33="Operating",+'5 IS Adjusted'!F33,"")</f>
        <v/>
      </c>
      <c r="F33" s="250" t="str">
        <f>IF($B33="Operating",+'5 IS Adjusted'!G33,"")</f>
        <v/>
      </c>
    </row>
    <row r="34" spans="1:6" x14ac:dyDescent="0.3">
      <c r="A34" s="249" t="s">
        <v>415</v>
      </c>
      <c r="B34" s="248" t="str">
        <f>IF(IFERROR(VLOOKUP(A34,'5 IS Adjusted'!A:C,2,),"")&gt;"",IFERROR(VLOOKUP(A34,'5 IS Adjusted'!A:C,2,),""),IFERROR(VLOOKUP(A34,'5 IS Adjusted'!A:C,3,),""))</f>
        <v>Financial</v>
      </c>
      <c r="C34" s="250"/>
      <c r="D34" s="250" t="str">
        <f>IF($B34="Operating",+'5 IS Adjusted'!E34,"")</f>
        <v/>
      </c>
      <c r="E34" s="250" t="str">
        <f>IF($B34="Operating",+'5 IS Adjusted'!F34,"")</f>
        <v/>
      </c>
      <c r="F34" s="250" t="str">
        <f>IF($B34="Operating",+'5 IS Adjusted'!G34,"")</f>
        <v/>
      </c>
    </row>
    <row r="35" spans="1:6" x14ac:dyDescent="0.3">
      <c r="A35" s="249" t="s">
        <v>416</v>
      </c>
      <c r="B35" s="248" t="str">
        <f>IF(IFERROR(VLOOKUP(A35,'5 IS Adjusted'!A:C,2,),"")&gt;"",IFERROR(VLOOKUP(A35,'5 IS Adjusted'!A:C,2,),""),IFERROR(VLOOKUP(A35,'5 IS Adjusted'!A:C,3,),""))</f>
        <v>Financial</v>
      </c>
      <c r="C35" s="250"/>
      <c r="D35" s="250" t="str">
        <f>IF($B35="Operating",+'5 IS Adjusted'!E35,"")</f>
        <v/>
      </c>
      <c r="E35" s="250" t="str">
        <f>IF($B35="Operating",+'5 IS Adjusted'!F35,"")</f>
        <v/>
      </c>
      <c r="F35" s="250" t="str">
        <f>IF($B35="Operating",+'5 IS Adjusted'!G35,"")</f>
        <v/>
      </c>
    </row>
    <row r="36" spans="1:6" x14ac:dyDescent="0.3">
      <c r="A36" s="249" t="s">
        <v>417</v>
      </c>
      <c r="B36" s="248" t="str">
        <f>IF(IFERROR(VLOOKUP(A36,'5 IS Adjusted'!A:C,2,),"")&gt;"",IFERROR(VLOOKUP(A36,'5 IS Adjusted'!A:C,2,),""),IFERROR(VLOOKUP(A36,'5 IS Adjusted'!A:C,3,),""))</f>
        <v>Financial</v>
      </c>
      <c r="C36" s="250"/>
      <c r="D36" s="250" t="str">
        <f>IF($B36="Operating",+'5 IS Adjusted'!E36,"")</f>
        <v/>
      </c>
      <c r="E36" s="250" t="str">
        <f>IF($B36="Operating",+'5 IS Adjusted'!F36,"")</f>
        <v/>
      </c>
      <c r="F36" s="250" t="str">
        <f>IF($B36="Operating",+'5 IS Adjusted'!G36,"")</f>
        <v/>
      </c>
    </row>
    <row r="37" spans="1:6" x14ac:dyDescent="0.3">
      <c r="A37" s="249" t="s">
        <v>420</v>
      </c>
      <c r="B37" s="248" t="str">
        <f>IF(IFERROR(VLOOKUP(A37,'5 IS Adjusted'!A:C,2,),"")&gt;"",IFERROR(VLOOKUP(A37,'5 IS Adjusted'!A:C,2,),""),IFERROR(VLOOKUP(A37,'5 IS Adjusted'!A:C,3,),""))</f>
        <v>Financial</v>
      </c>
      <c r="C37" s="250"/>
      <c r="D37" s="250" t="str">
        <f>IF($B37="Operating",+'5 IS Adjusted'!E37,"")</f>
        <v/>
      </c>
      <c r="E37" s="250" t="str">
        <f>IF($B37="Operating",+'5 IS Adjusted'!F37,"")</f>
        <v/>
      </c>
      <c r="F37" s="250" t="str">
        <f>IF($B37="Operating",+'5 IS Adjusted'!G37,"")</f>
        <v/>
      </c>
    </row>
    <row r="38" spans="1:6" x14ac:dyDescent="0.3">
      <c r="A38" s="249" t="s">
        <v>421</v>
      </c>
      <c r="B38" s="248" t="str">
        <f>IF(IFERROR(VLOOKUP(A38,'5 IS Adjusted'!A:C,2,),"")&gt;"",IFERROR(VLOOKUP(A38,'5 IS Adjusted'!A:C,2,),""),IFERROR(VLOOKUP(A38,'5 IS Adjusted'!A:C,3,),""))</f>
        <v>Financial</v>
      </c>
      <c r="C38" s="250"/>
      <c r="D38" s="250" t="str">
        <f>IF($B38="Operating",+'5 IS Adjusted'!E38,"")</f>
        <v/>
      </c>
      <c r="E38" s="250" t="str">
        <f>IF($B38="Operating",+'5 IS Adjusted'!F38,"")</f>
        <v/>
      </c>
      <c r="F38" s="250" t="str">
        <f>IF($B38="Operating",+'5 IS Adjusted'!G38,"")</f>
        <v/>
      </c>
    </row>
    <row r="39" spans="1:6" x14ac:dyDescent="0.3">
      <c r="A39" s="249" t="s">
        <v>422</v>
      </c>
      <c r="B39" s="248" t="str">
        <f>IF(IFERROR(VLOOKUP(A39,'5 IS Adjusted'!A:C,2,),"")&gt;"",IFERROR(VLOOKUP(A39,'5 IS Adjusted'!A:C,2,),""),IFERROR(VLOOKUP(A39,'5 IS Adjusted'!A:C,3,),""))</f>
        <v>Financial</v>
      </c>
      <c r="C39" s="250"/>
      <c r="D39" s="250" t="str">
        <f>IF($B39="Operating",+'5 IS Adjusted'!E39,"")</f>
        <v/>
      </c>
      <c r="E39" s="250" t="str">
        <f>IF($B39="Operating",+'5 IS Adjusted'!F39,"")</f>
        <v/>
      </c>
      <c r="F39" s="250" t="str">
        <f>IF($B39="Operating",+'5 IS Adjusted'!G39,"")</f>
        <v/>
      </c>
    </row>
    <row r="40" spans="1:6" x14ac:dyDescent="0.3">
      <c r="A40" s="249" t="s">
        <v>240</v>
      </c>
      <c r="B40" s="248" t="str">
        <f>IF(IFERROR(VLOOKUP(A40,'5 IS Adjusted'!A:C,2,),"")&gt;"",IFERROR(VLOOKUP(A40,'5 IS Adjusted'!A:C,2,),""),IFERROR(VLOOKUP(A40,'5 IS Adjusted'!A:C,3,),""))</f>
        <v>Operating</v>
      </c>
      <c r="C40" s="250"/>
      <c r="D40" s="250">
        <f>IF($B40="Operating",+'5 IS Adjusted'!E40,"")</f>
        <v>-215</v>
      </c>
      <c r="E40" s="250">
        <f>IF($B40="Operating",+'5 IS Adjusted'!F40,"")</f>
        <v>373</v>
      </c>
      <c r="F40" s="250">
        <f>IF($B40="Operating",+'5 IS Adjusted'!G40,"")</f>
        <v>-79</v>
      </c>
    </row>
    <row r="41" spans="1:6" s="74" customFormat="1" x14ac:dyDescent="0.3">
      <c r="A41" s="247" t="s">
        <v>152</v>
      </c>
      <c r="B41" s="251"/>
      <c r="C41" s="253"/>
      <c r="D41" s="253"/>
      <c r="E41" s="253"/>
      <c r="F41" s="253"/>
    </row>
    <row r="42" spans="1:6" x14ac:dyDescent="0.3">
      <c r="A42" s="249" t="s">
        <v>242</v>
      </c>
      <c r="B42" s="248" t="str">
        <f>IF(IFERROR(VLOOKUP(A42,'5 IS Adjusted'!A:C,2,),"")&gt;"",IFERROR(VLOOKUP(A42,'5 IS Adjusted'!A:C,2,),""),IFERROR(VLOOKUP(A42,'5 IS Adjusted'!A:C,3,),""))</f>
        <v>Split</v>
      </c>
      <c r="C42" s="250"/>
      <c r="D42" s="250">
        <f>'5 IS Adjusted'!E42-D102</f>
        <v>-414</v>
      </c>
      <c r="E42" s="250">
        <f>'5 IS Adjusted'!F42-E102</f>
        <v>-317</v>
      </c>
      <c r="F42" s="250">
        <f>'5 IS Adjusted'!G42-F102</f>
        <v>-257</v>
      </c>
    </row>
    <row r="43" spans="1:6" x14ac:dyDescent="0.3">
      <c r="A43" s="249" t="s">
        <v>135</v>
      </c>
      <c r="B43" s="248" t="str">
        <f>IF(IFERROR(VLOOKUP(A43,'5 IS Adjusted'!A:C,2,),"")&gt;"",IFERROR(VLOOKUP(A43,'5 IS Adjusted'!A:C,2,),""),IFERROR(VLOOKUP(A43,'5 IS Adjusted'!A:C,3,),""))</f>
        <v>Financial</v>
      </c>
      <c r="C43" s="250"/>
      <c r="D43" s="250" t="str">
        <f>IF($B43="Operating",+'5 IS Adjusted'!E43,"")</f>
        <v/>
      </c>
      <c r="E43" s="250" t="str">
        <f>IF($B43="Operating",+'5 IS Adjusted'!F43,"")</f>
        <v/>
      </c>
      <c r="F43" s="250" t="str">
        <f>IF($B43="Operating",+'5 IS Adjusted'!G43,"")</f>
        <v/>
      </c>
    </row>
    <row r="44" spans="1:6" x14ac:dyDescent="0.3">
      <c r="A44" s="249" t="s">
        <v>243</v>
      </c>
      <c r="B44" s="248" t="str">
        <f>IF(IFERROR(VLOOKUP(A44,'5 IS Adjusted'!A:C,2,),"")&gt;"",IFERROR(VLOOKUP(A44,'5 IS Adjusted'!A:C,2,),""),IFERROR(VLOOKUP(A44,'5 IS Adjusted'!A:C,3,),""))</f>
        <v>Operating</v>
      </c>
      <c r="C44" s="250"/>
      <c r="D44" s="250">
        <f>IF($B44="Operating",+'5 IS Adjusted'!E44,"")</f>
        <v>1</v>
      </c>
      <c r="E44" s="250">
        <f>IF($B44="Operating",+'5 IS Adjusted'!F44,"")</f>
        <v>7</v>
      </c>
      <c r="F44" s="250">
        <f>IF($B44="Operating",+'5 IS Adjusted'!G44,"")</f>
        <v>196</v>
      </c>
    </row>
    <row r="45" spans="1:6" s="74" customFormat="1" x14ac:dyDescent="0.3">
      <c r="A45" s="247" t="s">
        <v>153</v>
      </c>
      <c r="B45" s="251"/>
      <c r="C45" s="253"/>
      <c r="D45" s="253"/>
      <c r="E45" s="253"/>
      <c r="F45" s="253"/>
    </row>
    <row r="46" spans="1:6" x14ac:dyDescent="0.3">
      <c r="A46" s="249" t="s">
        <v>23</v>
      </c>
      <c r="B46" s="248" t="str">
        <f>IF(IFERROR(VLOOKUP(A46,'5 IS Adjusted'!A:C,2,),"")&gt;"",IFERROR(VLOOKUP(A46,'5 IS Adjusted'!A:C,2,),""),IFERROR(VLOOKUP(A46,'5 IS Adjusted'!A:C,3,),""))</f>
        <v>Financial</v>
      </c>
      <c r="C46" s="250"/>
      <c r="D46" s="250" t="str">
        <f>IF($B46="Operating",+'5 IS Adjusted'!E46,"")</f>
        <v/>
      </c>
      <c r="E46" s="250" t="str">
        <f>IF($B46="Operating",+'5 IS Adjusted'!F46,"")</f>
        <v/>
      </c>
      <c r="F46" s="250" t="str">
        <f>IF($B46="Operating",+'5 IS Adjusted'!G46,"")</f>
        <v/>
      </c>
    </row>
    <row r="47" spans="1:6" s="74" customFormat="1" x14ac:dyDescent="0.3">
      <c r="A47" s="247" t="s">
        <v>244</v>
      </c>
      <c r="B47" s="251"/>
      <c r="C47" s="253"/>
      <c r="D47" s="253"/>
      <c r="E47" s="253"/>
      <c r="F47" s="253"/>
    </row>
    <row r="48" spans="1:6" x14ac:dyDescent="0.3">
      <c r="A48" s="249"/>
      <c r="B48" s="248" t="str">
        <f>IF(IFERROR(VLOOKUP(A48,'5 IS Adjusted'!A:C,2,),"")&gt;"",IFERROR(VLOOKUP(A48,'5 IS Adjusted'!A:C,2,),""),IFERROR(VLOOKUP(A48,'5 IS Adjusted'!A:C,3,),""))</f>
        <v/>
      </c>
      <c r="C48" s="250"/>
      <c r="D48" s="250"/>
      <c r="E48" s="250"/>
      <c r="F48" s="250"/>
    </row>
    <row r="49" spans="1:6" x14ac:dyDescent="0.3">
      <c r="A49" s="247" t="s">
        <v>154</v>
      </c>
      <c r="B49" s="248"/>
      <c r="C49" s="250"/>
      <c r="D49" s="250"/>
      <c r="E49" s="250"/>
      <c r="F49" s="250"/>
    </row>
    <row r="50" spans="1:6" x14ac:dyDescent="0.3">
      <c r="A50" s="249" t="s">
        <v>245</v>
      </c>
      <c r="B50" s="248" t="str">
        <f>IF(IFERROR(VLOOKUP(A50,'5 IS Adjusted'!A:C,2,),"")&gt;"",IFERROR(VLOOKUP(A50,'5 IS Adjusted'!A:C,2,),""),IFERROR(VLOOKUP(A50,'5 IS Adjusted'!A:C,3,),""))</f>
        <v>Operating</v>
      </c>
      <c r="C50" s="250"/>
      <c r="D50" s="250">
        <f>IF($B50="Operating",+'5 IS Adjusted'!E50,"")</f>
        <v>-254</v>
      </c>
      <c r="E50" s="250">
        <f>IF($B50="Operating",+'5 IS Adjusted'!F50,"")</f>
        <v>79</v>
      </c>
      <c r="F50" s="250">
        <f>IF($B50="Operating",+'5 IS Adjusted'!G50,"")</f>
        <v>-48</v>
      </c>
    </row>
    <row r="51" spans="1:6" x14ac:dyDescent="0.3">
      <c r="A51" s="249" t="s">
        <v>246</v>
      </c>
      <c r="B51" s="248" t="str">
        <f>IF(IFERROR(VLOOKUP(A51,'5 IS Adjusted'!A:C,2,),"")&gt;"",IFERROR(VLOOKUP(A51,'5 IS Adjusted'!A:C,2,),""),IFERROR(VLOOKUP(A51,'5 IS Adjusted'!A:C,3,),""))</f>
        <v>Operating</v>
      </c>
      <c r="C51" s="250"/>
      <c r="D51" s="250">
        <f>IF($B51="Operating",+'5 IS Adjusted'!E51,"")</f>
        <v>-28</v>
      </c>
      <c r="E51" s="250">
        <f>IF($B51="Operating",+'5 IS Adjusted'!F51,"")</f>
        <v>6</v>
      </c>
      <c r="F51" s="250">
        <f>IF($B51="Operating",+'5 IS Adjusted'!G51,"")</f>
        <v>8</v>
      </c>
    </row>
    <row r="52" spans="1:6" x14ac:dyDescent="0.3">
      <c r="A52" s="247" t="s">
        <v>247</v>
      </c>
      <c r="B52" s="248" t="str">
        <f>IF(IFERROR(VLOOKUP(A52,'5 IS Adjusted'!A:C,2,),"")&gt;"",IFERROR(VLOOKUP(A52,'5 IS Adjusted'!A:C,2,),""),IFERROR(VLOOKUP(A52,'5 IS Adjusted'!A:C,3,),""))</f>
        <v/>
      </c>
      <c r="C52" s="250"/>
      <c r="D52" s="250" t="str">
        <f>IF($B52="Operating",+'5 IS Adjusted'!E54,"")</f>
        <v/>
      </c>
      <c r="E52" s="250" t="str">
        <f>IF($B52="Operating",+'5 IS Adjusted'!F54,"")</f>
        <v/>
      </c>
      <c r="F52" s="250" t="str">
        <f>IF($B52="Operating",+'5 IS Adjusted'!G54,"")</f>
        <v/>
      </c>
    </row>
    <row r="53" spans="1:6" x14ac:dyDescent="0.3">
      <c r="A53" s="249" t="s">
        <v>446</v>
      </c>
      <c r="B53" s="248" t="str">
        <f>IF(IFERROR(VLOOKUP(A53,'5 IS Adjusted'!A:C,2,),"")&gt;"",IFERROR(VLOOKUP(A53,'5 IS Adjusted'!A:C,2,),""),IFERROR(VLOOKUP(A53,'5 IS Adjusted'!A:C,3,),""))</f>
        <v>Financial</v>
      </c>
      <c r="C53" s="250"/>
      <c r="D53" s="250" t="str">
        <f>IF($B53="Operating",+'5 IS Adjusted'!E53,"")</f>
        <v/>
      </c>
      <c r="E53" s="250" t="str">
        <f>IF($B53="Operating",+'5 IS Adjusted'!F53,"")</f>
        <v/>
      </c>
      <c r="F53" s="250" t="str">
        <f>IF($B53="Operating",+'5 IS Adjusted'!G53,"")</f>
        <v/>
      </c>
    </row>
    <row r="54" spans="1:6" x14ac:dyDescent="0.3">
      <c r="A54" s="249" t="s">
        <v>447</v>
      </c>
      <c r="B54" s="248" t="str">
        <f>IF(IFERROR(VLOOKUP(A54,'5 IS Adjusted'!A:C,2,),"")&gt;"",IFERROR(VLOOKUP(A54,'5 IS Adjusted'!A:C,2,),""),IFERROR(VLOOKUP(A54,'5 IS Adjusted'!A:C,3,),""))</f>
        <v>Operating</v>
      </c>
      <c r="C54" s="250"/>
      <c r="D54" s="250">
        <f>IF($B54="Operating",+'5 IS Adjusted'!E54,"")</f>
        <v>2</v>
      </c>
      <c r="E54" s="250">
        <f>IF($B54="Operating",+'5 IS Adjusted'!F54,"")</f>
        <v>1</v>
      </c>
      <c r="F54" s="250">
        <f>IF($B54="Operating",+'5 IS Adjusted'!G54,"")</f>
        <v>1</v>
      </c>
    </row>
    <row r="55" spans="1:6" x14ac:dyDescent="0.3">
      <c r="A55" s="249" t="s">
        <v>248</v>
      </c>
      <c r="B55" s="248" t="str">
        <f>IF(IFERROR(VLOOKUP(A55,'5 IS Adjusted'!A:C,2,),"")&gt;"",IFERROR(VLOOKUP(A55,'5 IS Adjusted'!A:C,2,),""),IFERROR(VLOOKUP(A55,'5 IS Adjusted'!A:C,3,),""))</f>
        <v>Operating</v>
      </c>
      <c r="C55" s="250"/>
      <c r="D55" s="250">
        <f>IF($B55="Operating",+'5 IS Adjusted'!E55,"")</f>
        <v>63</v>
      </c>
      <c r="E55" s="250">
        <f>IF($B55="Operating",+'5 IS Adjusted'!F55,"")</f>
        <v>0</v>
      </c>
      <c r="F55" s="250">
        <f>IF($B55="Operating",+'5 IS Adjusted'!G55,"")</f>
        <v>0</v>
      </c>
    </row>
    <row r="56" spans="1:6" x14ac:dyDescent="0.3">
      <c r="A56" s="249" t="s">
        <v>33</v>
      </c>
      <c r="B56" s="248" t="str">
        <f>IF(IFERROR(VLOOKUP(A56,'5 IS Adjusted'!A:C,2,),"")&gt;"",IFERROR(VLOOKUP(A56,'5 IS Adjusted'!A:C,2,),""),IFERROR(VLOOKUP(A56,'5 IS Adjusted'!A:C,3,),""))</f>
        <v>Financial</v>
      </c>
      <c r="C56" s="250"/>
      <c r="D56" s="250" t="str">
        <f>IF($B56="Operating",+'5 IS Adjusted'!E56,"")</f>
        <v/>
      </c>
      <c r="E56" s="250" t="str">
        <f>IF($B56="Operating",+'5 IS Adjusted'!F56,"")</f>
        <v/>
      </c>
      <c r="F56" s="250" t="str">
        <f>IF($B56="Operating",+'5 IS Adjusted'!G56,"")</f>
        <v/>
      </c>
    </row>
    <row r="57" spans="1:6" x14ac:dyDescent="0.3">
      <c r="A57" s="247" t="s">
        <v>249</v>
      </c>
      <c r="B57" s="248"/>
      <c r="C57" s="262"/>
      <c r="D57" s="249"/>
      <c r="E57" s="249"/>
      <c r="F57" s="249"/>
    </row>
    <row r="58" spans="1:6" x14ac:dyDescent="0.3">
      <c r="A58" s="249"/>
      <c r="B58" s="248" t="str">
        <f>IF(IFERROR(VLOOKUP(A58,'5 IS Adjusted'!A:C,2,),"")&gt;"",IFERROR(VLOOKUP(A58,'5 IS Adjusted'!A:C,2,),""),IFERROR(VLOOKUP(A58,'5 IS Adjusted'!A:C,3,),""))</f>
        <v/>
      </c>
      <c r="C58" s="263"/>
      <c r="D58" s="250"/>
      <c r="E58" s="250"/>
      <c r="F58" s="250"/>
    </row>
    <row r="59" spans="1:6" s="74" customFormat="1" ht="15" thickBot="1" x14ac:dyDescent="0.35">
      <c r="A59" s="247" t="s">
        <v>197</v>
      </c>
      <c r="B59" s="247"/>
      <c r="C59" s="264"/>
      <c r="D59" s="265">
        <f>SUM(D13:D57)</f>
        <v>814</v>
      </c>
      <c r="E59" s="265">
        <f>SUM(E13:E57)</f>
        <v>1166</v>
      </c>
      <c r="F59" s="265">
        <f>SUM(F13:F57)</f>
        <v>1592</v>
      </c>
    </row>
    <row r="60" spans="1:6" ht="15" thickTop="1" x14ac:dyDescent="0.3">
      <c r="A60" s="133"/>
      <c r="C60" s="23"/>
      <c r="D60" s="28"/>
      <c r="E60" s="28"/>
      <c r="F60" s="28"/>
    </row>
    <row r="61" spans="1:6" x14ac:dyDescent="0.3">
      <c r="C61" s="23"/>
      <c r="D61" s="28"/>
      <c r="E61" s="28"/>
      <c r="F61" s="28"/>
    </row>
    <row r="62" spans="1:6" x14ac:dyDescent="0.3">
      <c r="C62" s="23"/>
      <c r="D62" s="28"/>
      <c r="E62" s="28"/>
      <c r="F62" s="28"/>
    </row>
    <row r="63" spans="1:6" s="74" customFormat="1" x14ac:dyDescent="0.3">
      <c r="A63" s="183"/>
      <c r="B63" s="183"/>
      <c r="C63" s="266">
        <f>+C3</f>
        <v>42371</v>
      </c>
      <c r="D63" s="266">
        <f t="shared" ref="D63:F63" si="0">+D3</f>
        <v>42735</v>
      </c>
      <c r="E63" s="266">
        <f t="shared" si="0"/>
        <v>43099</v>
      </c>
      <c r="F63" s="266">
        <f t="shared" si="0"/>
        <v>43463</v>
      </c>
    </row>
    <row r="64" spans="1:6" x14ac:dyDescent="0.3">
      <c r="A64" s="181"/>
      <c r="B64" s="181"/>
      <c r="C64" s="267"/>
      <c r="D64" s="267"/>
      <c r="E64" s="267"/>
      <c r="F64" s="267"/>
    </row>
    <row r="65" spans="1:6" x14ac:dyDescent="0.3">
      <c r="A65" s="181" t="s">
        <v>402</v>
      </c>
      <c r="B65" s="257" t="str">
        <f>IF(IFERROR(VLOOKUP(A65,'5 IS Adjusted'!A:C,2,),"")&gt;"",IFERROR(VLOOKUP(A65,'5 IS Adjusted'!A:C,2,),""),IFERROR(VLOOKUP(A65,'5 IS Adjusted'!A:C,3,),""))</f>
        <v>Operating</v>
      </c>
      <c r="C65" s="258"/>
      <c r="D65" s="258" t="str">
        <f>IF($B65="Financial",+'5 IS Adjusted'!E5,"")</f>
        <v/>
      </c>
      <c r="E65" s="258" t="str">
        <f>IF($B65="Financial",+'5 IS Adjusted'!F5,"")</f>
        <v/>
      </c>
      <c r="F65" s="258" t="str">
        <f>IF($B65="Financial",+'5 IS Adjusted'!G5,"")</f>
        <v/>
      </c>
    </row>
    <row r="66" spans="1:6" x14ac:dyDescent="0.3">
      <c r="A66" s="181" t="s">
        <v>403</v>
      </c>
      <c r="B66" s="257" t="str">
        <f>IF(IFERROR(VLOOKUP(A66,'5 IS Adjusted'!A:C,2,),"")&gt;"",IFERROR(VLOOKUP(A66,'5 IS Adjusted'!A:C,2,),""),IFERROR(VLOOKUP(A66,'5 IS Adjusted'!A:C,3,),""))</f>
        <v>Operating</v>
      </c>
      <c r="C66" s="258"/>
      <c r="D66" s="258" t="str">
        <f>IF($B66="Financial",+'5 IS Adjusted'!E6,"")</f>
        <v/>
      </c>
      <c r="E66" s="258" t="str">
        <f>IF($B66="Financial",+'5 IS Adjusted'!F6,"")</f>
        <v/>
      </c>
      <c r="F66" s="258" t="str">
        <f>IF($B66="Financial",+'5 IS Adjusted'!G6,"")</f>
        <v/>
      </c>
    </row>
    <row r="67" spans="1:6" x14ac:dyDescent="0.3">
      <c r="A67" s="181" t="s">
        <v>404</v>
      </c>
      <c r="B67" s="257" t="str">
        <f>IF(IFERROR(VLOOKUP(A67,'5 IS Adjusted'!A:C,2,),"")&gt;"",IFERROR(VLOOKUP(A67,'5 IS Adjusted'!A:C,2,),""),IFERROR(VLOOKUP(A67,'5 IS Adjusted'!A:C,3,),""))</f>
        <v/>
      </c>
      <c r="C67" s="258"/>
      <c r="D67" s="258" t="str">
        <f>IF($B67="Financial",+'5 IS Adjusted'!E7,"")</f>
        <v/>
      </c>
      <c r="E67" s="258" t="str">
        <f>IF($B67="Financial",+'5 IS Adjusted'!F7,"")</f>
        <v/>
      </c>
      <c r="F67" s="258" t="str">
        <f>IF($B67="Financial",+'5 IS Adjusted'!G7,"")</f>
        <v/>
      </c>
    </row>
    <row r="68" spans="1:6" x14ac:dyDescent="0.3">
      <c r="A68" s="181" t="s">
        <v>405</v>
      </c>
      <c r="B68" s="257" t="str">
        <f>IF(IFERROR(VLOOKUP(A68,'5 IS Adjusted'!A:C,2,),"")&gt;"",IFERROR(VLOOKUP(A68,'5 IS Adjusted'!A:C,2,),""),IFERROR(VLOOKUP(A68,'5 IS Adjusted'!A:C,3,),""))</f>
        <v>Operating</v>
      </c>
      <c r="C68" s="258"/>
      <c r="D68" s="258" t="str">
        <f>IF($B68="Financial",+'5 IS Adjusted'!E8,"")</f>
        <v/>
      </c>
      <c r="E68" s="258" t="str">
        <f>IF($B68="Financial",+'5 IS Adjusted'!F8,"")</f>
        <v/>
      </c>
      <c r="F68" s="258" t="str">
        <f>IF($B68="Financial",+'5 IS Adjusted'!G8,"")</f>
        <v/>
      </c>
    </row>
    <row r="69" spans="1:6" x14ac:dyDescent="0.3">
      <c r="A69" s="181" t="s">
        <v>406</v>
      </c>
      <c r="B69" s="257" t="str">
        <f>IF(IFERROR(VLOOKUP(A69,'5 IS Adjusted'!A:C,2,),"")&gt;"",IFERROR(VLOOKUP(A69,'5 IS Adjusted'!A:C,2,),""),IFERROR(VLOOKUP(A69,'5 IS Adjusted'!A:C,3,),""))</f>
        <v>Operating</v>
      </c>
      <c r="C69" s="258"/>
      <c r="D69" s="258" t="str">
        <f>IF($B69="Financial",+'5 IS Adjusted'!E9,"")</f>
        <v/>
      </c>
      <c r="E69" s="258" t="str">
        <f>IF($B69="Financial",+'5 IS Adjusted'!F9,"")</f>
        <v/>
      </c>
      <c r="F69" s="258" t="str">
        <f>IF($B69="Financial",+'5 IS Adjusted'!G9,"")</f>
        <v/>
      </c>
    </row>
    <row r="70" spans="1:6" x14ac:dyDescent="0.3">
      <c r="A70" s="181" t="s">
        <v>407</v>
      </c>
      <c r="B70" s="257" t="str">
        <f>IF(IFERROR(VLOOKUP(A70,'5 IS Adjusted'!A:C,2,),"")&gt;"",IFERROR(VLOOKUP(A70,'5 IS Adjusted'!A:C,2,),""),IFERROR(VLOOKUP(A70,'5 IS Adjusted'!A:C,3,),""))</f>
        <v>Operating</v>
      </c>
      <c r="C70" s="258"/>
      <c r="D70" s="258" t="str">
        <f>IF($B70="Financial",+'5 IS Adjusted'!E10,"")</f>
        <v/>
      </c>
      <c r="E70" s="258" t="str">
        <f>IF($B70="Financial",+'5 IS Adjusted'!F10,"")</f>
        <v/>
      </c>
      <c r="F70" s="258" t="str">
        <f>IF($B70="Financial",+'5 IS Adjusted'!G10,"")</f>
        <v/>
      </c>
    </row>
    <row r="71" spans="1:6" x14ac:dyDescent="0.3">
      <c r="A71" s="181" t="s">
        <v>408</v>
      </c>
      <c r="B71" s="257" t="str">
        <f>IF(IFERROR(VLOOKUP(A71,'5 IS Adjusted'!A:C,2,),"")&gt;"",IFERROR(VLOOKUP(A71,'5 IS Adjusted'!A:C,2,),""),IFERROR(VLOOKUP(A71,'5 IS Adjusted'!A:C,3,),""))</f>
        <v>Operating</v>
      </c>
      <c r="C71" s="258"/>
      <c r="D71" s="258" t="str">
        <f>IF($B71="Financial",+'5 IS Adjusted'!E11,"")</f>
        <v/>
      </c>
      <c r="E71" s="258" t="str">
        <f>IF($B71="Financial",+'5 IS Adjusted'!F11,"")</f>
        <v/>
      </c>
      <c r="F71" s="258" t="str">
        <f>IF($B71="Financial",+'5 IS Adjusted'!G11,"")</f>
        <v/>
      </c>
    </row>
    <row r="72" spans="1:6" x14ac:dyDescent="0.3">
      <c r="A72" s="181" t="s">
        <v>143</v>
      </c>
      <c r="B72" s="257" t="str">
        <f>IF(IFERROR(VLOOKUP(A72,'5 IS Adjusted'!A:C,2,),"")&gt;"",IFERROR(VLOOKUP(A72,'5 IS Adjusted'!A:C,2,),""),IFERROR(VLOOKUP(A72,'5 IS Adjusted'!A:C,3,),""))</f>
        <v>Operating</v>
      </c>
      <c r="C72" s="258"/>
      <c r="D72" s="258" t="str">
        <f>IF($B72="Financial",+'5 IS Adjusted'!E12,"")</f>
        <v/>
      </c>
      <c r="E72" s="258" t="str">
        <f>IF($B72="Financial",+'5 IS Adjusted'!F12,"")</f>
        <v/>
      </c>
      <c r="F72" s="258" t="str">
        <f>IF($B72="Financial",+'5 IS Adjusted'!G12,"")</f>
        <v/>
      </c>
    </row>
    <row r="73" spans="1:6" x14ac:dyDescent="0.3">
      <c r="A73" s="183" t="s">
        <v>19</v>
      </c>
      <c r="B73" s="257"/>
      <c r="C73" s="258"/>
      <c r="D73" s="258" t="str">
        <f>IF($B73="Financial",+'5 IS Adjusted'!E13,"")</f>
        <v/>
      </c>
      <c r="E73" s="258" t="str">
        <f>IF($B73="Financial",+'5 IS Adjusted'!F13,"")</f>
        <v/>
      </c>
      <c r="F73" s="258" t="str">
        <f>IF($B73="Financial",+'5 IS Adjusted'!G13,"")</f>
        <v/>
      </c>
    </row>
    <row r="74" spans="1:6" x14ac:dyDescent="0.3">
      <c r="A74" s="181" t="s">
        <v>266</v>
      </c>
      <c r="B74" s="257" t="str">
        <f>IF(IFERROR(VLOOKUP(A74,'5 IS Adjusted'!A:C,2,),"")&gt;"",IFERROR(VLOOKUP(A74,'5 IS Adjusted'!A:C,2,),""),IFERROR(VLOOKUP(A74,'5 IS Adjusted'!A:C,3,),""))</f>
        <v>Operating</v>
      </c>
      <c r="C74" s="258"/>
      <c r="D74" s="258" t="str">
        <f>IF($B74="Financial",+'5 IS Adjusted'!E14,"")</f>
        <v/>
      </c>
      <c r="E74" s="258" t="str">
        <f>IF($B74="Financial",+'5 IS Adjusted'!F14,"")</f>
        <v/>
      </c>
      <c r="F74" s="258" t="str">
        <f>IF($B74="Financial",+'5 IS Adjusted'!G14,"")</f>
        <v/>
      </c>
    </row>
    <row r="75" spans="1:6" x14ac:dyDescent="0.3">
      <c r="A75" s="181" t="s">
        <v>84</v>
      </c>
      <c r="B75" s="257" t="str">
        <f>IF(IFERROR(VLOOKUP(A75,'5 IS Adjusted'!A:C,2,),"")&gt;"",IFERROR(VLOOKUP(A75,'5 IS Adjusted'!A:C,2,),""),IFERROR(VLOOKUP(A75,'5 IS Adjusted'!A:C,3,),""))</f>
        <v>Operating</v>
      </c>
      <c r="C75" s="258"/>
      <c r="D75" s="258" t="str">
        <f>IF($B75="Financial",+'5 IS Adjusted'!E15,"")</f>
        <v/>
      </c>
      <c r="E75" s="258" t="str">
        <f>IF($B75="Financial",+'5 IS Adjusted'!F15,"")</f>
        <v/>
      </c>
      <c r="F75" s="258" t="str">
        <f>IF($B75="Financial",+'5 IS Adjusted'!G15,"")</f>
        <v/>
      </c>
    </row>
    <row r="76" spans="1:6" x14ac:dyDescent="0.3">
      <c r="A76" s="181" t="s">
        <v>85</v>
      </c>
      <c r="B76" s="257" t="str">
        <f>IF(IFERROR(VLOOKUP(A76,'5 IS Adjusted'!A:C,2,),"")&gt;"",IFERROR(VLOOKUP(A76,'5 IS Adjusted'!A:C,2,),""),IFERROR(VLOOKUP(A76,'5 IS Adjusted'!A:C,3,),""))</f>
        <v>Financial</v>
      </c>
      <c r="C76" s="258"/>
      <c r="D76" s="258">
        <f>IF($B76="Financial",+'5 IS Adjusted'!E16,"")</f>
        <v>-174</v>
      </c>
      <c r="E76" s="258">
        <f>IF($B76="Financial",+'5 IS Adjusted'!F16,"")</f>
        <v>-164</v>
      </c>
      <c r="F76" s="258">
        <f>IF($B76="Financial",+'5 IS Adjusted'!G16,"")</f>
        <v>-165</v>
      </c>
    </row>
    <row r="77" spans="1:6" x14ac:dyDescent="0.3">
      <c r="A77" s="181" t="s">
        <v>86</v>
      </c>
      <c r="B77" s="257" t="str">
        <f>IF(IFERROR(VLOOKUP(A77,'5 IS Adjusted'!A:C,2,),"")&gt;"",IFERROR(VLOOKUP(A77,'5 IS Adjusted'!A:C,2,),""),IFERROR(VLOOKUP(A77,'5 IS Adjusted'!A:C,3,),""))</f>
        <v>Financial</v>
      </c>
      <c r="C77" s="258"/>
      <c r="D77" s="258">
        <f>IF($B77="Financial",+'5 IS Adjusted'!E17,"")</f>
        <v>352</v>
      </c>
      <c r="E77" s="258">
        <f>IF($B77="Financial",+'5 IS Adjusted'!F17,"")</f>
        <v>371</v>
      </c>
      <c r="F77" s="258">
        <f>IF($B77="Financial",+'5 IS Adjusted'!G17,"")</f>
        <v>361</v>
      </c>
    </row>
    <row r="78" spans="1:6" x14ac:dyDescent="0.3">
      <c r="A78" s="181" t="s">
        <v>409</v>
      </c>
      <c r="B78" s="257" t="str">
        <f>IF(IFERROR(VLOOKUP(A78,'5 IS Adjusted'!A:C,2,),"")&gt;"",IFERROR(VLOOKUP(A78,'5 IS Adjusted'!A:C,2,),""),IFERROR(VLOOKUP(A78,'5 IS Adjusted'!A:C,3,),""))</f>
        <v>Financial</v>
      </c>
      <c r="C78" s="258"/>
      <c r="D78" s="258">
        <f>IF($B78="Financial",+'5 IS Adjusted'!E18,"")</f>
        <v>-13</v>
      </c>
      <c r="E78" s="258">
        <f>IF($B78="Financial",+'5 IS Adjusted'!F18,"")</f>
        <v>-9</v>
      </c>
      <c r="F78" s="258">
        <f>IF($B78="Financial",+'5 IS Adjusted'!G18,"")</f>
        <v>-8</v>
      </c>
    </row>
    <row r="79" spans="1:6" x14ac:dyDescent="0.3">
      <c r="A79" s="181" t="s">
        <v>87</v>
      </c>
      <c r="B79" s="257" t="str">
        <f>IF(IFERROR(VLOOKUP(A79,'5 IS Adjusted'!A:C,2,),"")&gt;"",IFERROR(VLOOKUP(A79,'5 IS Adjusted'!A:C,2,),""),IFERROR(VLOOKUP(A79,'5 IS Adjusted'!A:C,3,),""))</f>
        <v>Financial</v>
      </c>
      <c r="C79" s="258"/>
      <c r="D79" s="258">
        <f>IF($B79="Financial",+'5 IS Adjusted'!E19,"")</f>
        <v>-323</v>
      </c>
      <c r="E79" s="258">
        <f>IF($B79="Financial",+'5 IS Adjusted'!F19,"")</f>
        <v>36</v>
      </c>
      <c r="F79" s="258">
        <f>IF($B79="Financial",+'5 IS Adjusted'!G19,"")</f>
        <v>-269</v>
      </c>
    </row>
    <row r="80" spans="1:6" x14ac:dyDescent="0.3">
      <c r="A80" s="181" t="s">
        <v>410</v>
      </c>
      <c r="B80" s="257" t="str">
        <f>IF(IFERROR(VLOOKUP(A80,'5 IS Adjusted'!A:C,2,),"")&gt;"",IFERROR(VLOOKUP(A80,'5 IS Adjusted'!A:C,2,),""),IFERROR(VLOOKUP(A80,'5 IS Adjusted'!A:C,3,),""))</f>
        <v>Financial</v>
      </c>
      <c r="C80" s="258"/>
      <c r="D80" s="258">
        <f>IF($B80="Financial",+'5 IS Adjusted'!E20,"")</f>
        <v>-1</v>
      </c>
      <c r="E80" s="258">
        <f>IF($B80="Financial",+'5 IS Adjusted'!F20,"")</f>
        <v>151</v>
      </c>
      <c r="F80" s="258">
        <f>IF($B80="Financial",+'5 IS Adjusted'!G20,"")</f>
        <v>30</v>
      </c>
    </row>
    <row r="81" spans="1:6" x14ac:dyDescent="0.3">
      <c r="A81" s="181" t="s">
        <v>411</v>
      </c>
      <c r="B81" s="257" t="str">
        <f>IF(IFERROR(VLOOKUP(A81,'5 IS Adjusted'!A:C,2,),"")&gt;"",IFERROR(VLOOKUP(A81,'5 IS Adjusted'!A:C,2,),""),IFERROR(VLOOKUP(A81,'5 IS Adjusted'!A:C,3,),""))</f>
        <v>Operating</v>
      </c>
      <c r="C81" s="258"/>
      <c r="D81" s="258" t="str">
        <f>IF($B81="Financial",+'5 IS Adjusted'!E21,"")</f>
        <v/>
      </c>
      <c r="E81" s="258" t="str">
        <f>IF($B81="Financial",+'5 IS Adjusted'!F21,"")</f>
        <v/>
      </c>
      <c r="F81" s="258" t="str">
        <f>IF($B81="Financial",+'5 IS Adjusted'!G21,"")</f>
        <v/>
      </c>
    </row>
    <row r="82" spans="1:6" x14ac:dyDescent="0.3">
      <c r="A82" s="181" t="s">
        <v>412</v>
      </c>
      <c r="B82" s="257" t="str">
        <f>IF(IFERROR(VLOOKUP(A82,'5 IS Adjusted'!A:C,2,),"")&gt;"",IFERROR(VLOOKUP(A82,'5 IS Adjusted'!A:C,2,),""),IFERROR(VLOOKUP(A82,'5 IS Adjusted'!A:C,3,),""))</f>
        <v>Operating</v>
      </c>
      <c r="C82" s="258"/>
      <c r="D82" s="258" t="str">
        <f>IF($B82="Financial",+'5 IS Adjusted'!E22,"")</f>
        <v/>
      </c>
      <c r="E82" s="258" t="str">
        <f>IF($B82="Financial",+'5 IS Adjusted'!F22,"")</f>
        <v/>
      </c>
      <c r="F82" s="258" t="str">
        <f>IF($B82="Financial",+'5 IS Adjusted'!G22,"")</f>
        <v/>
      </c>
    </row>
    <row r="83" spans="1:6" x14ac:dyDescent="0.3">
      <c r="A83" s="181" t="s">
        <v>418</v>
      </c>
      <c r="B83" s="257" t="str">
        <f>IF(IFERROR(VLOOKUP(A83,'5 IS Adjusted'!A:C,2,),"")&gt;"",IFERROR(VLOOKUP(A83,'5 IS Adjusted'!A:C,2,),""),IFERROR(VLOOKUP(A83,'5 IS Adjusted'!A:C,3,),""))</f>
        <v>Operating</v>
      </c>
      <c r="C83" s="258"/>
      <c r="D83" s="258" t="str">
        <f>IF($B83="Financial",+'5 IS Adjusted'!E23,"")</f>
        <v/>
      </c>
      <c r="E83" s="258" t="str">
        <f>IF($B83="Financial",+'5 IS Adjusted'!F23,"")</f>
        <v/>
      </c>
      <c r="F83" s="258" t="str">
        <f>IF($B83="Financial",+'5 IS Adjusted'!G23,"")</f>
        <v/>
      </c>
    </row>
    <row r="84" spans="1:6" x14ac:dyDescent="0.3">
      <c r="A84" s="181" t="s">
        <v>419</v>
      </c>
      <c r="B84" s="257" t="str">
        <f>IF(IFERROR(VLOOKUP(A84,'5 IS Adjusted'!A:C,2,),"")&gt;"",IFERROR(VLOOKUP(A84,'5 IS Adjusted'!A:C,2,),""),IFERROR(VLOOKUP(A84,'5 IS Adjusted'!A:C,3,),""))</f>
        <v>Operating</v>
      </c>
      <c r="C84" s="258"/>
      <c r="D84" s="258" t="str">
        <f>IF($B84="Financial",+'5 IS Adjusted'!E24,"")</f>
        <v/>
      </c>
      <c r="E84" s="258" t="str">
        <f>IF($B84="Financial",+'5 IS Adjusted'!F24,"")</f>
        <v/>
      </c>
      <c r="F84" s="258" t="str">
        <f>IF($B84="Financial",+'5 IS Adjusted'!G24,"")</f>
        <v/>
      </c>
    </row>
    <row r="85" spans="1:6" x14ac:dyDescent="0.3">
      <c r="A85" s="181" t="s">
        <v>294</v>
      </c>
      <c r="B85" s="257" t="str">
        <f>IF(IFERROR(VLOOKUP(A85,'5 IS Adjusted'!A:C,2,),"")&gt;"",IFERROR(VLOOKUP(A85,'5 IS Adjusted'!A:C,2,),""),IFERROR(VLOOKUP(A85,'5 IS Adjusted'!A:C,3,),""))</f>
        <v>Operating</v>
      </c>
      <c r="C85" s="258"/>
      <c r="D85" s="258" t="str">
        <f>IF($B85="Financial",+'5 IS Adjusted'!E25,"")</f>
        <v/>
      </c>
      <c r="E85" s="258" t="str">
        <f>IF($B85="Financial",+'5 IS Adjusted'!F25,"")</f>
        <v/>
      </c>
      <c r="F85" s="258" t="str">
        <f>IF($B85="Financial",+'5 IS Adjusted'!G25,"")</f>
        <v/>
      </c>
    </row>
    <row r="86" spans="1:6" x14ac:dyDescent="0.3">
      <c r="A86" s="181" t="s">
        <v>167</v>
      </c>
      <c r="B86" s="257" t="str">
        <f>IF(IFERROR(VLOOKUP(A86,'5 IS Adjusted'!A:C,2,),"")&gt;"",IFERROR(VLOOKUP(A86,'5 IS Adjusted'!A:C,2,),""),IFERROR(VLOOKUP(A86,'5 IS Adjusted'!A:C,3,),""))</f>
        <v>Operating</v>
      </c>
      <c r="C86" s="258"/>
      <c r="D86" s="258" t="str">
        <f>IF($B86="Financial",+'5 IS Adjusted'!E26,"")</f>
        <v/>
      </c>
      <c r="E86" s="258" t="str">
        <f>IF($B86="Financial",+'5 IS Adjusted'!F26,"")</f>
        <v/>
      </c>
      <c r="F86" s="258" t="str">
        <f>IF($B86="Financial",+'5 IS Adjusted'!G26,"")</f>
        <v/>
      </c>
    </row>
    <row r="87" spans="1:6" x14ac:dyDescent="0.3">
      <c r="A87" s="181" t="s">
        <v>335</v>
      </c>
      <c r="B87" s="257" t="str">
        <f>IF(IFERROR(VLOOKUP(A87,'5 IS Adjusted'!A:C,2,),"")&gt;"",IFERROR(VLOOKUP(A87,'5 IS Adjusted'!A:C,2,),""),IFERROR(VLOOKUP(A87,'5 IS Adjusted'!A:C,3,),""))</f>
        <v>Operating</v>
      </c>
      <c r="C87" s="258"/>
      <c r="D87" s="258" t="str">
        <f>IF($B87="Financial",+'5 IS Adjusted'!E27,"")</f>
        <v/>
      </c>
      <c r="E87" s="258" t="str">
        <f>IF($B87="Financial",+'5 IS Adjusted'!F27,"")</f>
        <v/>
      </c>
      <c r="F87" s="258" t="str">
        <f>IF($B87="Financial",+'5 IS Adjusted'!G27,"")</f>
        <v/>
      </c>
    </row>
    <row r="88" spans="1:6" x14ac:dyDescent="0.3">
      <c r="A88" s="181" t="s">
        <v>78</v>
      </c>
      <c r="B88" s="257" t="str">
        <f>IF(IFERROR(VLOOKUP(A88,'5 IS Adjusted'!A:C,2,),"")&gt;"",IFERROR(VLOOKUP(A88,'5 IS Adjusted'!A:C,2,),""),IFERROR(VLOOKUP(A88,'5 IS Adjusted'!A:C,3,),""))</f>
        <v>Operating</v>
      </c>
      <c r="C88" s="258"/>
      <c r="D88" s="258" t="str">
        <f>IF($B88="Financial",+'5 IS Adjusted'!E28,"")</f>
        <v/>
      </c>
      <c r="E88" s="258" t="str">
        <f>IF($B88="Financial",+'5 IS Adjusted'!F28,"")</f>
        <v/>
      </c>
      <c r="F88" s="258" t="str">
        <f>IF($B88="Financial",+'5 IS Adjusted'!G28,"")</f>
        <v/>
      </c>
    </row>
    <row r="89" spans="1:6" x14ac:dyDescent="0.3">
      <c r="A89" s="181" t="s">
        <v>336</v>
      </c>
      <c r="B89" s="257" t="str">
        <f>IF(IFERROR(VLOOKUP(A89,'5 IS Adjusted'!A:C,2,),"")&gt;"",IFERROR(VLOOKUP(A89,'5 IS Adjusted'!A:C,2,),""),IFERROR(VLOOKUP(A89,'5 IS Adjusted'!A:C,3,),""))</f>
        <v>Operating</v>
      </c>
      <c r="C89" s="258"/>
      <c r="D89" s="258" t="str">
        <f>IF($B89="Financial",+'5 IS Adjusted'!E29,"")</f>
        <v/>
      </c>
      <c r="E89" s="258" t="str">
        <f>IF($B89="Financial",+'5 IS Adjusted'!F29,"")</f>
        <v/>
      </c>
      <c r="F89" s="258" t="str">
        <f>IF($B89="Financial",+'5 IS Adjusted'!G29,"")</f>
        <v/>
      </c>
    </row>
    <row r="90" spans="1:6" x14ac:dyDescent="0.3">
      <c r="A90" s="183" t="s">
        <v>151</v>
      </c>
      <c r="B90" s="257"/>
      <c r="C90" s="258"/>
      <c r="D90" s="258"/>
      <c r="E90" s="258"/>
      <c r="F90" s="258"/>
    </row>
    <row r="91" spans="1:6" x14ac:dyDescent="0.3">
      <c r="A91" s="181" t="s">
        <v>3</v>
      </c>
      <c r="B91" s="257" t="str">
        <f>IF(IFERROR(VLOOKUP(A91,'5 IS Adjusted'!A:C,2,),"")&gt;"",IFERROR(VLOOKUP(A91,'5 IS Adjusted'!A:C,2,),""),IFERROR(VLOOKUP(A91,'5 IS Adjusted'!A:C,3,),""))</f>
        <v>Financial</v>
      </c>
      <c r="C91" s="258"/>
      <c r="D91" s="258">
        <f>IF($B91="Financial",+'5 IS Adjusted'!E31,"")</f>
        <v>-423</v>
      </c>
      <c r="E91" s="258">
        <f>IF($B91="Financial",+'5 IS Adjusted'!F31,"")</f>
        <v>-271</v>
      </c>
      <c r="F91" s="258">
        <f>IF($B91="Financial",+'5 IS Adjusted'!G31,"")</f>
        <v>-301</v>
      </c>
    </row>
    <row r="92" spans="1:6" x14ac:dyDescent="0.3">
      <c r="A92" s="181" t="s">
        <v>413</v>
      </c>
      <c r="B92" s="257" t="str">
        <f>IF(IFERROR(VLOOKUP(A92,'5 IS Adjusted'!A:C,2,),"")&gt;"",IFERROR(VLOOKUP(A92,'5 IS Adjusted'!A:C,2,),""),IFERROR(VLOOKUP(A92,'5 IS Adjusted'!A:C,3,),""))</f>
        <v>Financial</v>
      </c>
      <c r="C92" s="258"/>
      <c r="D92" s="258">
        <f>IF($B92="Financial",+'5 IS Adjusted'!E32,"")</f>
        <v>-39</v>
      </c>
      <c r="E92" s="258">
        <f>IF($B92="Financial",+'5 IS Adjusted'!F32,"")</f>
        <v>-37</v>
      </c>
      <c r="F92" s="258">
        <f>IF($B92="Financial",+'5 IS Adjusted'!G32,"")</f>
        <v>-36</v>
      </c>
    </row>
    <row r="93" spans="1:6" x14ac:dyDescent="0.3">
      <c r="A93" s="181" t="s">
        <v>414</v>
      </c>
      <c r="B93" s="257" t="str">
        <f>IF(IFERROR(VLOOKUP(A93,'5 IS Adjusted'!A:C,2,),"")&gt;"",IFERROR(VLOOKUP(A93,'5 IS Adjusted'!A:C,2,),""),IFERROR(VLOOKUP(A93,'5 IS Adjusted'!A:C,3,),""))</f>
        <v>Financial</v>
      </c>
      <c r="C93" s="258"/>
      <c r="D93" s="258">
        <f>IF($B93="Financial",+'5 IS Adjusted'!E33,"")</f>
        <v>90</v>
      </c>
      <c r="E93" s="258">
        <f>IF($B93="Financial",+'5 IS Adjusted'!F33,"")</f>
        <v>98</v>
      </c>
      <c r="F93" s="258">
        <f>IF($B93="Financial",+'5 IS Adjusted'!G33,"")</f>
        <v>94</v>
      </c>
    </row>
    <row r="94" spans="1:6" x14ac:dyDescent="0.3">
      <c r="A94" s="181" t="s">
        <v>415</v>
      </c>
      <c r="B94" s="257" t="str">
        <f>IF(IFERROR(VLOOKUP(A94,'5 IS Adjusted'!A:C,2,),"")&gt;"",IFERROR(VLOOKUP(A94,'5 IS Adjusted'!A:C,2,),""),IFERROR(VLOOKUP(A94,'5 IS Adjusted'!A:C,3,),""))</f>
        <v>Financial</v>
      </c>
      <c r="C94" s="258"/>
      <c r="D94" s="258">
        <f>IF($B94="Financial",+'5 IS Adjusted'!E34,"")</f>
        <v>9</v>
      </c>
      <c r="E94" s="258">
        <f>IF($B94="Financial",+'5 IS Adjusted'!F34,"")</f>
        <v>9</v>
      </c>
      <c r="F94" s="258">
        <f>IF($B94="Financial",+'5 IS Adjusted'!G34,"")</f>
        <v>9</v>
      </c>
    </row>
    <row r="95" spans="1:6" x14ac:dyDescent="0.3">
      <c r="A95" s="181" t="s">
        <v>416</v>
      </c>
      <c r="B95" s="257" t="str">
        <f>IF(IFERROR(VLOOKUP(A95,'5 IS Adjusted'!A:C,2,),"")&gt;"",IFERROR(VLOOKUP(A95,'5 IS Adjusted'!A:C,2,),""),IFERROR(VLOOKUP(A95,'5 IS Adjusted'!A:C,3,),""))</f>
        <v>Financial</v>
      </c>
      <c r="C95" s="258"/>
      <c r="D95" s="258">
        <f>IF($B95="Financial",+'5 IS Adjusted'!E35,"")</f>
        <v>19</v>
      </c>
      <c r="E95" s="258">
        <f>IF($B95="Financial",+'5 IS Adjusted'!F35,"")</f>
        <v>90</v>
      </c>
      <c r="F95" s="258">
        <f>IF($B95="Financial",+'5 IS Adjusted'!G35,"")</f>
        <v>-81</v>
      </c>
    </row>
    <row r="96" spans="1:6" x14ac:dyDescent="0.3">
      <c r="A96" s="181" t="s">
        <v>417</v>
      </c>
      <c r="B96" s="257" t="str">
        <f>IF(IFERROR(VLOOKUP(A96,'5 IS Adjusted'!A:C,2,),"")&gt;"",IFERROR(VLOOKUP(A96,'5 IS Adjusted'!A:C,2,),""),IFERROR(VLOOKUP(A96,'5 IS Adjusted'!A:C,3,),""))</f>
        <v>Financial</v>
      </c>
      <c r="C96" s="258"/>
      <c r="D96" s="258">
        <f>IF($B96="Financial",+'5 IS Adjusted'!E36,"")</f>
        <v>0</v>
      </c>
      <c r="E96" s="258">
        <f>IF($B96="Financial",+'5 IS Adjusted'!F36,"")</f>
        <v>-3</v>
      </c>
      <c r="F96" s="258">
        <f>IF($B96="Financial",+'5 IS Adjusted'!G36,"")</f>
        <v>0</v>
      </c>
    </row>
    <row r="97" spans="1:6" x14ac:dyDescent="0.3">
      <c r="A97" s="181" t="s">
        <v>420</v>
      </c>
      <c r="B97" s="257" t="str">
        <f>IF(IFERROR(VLOOKUP(A97,'5 IS Adjusted'!A:C,2,),"")&gt;"",IFERROR(VLOOKUP(A97,'5 IS Adjusted'!A:C,2,),""),IFERROR(VLOOKUP(A97,'5 IS Adjusted'!A:C,3,),""))</f>
        <v>Financial</v>
      </c>
      <c r="C97" s="258"/>
      <c r="D97" s="258">
        <f>IF($B97="Financial",+'5 IS Adjusted'!E37,"")</f>
        <v>-3</v>
      </c>
      <c r="E97" s="258">
        <f>IF($B97="Financial",+'5 IS Adjusted'!F37,"")</f>
        <v>-3</v>
      </c>
      <c r="F97" s="258">
        <f>IF($B97="Financial",+'5 IS Adjusted'!G37,"")</f>
        <v>-1</v>
      </c>
    </row>
    <row r="98" spans="1:6" x14ac:dyDescent="0.3">
      <c r="A98" s="181" t="s">
        <v>421</v>
      </c>
      <c r="B98" s="257" t="str">
        <f>IF(IFERROR(VLOOKUP(A98,'5 IS Adjusted'!A:C,2,),"")&gt;"",IFERROR(VLOOKUP(A98,'5 IS Adjusted'!A:C,2,),""),IFERROR(VLOOKUP(A98,'5 IS Adjusted'!A:C,3,),""))</f>
        <v>Financial</v>
      </c>
      <c r="C98" s="258"/>
      <c r="D98" s="258">
        <f>IF($B98="Financial",+'5 IS Adjusted'!E38,"")</f>
        <v>-1</v>
      </c>
      <c r="E98" s="258">
        <f>IF($B98="Financial",+'5 IS Adjusted'!F38,"")</f>
        <v>-1</v>
      </c>
      <c r="F98" s="258">
        <f>IF($B98="Financial",+'5 IS Adjusted'!G38,"")</f>
        <v>-1</v>
      </c>
    </row>
    <row r="99" spans="1:6" x14ac:dyDescent="0.3">
      <c r="A99" s="181" t="s">
        <v>422</v>
      </c>
      <c r="B99" s="257" t="str">
        <f>IF(IFERROR(VLOOKUP(A99,'5 IS Adjusted'!A:C,2,),"")&gt;"",IFERROR(VLOOKUP(A99,'5 IS Adjusted'!A:C,2,),""),IFERROR(VLOOKUP(A99,'5 IS Adjusted'!A:C,3,),""))</f>
        <v>Financial</v>
      </c>
      <c r="C99" s="258"/>
      <c r="D99" s="258">
        <f>IF($B99="Financial",+'5 IS Adjusted'!E39,"")</f>
        <v>-3</v>
      </c>
      <c r="E99" s="258">
        <f>IF($B99="Financial",+'5 IS Adjusted'!F39,"")</f>
        <v>0</v>
      </c>
      <c r="F99" s="258">
        <f>IF($B99="Financial",+'5 IS Adjusted'!G39,"")</f>
        <v>5</v>
      </c>
    </row>
    <row r="100" spans="1:6" x14ac:dyDescent="0.3">
      <c r="A100" s="181" t="s">
        <v>240</v>
      </c>
      <c r="B100" s="257" t="str">
        <f>IF(IFERROR(VLOOKUP(A100,'5 IS Adjusted'!A:C,2,),"")&gt;"",IFERROR(VLOOKUP(A100,'5 IS Adjusted'!A:C,2,),""),IFERROR(VLOOKUP(A100,'5 IS Adjusted'!A:C,3,),""))</f>
        <v>Operating</v>
      </c>
      <c r="C100" s="258"/>
      <c r="D100" s="258" t="str">
        <f>IF($B100="Financial",+'5 IS Adjusted'!E40,"")</f>
        <v/>
      </c>
      <c r="E100" s="258" t="str">
        <f>IF($B100="Financial",+'5 IS Adjusted'!F40,"")</f>
        <v/>
      </c>
      <c r="F100" s="258" t="str">
        <f>IF($B100="Financial",+'5 IS Adjusted'!G40,"")</f>
        <v/>
      </c>
    </row>
    <row r="101" spans="1:6" x14ac:dyDescent="0.3">
      <c r="A101" s="183" t="s">
        <v>152</v>
      </c>
      <c r="B101" s="257"/>
      <c r="C101" s="258"/>
      <c r="D101" s="258"/>
      <c r="E101" s="258"/>
      <c r="F101" s="258"/>
    </row>
    <row r="102" spans="1:6" x14ac:dyDescent="0.3">
      <c r="A102" s="181" t="s">
        <v>242</v>
      </c>
      <c r="B102" s="257" t="str">
        <f>IF(IFERROR(VLOOKUP(A102,'5 IS Adjusted'!A:C,2,),"")&gt;"",IFERROR(VLOOKUP(A102,'5 IS Adjusted'!A:C,2,),""),IFERROR(VLOOKUP(A102,'5 IS Adjusted'!A:C,3,),""))</f>
        <v>Split</v>
      </c>
      <c r="C102" s="258"/>
      <c r="D102" s="258">
        <f>-ROUND(SUM(D65:D101)*'3 Unadj NOPAT'!C1,0)</f>
        <v>179</v>
      </c>
      <c r="E102" s="258">
        <f>-ROUND(SUM(E65:E101)*'3 Unadj NOPAT'!D1,0)</f>
        <v>-93</v>
      </c>
      <c r="F102" s="258">
        <f>-ROUND(SUM(F65:F101)*'3 Unadj NOPAT'!E1,0)</f>
        <v>76</v>
      </c>
    </row>
    <row r="103" spans="1:6" x14ac:dyDescent="0.3">
      <c r="A103" s="181" t="s">
        <v>135</v>
      </c>
      <c r="B103" s="257" t="str">
        <f>IF(IFERROR(VLOOKUP(A103,'5 IS Adjusted'!A:C,2,),"")&gt;"",IFERROR(VLOOKUP(A103,'5 IS Adjusted'!A:C,2,),""),IFERROR(VLOOKUP(A103,'5 IS Adjusted'!A:C,3,),""))</f>
        <v>Financial</v>
      </c>
      <c r="C103" s="258"/>
      <c r="D103" s="258">
        <f>IF($B103="Financial",+'5 IS Adjusted'!E43,"")</f>
        <v>61.944844000000018</v>
      </c>
      <c r="E103" s="258">
        <f>IF($B103="Financial",+'5 IS Adjusted'!F43,"")</f>
        <v>74.332232399999896</v>
      </c>
      <c r="F103" s="258">
        <f>IF($B103="Financial",+'5 IS Adjusted'!G43,"")</f>
        <v>47.957376600000046</v>
      </c>
    </row>
    <row r="104" spans="1:6" x14ac:dyDescent="0.3">
      <c r="A104" s="181" t="s">
        <v>243</v>
      </c>
      <c r="B104" s="257" t="str">
        <f>IF(IFERROR(VLOOKUP(A104,'5 IS Adjusted'!A:C,2,),"")&gt;"",IFERROR(VLOOKUP(A104,'5 IS Adjusted'!A:C,2,),""),IFERROR(VLOOKUP(A104,'5 IS Adjusted'!A:C,3,),""))</f>
        <v>Operating</v>
      </c>
      <c r="C104" s="258"/>
      <c r="D104" s="258" t="str">
        <f>IF($B104="Financial",+'5 IS Adjusted'!E44,"")</f>
        <v/>
      </c>
      <c r="E104" s="258" t="str">
        <f>IF($B104="Financial",+'5 IS Adjusted'!F44,"")</f>
        <v/>
      </c>
      <c r="F104" s="258" t="str">
        <f>IF($B104="Financial",+'5 IS Adjusted'!G44,"")</f>
        <v/>
      </c>
    </row>
    <row r="105" spans="1:6" x14ac:dyDescent="0.3">
      <c r="A105" s="183" t="s">
        <v>153</v>
      </c>
      <c r="B105" s="257"/>
      <c r="C105" s="258"/>
      <c r="D105" s="258"/>
      <c r="E105" s="258"/>
      <c r="F105" s="258"/>
    </row>
    <row r="106" spans="1:6" x14ac:dyDescent="0.3">
      <c r="A106" s="181" t="s">
        <v>23</v>
      </c>
      <c r="B106" s="257" t="str">
        <f>IF(IFERROR(VLOOKUP(A106,'5 IS Adjusted'!A:C,2,),"")&gt;"",IFERROR(VLOOKUP(A106,'5 IS Adjusted'!A:C,2,),""),IFERROR(VLOOKUP(A106,'5 IS Adjusted'!A:C,3,),""))</f>
        <v>Financial</v>
      </c>
      <c r="C106" s="258"/>
      <c r="D106" s="258">
        <f>IF($B106="Financial",+'5 IS Adjusted'!E46,"")</f>
        <v>-1</v>
      </c>
      <c r="E106" s="258">
        <f>IF($B106="Financial",+'5 IS Adjusted'!F46,"")</f>
        <v>0</v>
      </c>
      <c r="F106" s="258">
        <f>IF($B106="Financial",+'5 IS Adjusted'!G46,"")</f>
        <v>-8</v>
      </c>
    </row>
    <row r="107" spans="1:6" x14ac:dyDescent="0.3">
      <c r="A107" s="183" t="s">
        <v>244</v>
      </c>
      <c r="B107" s="257"/>
      <c r="C107" s="258"/>
      <c r="D107" s="258" t="str">
        <f>IF($B107="Financing",+'5 IS Adjusted'!E47,"")</f>
        <v/>
      </c>
      <c r="E107" s="258" t="str">
        <f>IF($B107="Financing",+'5 IS Adjusted'!F47,"")</f>
        <v/>
      </c>
      <c r="F107" s="258" t="str">
        <f>IF($B107="Financing",+'5 IS Adjusted'!G47,"")</f>
        <v/>
      </c>
    </row>
    <row r="108" spans="1:6" x14ac:dyDescent="0.3">
      <c r="A108" s="181"/>
      <c r="B108" s="257" t="str">
        <f>IF(IFERROR(VLOOKUP(A108,'5 IS Adjusted'!A:C,2,),"")&gt;"",IFERROR(VLOOKUP(A108,'5 IS Adjusted'!A:C,2,),""),IFERROR(VLOOKUP(A108,'5 IS Adjusted'!A:C,3,),""))</f>
        <v/>
      </c>
      <c r="C108" s="258"/>
      <c r="D108" s="258" t="str">
        <f>IF($B108="Financing",+'5 IS Adjusted'!E48,"")</f>
        <v/>
      </c>
      <c r="E108" s="258" t="str">
        <f>IF($B108="Financing",+'5 IS Adjusted'!F48,"")</f>
        <v/>
      </c>
      <c r="F108" s="258" t="str">
        <f>IF($B108="Financing",+'5 IS Adjusted'!G48,"")</f>
        <v/>
      </c>
    </row>
    <row r="109" spans="1:6" x14ac:dyDescent="0.3">
      <c r="A109" s="183" t="s">
        <v>154</v>
      </c>
      <c r="B109" s="257"/>
      <c r="C109" s="258"/>
      <c r="D109" s="258" t="str">
        <f>IF($B109="Financing",+'5 IS Adjusted'!E49,"")</f>
        <v/>
      </c>
      <c r="E109" s="258" t="str">
        <f>IF($B109="Financing",+'5 IS Adjusted'!F49,"")</f>
        <v/>
      </c>
      <c r="F109" s="258" t="str">
        <f>IF($B109="Financing",+'5 IS Adjusted'!G49,"")</f>
        <v/>
      </c>
    </row>
    <row r="110" spans="1:6" x14ac:dyDescent="0.3">
      <c r="A110" s="181" t="s">
        <v>245</v>
      </c>
      <c r="B110" s="257" t="str">
        <f>IF(IFERROR(VLOOKUP(A110,'5 IS Adjusted'!A:C,2,),"")&gt;"",IFERROR(VLOOKUP(A110,'5 IS Adjusted'!A:C,2,),""),IFERROR(VLOOKUP(A110,'5 IS Adjusted'!A:C,3,),""))</f>
        <v>Operating</v>
      </c>
      <c r="C110" s="258"/>
      <c r="D110" s="258" t="str">
        <f>IF($B110="Financial",+'5 IS Adjusted'!E50,"")</f>
        <v/>
      </c>
      <c r="E110" s="258" t="str">
        <f>IF($B110="Financial",+'5 IS Adjusted'!F50,"")</f>
        <v/>
      </c>
      <c r="F110" s="258" t="str">
        <f>IF($B110="Financial",+'5 IS Adjusted'!G50,"")</f>
        <v/>
      </c>
    </row>
    <row r="111" spans="1:6" x14ac:dyDescent="0.3">
      <c r="A111" s="181" t="s">
        <v>246</v>
      </c>
      <c r="B111" s="257" t="str">
        <f>IF(IFERROR(VLOOKUP(A111,'5 IS Adjusted'!A:C,2,),"")&gt;"",IFERROR(VLOOKUP(A111,'5 IS Adjusted'!A:C,2,),""),IFERROR(VLOOKUP(A111,'5 IS Adjusted'!A:C,3,),""))</f>
        <v>Operating</v>
      </c>
      <c r="C111" s="258"/>
      <c r="D111" s="258" t="str">
        <f>IF($B111="Financial",+'5 IS Adjusted'!E51,"")</f>
        <v/>
      </c>
      <c r="E111" s="258" t="str">
        <f>IF($B111="Financial",+'5 IS Adjusted'!F51,"")</f>
        <v/>
      </c>
      <c r="F111" s="258" t="str">
        <f>IF($B111="Financial",+'5 IS Adjusted'!G51,"")</f>
        <v/>
      </c>
    </row>
    <row r="112" spans="1:6" x14ac:dyDescent="0.3">
      <c r="A112" s="183" t="s">
        <v>445</v>
      </c>
      <c r="B112" s="257"/>
      <c r="C112" s="258"/>
      <c r="D112" s="258"/>
      <c r="E112" s="258"/>
      <c r="F112" s="258"/>
    </row>
    <row r="113" spans="1:6" x14ac:dyDescent="0.3">
      <c r="A113" s="181" t="s">
        <v>446</v>
      </c>
      <c r="B113" s="257" t="str">
        <f>IF(IFERROR(VLOOKUP(A113,'5 IS Adjusted'!A:C,2,),"")&gt;"",IFERROR(VLOOKUP(A113,'5 IS Adjusted'!A:C,2,),""),IFERROR(VLOOKUP(A113,'5 IS Adjusted'!A:C,3,),""))</f>
        <v>Financial</v>
      </c>
      <c r="C113" s="258"/>
      <c r="D113" s="258">
        <f>IF($B113="Financial",+'5 IS Adjusted'!E53,"")</f>
        <v>18</v>
      </c>
      <c r="E113" s="258">
        <f>IF($B113="Financial",+'5 IS Adjusted'!F53,"")</f>
        <v>32</v>
      </c>
      <c r="F113" s="258">
        <f>IF($B113="Financial",+'5 IS Adjusted'!G53,"")</f>
        <v>-11</v>
      </c>
    </row>
    <row r="114" spans="1:6" x14ac:dyDescent="0.3">
      <c r="A114" s="181" t="s">
        <v>447</v>
      </c>
      <c r="B114" s="257" t="str">
        <f>IF(IFERROR(VLOOKUP(A114,'5 IS Adjusted'!A:C,2,),"")&gt;"",IFERROR(VLOOKUP(A114,'5 IS Adjusted'!A:C,2,),""),IFERROR(VLOOKUP(A114,'5 IS Adjusted'!A:C,3,),""))</f>
        <v>Operating</v>
      </c>
      <c r="C114" s="258"/>
      <c r="D114" s="258" t="str">
        <f>IF($B114="Financial",+'5 IS Adjusted'!E54,"")</f>
        <v/>
      </c>
      <c r="E114" s="258" t="str">
        <f>IF($B114="Financial",+'5 IS Adjusted'!F54,"")</f>
        <v/>
      </c>
      <c r="F114" s="258" t="str">
        <f>IF($B114="Financial",+'5 IS Adjusted'!G54,"")</f>
        <v/>
      </c>
    </row>
    <row r="115" spans="1:6" x14ac:dyDescent="0.3">
      <c r="A115" s="181" t="s">
        <v>248</v>
      </c>
      <c r="B115" s="257" t="str">
        <f>IF(IFERROR(VLOOKUP(A115,'5 IS Adjusted'!A:C,2,),"")&gt;"",IFERROR(VLOOKUP(A115,'5 IS Adjusted'!A:C,2,),""),IFERROR(VLOOKUP(A115,'5 IS Adjusted'!A:C,3,),""))</f>
        <v>Operating</v>
      </c>
      <c r="C115" s="258"/>
      <c r="D115" s="258" t="str">
        <f>IF($B115="Financial",+'5 IS Adjusted'!E55,"")</f>
        <v/>
      </c>
      <c r="E115" s="258" t="str">
        <f>IF($B115="Financial",+'5 IS Adjusted'!F55,"")</f>
        <v/>
      </c>
      <c r="F115" s="258" t="str">
        <f>IF($B115="Financial",+'5 IS Adjusted'!G55,"")</f>
        <v/>
      </c>
    </row>
    <row r="116" spans="1:6" x14ac:dyDescent="0.3">
      <c r="A116" s="181" t="s">
        <v>33</v>
      </c>
      <c r="B116" s="257" t="str">
        <f>IF(IFERROR(VLOOKUP(A116,'5 IS Adjusted'!A:C,2,),"")&gt;"",IFERROR(VLOOKUP(A116,'5 IS Adjusted'!A:C,2,),""),IFERROR(VLOOKUP(A116,'5 IS Adjusted'!A:C,3,),""))</f>
        <v>Financial</v>
      </c>
      <c r="C116" s="258"/>
      <c r="D116" s="258">
        <f>IF($B116="Financial",+'5 IS Adjusted'!E56,"")</f>
        <v>0</v>
      </c>
      <c r="E116" s="258">
        <f>IF($B116="Financial",+'5 IS Adjusted'!F56,"")</f>
        <v>0</v>
      </c>
      <c r="F116" s="258">
        <f>IF($B116="Financial",+'5 IS Adjusted'!G56,"")</f>
        <v>7</v>
      </c>
    </row>
    <row r="117" spans="1:6" x14ac:dyDescent="0.3">
      <c r="A117" s="183" t="s">
        <v>249</v>
      </c>
      <c r="B117" s="257"/>
      <c r="C117" s="224"/>
      <c r="D117" s="181"/>
      <c r="E117" s="181"/>
      <c r="F117" s="181"/>
    </row>
    <row r="118" spans="1:6" x14ac:dyDescent="0.3">
      <c r="A118" s="181"/>
      <c r="B118" s="181"/>
      <c r="C118" s="268"/>
      <c r="D118" s="258"/>
      <c r="E118" s="258"/>
      <c r="F118" s="258"/>
    </row>
    <row r="119" spans="1:6" s="74" customFormat="1" ht="15" thickBot="1" x14ac:dyDescent="0.35">
      <c r="A119" s="269" t="s">
        <v>12</v>
      </c>
      <c r="B119" s="183"/>
      <c r="C119" s="270"/>
      <c r="D119" s="271">
        <f>SUM(D65:D117)</f>
        <v>-252.05515600000001</v>
      </c>
      <c r="E119" s="271">
        <f>SUM(E65:E117)</f>
        <v>280.3322323999999</v>
      </c>
      <c r="F119" s="271">
        <f>SUM(F65:F117)</f>
        <v>-251.04262339999997</v>
      </c>
    </row>
    <row r="120" spans="1:6" ht="15" thickTop="1" x14ac:dyDescent="0.3">
      <c r="A120" s="133"/>
      <c r="C120" s="23"/>
      <c r="D120" s="28"/>
      <c r="E120" s="28"/>
      <c r="F120" s="28"/>
    </row>
    <row r="121" spans="1:6" x14ac:dyDescent="0.3">
      <c r="C121" s="143"/>
    </row>
    <row r="122" spans="1:6" x14ac:dyDescent="0.3">
      <c r="A122" s="203" t="s">
        <v>13</v>
      </c>
      <c r="B122" s="199"/>
      <c r="C122" s="207"/>
      <c r="D122" s="199"/>
      <c r="E122" s="199"/>
      <c r="F122" s="199"/>
    </row>
    <row r="123" spans="1:6" x14ac:dyDescent="0.3">
      <c r="A123" s="203" t="s">
        <v>425</v>
      </c>
      <c r="B123" s="199"/>
      <c r="C123" s="205"/>
      <c r="D123" s="205">
        <f>+D59+D119</f>
        <v>561.94484399999999</v>
      </c>
      <c r="E123" s="205">
        <f>+E59+E119</f>
        <v>1446.3322323999998</v>
      </c>
      <c r="F123" s="205">
        <f>+F59+F119</f>
        <v>1340.9573766000001</v>
      </c>
    </row>
    <row r="124" spans="1:6" x14ac:dyDescent="0.3">
      <c r="A124" s="203" t="s">
        <v>500</v>
      </c>
      <c r="B124" s="199"/>
      <c r="C124" s="205"/>
      <c r="D124" s="205">
        <f>+D123-'5 IS Adjusted'!E57</f>
        <v>0</v>
      </c>
      <c r="E124" s="205">
        <f>+E123-'5 IS Adjusted'!F57</f>
        <v>0</v>
      </c>
      <c r="F124" s="205">
        <f>+F123-'5 IS Adjusted'!G57</f>
        <v>0</v>
      </c>
    </row>
  </sheetData>
  <pageMargins left="0.7" right="0.7" top="0.75" bottom="0.75" header="0.3" footer="0.3"/>
  <pageSetup scale="26" orientation="portrait" r:id="rId1"/>
  <ignoredErrors>
    <ignoredError sqref="D53:F53"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57"/>
  <sheetViews>
    <sheetView zoomScaleNormal="100" workbookViewId="0">
      <pane xSplit="1" ySplit="3" topLeftCell="B22" activePane="bottomRight" state="frozen"/>
      <selection activeCell="H23" sqref="H23"/>
      <selection pane="topRight" activeCell="H23" sqref="H23"/>
      <selection pane="bottomLeft" activeCell="H23" sqref="H23"/>
      <selection pane="bottomRight" activeCell="H35" sqref="H35"/>
    </sheetView>
  </sheetViews>
  <sheetFormatPr defaultColWidth="9.109375" defaultRowHeight="14.4" x14ac:dyDescent="0.3"/>
  <cols>
    <col min="1" max="1" width="46.44140625" bestFit="1" customWidth="1"/>
    <col min="2" max="2" width="9" bestFit="1" customWidth="1"/>
    <col min="3" max="5" width="10.77734375" bestFit="1" customWidth="1"/>
  </cols>
  <sheetData>
    <row r="1" spans="1:5" x14ac:dyDescent="0.3">
      <c r="A1" s="13" t="str">
        <f>+'3 BS Reported'!A1</f>
        <v>Kellogg</v>
      </c>
    </row>
    <row r="3" spans="1:5" ht="15" thickBot="1" x14ac:dyDescent="0.35">
      <c r="B3" s="145">
        <f>+'5 IS Adjusted'!D3</f>
        <v>42371</v>
      </c>
      <c r="C3" s="145">
        <f>+'5 IS Adjusted'!E3</f>
        <v>42735</v>
      </c>
      <c r="D3" s="145">
        <f>+'5 IS Adjusted'!F3</f>
        <v>43099</v>
      </c>
      <c r="E3" s="145">
        <f>+'5 IS Adjusted'!G3</f>
        <v>43463</v>
      </c>
    </row>
    <row r="4" spans="1:5" x14ac:dyDescent="0.3">
      <c r="A4" t="s">
        <v>30</v>
      </c>
      <c r="B4" s="2">
        <f>SUM('5 IS Adjusted'!D5:D11)</f>
        <v>13525</v>
      </c>
      <c r="C4" s="2">
        <f>SUM('5 IS Adjusted'!E5:E11)</f>
        <v>12965</v>
      </c>
      <c r="D4" s="2">
        <f>SUM('5 IS Adjusted'!F5:F11)</f>
        <v>12854</v>
      </c>
      <c r="E4" s="212">
        <f>SUM('5 IS Adjusted'!G5:G11)</f>
        <v>13547</v>
      </c>
    </row>
    <row r="5" spans="1:5" x14ac:dyDescent="0.3">
      <c r="A5" t="s">
        <v>31</v>
      </c>
      <c r="B5" s="30"/>
      <c r="C5" s="30">
        <f t="shared" ref="C5:D5" si="0">+C4/B4-1</f>
        <v>-4.1404805914972309E-2</v>
      </c>
      <c r="D5" s="30">
        <f t="shared" si="0"/>
        <v>-8.5615117624373571E-3</v>
      </c>
      <c r="E5" s="315">
        <f t="shared" ref="E5" si="1">+E4/D4-1</f>
        <v>5.3913178777034387E-2</v>
      </c>
    </row>
    <row r="6" spans="1:5" x14ac:dyDescent="0.3">
      <c r="B6" s="22"/>
      <c r="C6" s="22"/>
      <c r="D6" s="22"/>
      <c r="E6" s="22"/>
    </row>
    <row r="7" spans="1:5" x14ac:dyDescent="0.3">
      <c r="A7" t="s">
        <v>197</v>
      </c>
      <c r="B7" s="2"/>
      <c r="C7" s="2">
        <f>+'5 Adj NOPAT'!D59</f>
        <v>814</v>
      </c>
      <c r="D7" s="2">
        <f>+'5 Adj NOPAT'!E59</f>
        <v>1166</v>
      </c>
      <c r="E7" s="235">
        <f>+'5 Adj NOPAT'!F59</f>
        <v>1592</v>
      </c>
    </row>
    <row r="8" spans="1:5" x14ac:dyDescent="0.3">
      <c r="A8" t="s">
        <v>198</v>
      </c>
      <c r="B8" s="53">
        <f>+'5 Adj NOA'!C98</f>
        <v>11161</v>
      </c>
      <c r="C8" s="53">
        <f>+'5 Adj NOA'!D98</f>
        <v>11042</v>
      </c>
      <c r="D8" s="53">
        <f>+'5 Adj NOA'!E98</f>
        <v>11790</v>
      </c>
      <c r="E8" s="316">
        <f>+'5 Adj NOA'!F98</f>
        <v>12929</v>
      </c>
    </row>
    <row r="9" spans="1:5" x14ac:dyDescent="0.3">
      <c r="A9" t="s">
        <v>199</v>
      </c>
      <c r="B9" s="31"/>
      <c r="C9" s="31">
        <f t="shared" ref="C9:D9" si="2">AVERAGE(B8:C8)</f>
        <v>11101.5</v>
      </c>
      <c r="D9" s="31">
        <f t="shared" si="2"/>
        <v>11416</v>
      </c>
      <c r="E9" s="317">
        <f t="shared" ref="E9" si="3">AVERAGE(D8:E8)</f>
        <v>12359.5</v>
      </c>
    </row>
    <row r="10" spans="1:5" s="13" customFormat="1" x14ac:dyDescent="0.3">
      <c r="A10" s="13" t="s">
        <v>200</v>
      </c>
      <c r="B10" s="274"/>
      <c r="C10" s="274">
        <f t="shared" ref="C10" si="4">+C7/C9</f>
        <v>7.3323424762419487E-2</v>
      </c>
      <c r="D10" s="274">
        <f t="shared" ref="D10:E10" si="5">+D7/D9</f>
        <v>0.10213735108619482</v>
      </c>
      <c r="E10" s="318">
        <f t="shared" si="5"/>
        <v>0.12880779966827138</v>
      </c>
    </row>
    <row r="11" spans="1:5" s="13" customFormat="1" x14ac:dyDescent="0.3">
      <c r="A11" s="13" t="s">
        <v>502</v>
      </c>
      <c r="B11" s="273"/>
      <c r="C11" s="274">
        <f>IF((C3-B3)/7=52,C10,(C7*52/53)/C9)</f>
        <v>7.3323424762419487E-2</v>
      </c>
      <c r="D11" s="274">
        <f t="shared" ref="D11:E11" si="6">IF((D3-C3)/7=52,D10,(D7*52/53)/D9)</f>
        <v>0.10213735108619482</v>
      </c>
      <c r="E11" s="318">
        <f t="shared" si="6"/>
        <v>0.12880779966827138</v>
      </c>
    </row>
    <row r="12" spans="1:5" x14ac:dyDescent="0.3">
      <c r="B12" s="22"/>
      <c r="C12" s="22"/>
      <c r="D12" s="22"/>
      <c r="E12" s="22"/>
    </row>
    <row r="13" spans="1:5" s="14" customFormat="1" x14ac:dyDescent="0.3">
      <c r="A13" s="14" t="s">
        <v>12</v>
      </c>
      <c r="B13" s="76"/>
      <c r="C13" s="76">
        <f>-'5 Adj NOPAT'!D119</f>
        <v>252.05515600000001</v>
      </c>
      <c r="D13" s="76">
        <f>-'5 Adj NOPAT'!E119</f>
        <v>-280.3322323999999</v>
      </c>
      <c r="E13" s="319">
        <f>-'5 Adj NOPAT'!F119</f>
        <v>251.04262339999997</v>
      </c>
    </row>
    <row r="14" spans="1:5" s="14" customFormat="1" x14ac:dyDescent="0.3">
      <c r="A14" s="14" t="s">
        <v>76</v>
      </c>
      <c r="B14" s="34">
        <f>-'5 Adj NOA'!C196</f>
        <v>9217.2344530000009</v>
      </c>
      <c r="C14" s="34">
        <f>-'5 Adj NOA'!D196</f>
        <v>9254.2896089999995</v>
      </c>
      <c r="D14" s="34">
        <f>-'5 Adj NOA'!E196</f>
        <v>9659.9573766000012</v>
      </c>
      <c r="E14" s="320">
        <f>-'5 Adj NOA'!F196</f>
        <v>10328</v>
      </c>
    </row>
    <row r="15" spans="1:5" s="14" customFormat="1" x14ac:dyDescent="0.3">
      <c r="A15" s="14" t="s">
        <v>88</v>
      </c>
      <c r="B15" s="77"/>
      <c r="C15" s="77">
        <f t="shared" ref="C15:D15" si="7">AVERAGE(B14:C14)</f>
        <v>9235.7620310000002</v>
      </c>
      <c r="D15" s="77">
        <f t="shared" si="7"/>
        <v>9457.1234928000013</v>
      </c>
      <c r="E15" s="317">
        <f t="shared" ref="E15" si="8">AVERAGE(D14:E14)</f>
        <v>9993.9786883000015</v>
      </c>
    </row>
    <row r="16" spans="1:5" s="74" customFormat="1" x14ac:dyDescent="0.3">
      <c r="A16" s="74" t="s">
        <v>11</v>
      </c>
      <c r="B16" s="272"/>
      <c r="C16" s="272">
        <f t="shared" ref="C16" si="9">+C13/C15</f>
        <v>2.7291213779000841E-2</v>
      </c>
      <c r="D16" s="272">
        <f t="shared" ref="D16:E16" si="10">+D13/D15</f>
        <v>-2.9642441765027751E-2</v>
      </c>
      <c r="E16" s="318">
        <f t="shared" si="10"/>
        <v>2.5119387506188778E-2</v>
      </c>
    </row>
    <row r="17" spans="1:5" s="74" customFormat="1" x14ac:dyDescent="0.3">
      <c r="A17" s="13" t="s">
        <v>501</v>
      </c>
      <c r="B17" s="273"/>
      <c r="C17" s="274">
        <f>IF((C3-B3)/7=52,C16,(C13*52/53)/C15)</f>
        <v>2.7291213779000841E-2</v>
      </c>
      <c r="D17" s="274">
        <f t="shared" ref="D17:E17" si="11">IF((D3-C3)/7=52,D16,(D13*52/53)/D15)</f>
        <v>-2.9642441765027751E-2</v>
      </c>
      <c r="E17" s="318">
        <f t="shared" si="11"/>
        <v>2.5119387506188778E-2</v>
      </c>
    </row>
    <row r="18" spans="1:5" s="14" customFormat="1" x14ac:dyDescent="0.3">
      <c r="B18" s="33"/>
      <c r="C18" s="33"/>
      <c r="D18" s="33"/>
      <c r="E18" s="33"/>
    </row>
    <row r="19" spans="1:5" s="14" customFormat="1" x14ac:dyDescent="0.3">
      <c r="A19" s="14" t="s">
        <v>197</v>
      </c>
      <c r="B19" s="28"/>
      <c r="C19" s="28">
        <f t="shared" ref="C19" si="12">+C7</f>
        <v>814</v>
      </c>
      <c r="D19" s="28">
        <f t="shared" ref="D19:E19" si="13">+D7</f>
        <v>1166</v>
      </c>
      <c r="E19" s="235">
        <f t="shared" si="13"/>
        <v>1592</v>
      </c>
    </row>
    <row r="20" spans="1:5" x14ac:dyDescent="0.3">
      <c r="A20" t="s">
        <v>30</v>
      </c>
      <c r="B20" s="2">
        <f t="shared" ref="B20:C20" si="14">+B4</f>
        <v>13525</v>
      </c>
      <c r="C20" s="2">
        <f t="shared" si="14"/>
        <v>12965</v>
      </c>
      <c r="D20" s="2">
        <f t="shared" ref="D20:E20" si="15">+D4</f>
        <v>12854</v>
      </c>
      <c r="E20" s="235">
        <f t="shared" si="15"/>
        <v>13547</v>
      </c>
    </row>
    <row r="21" spans="1:5" s="13" customFormat="1" x14ac:dyDescent="0.3">
      <c r="A21" s="13" t="s">
        <v>201</v>
      </c>
      <c r="B21" s="274"/>
      <c r="C21" s="274">
        <f t="shared" ref="C21" si="16">+C7/C4</f>
        <v>6.2784419591207091E-2</v>
      </c>
      <c r="D21" s="274">
        <f t="shared" ref="D21:E21" si="17">+D7/D4</f>
        <v>9.0711062704216583E-2</v>
      </c>
      <c r="E21" s="318">
        <f t="shared" si="17"/>
        <v>0.11751679338598951</v>
      </c>
    </row>
    <row r="23" spans="1:5" x14ac:dyDescent="0.3">
      <c r="A23" t="s">
        <v>30</v>
      </c>
      <c r="B23" s="54">
        <f t="shared" ref="B23" si="18">+B4</f>
        <v>13525</v>
      </c>
      <c r="C23" s="54">
        <f t="shared" ref="C23:E23" si="19">+C4</f>
        <v>12965</v>
      </c>
      <c r="D23" s="54">
        <f t="shared" si="19"/>
        <v>12854</v>
      </c>
      <c r="E23" s="321">
        <f t="shared" si="19"/>
        <v>13547</v>
      </c>
    </row>
    <row r="24" spans="1:5" x14ac:dyDescent="0.3">
      <c r="A24" t="s">
        <v>202</v>
      </c>
      <c r="B24" s="2" t="str">
        <f>+'5 Adj NOA'!B98</f>
        <v/>
      </c>
      <c r="C24" s="2">
        <f t="shared" ref="C24:D24" si="20">+B8</f>
        <v>11161</v>
      </c>
      <c r="D24" s="2">
        <f t="shared" si="20"/>
        <v>11042</v>
      </c>
      <c r="E24" s="235">
        <f t="shared" ref="E24" si="21">+D8</f>
        <v>11790</v>
      </c>
    </row>
    <row r="25" spans="1:5" x14ac:dyDescent="0.3">
      <c r="A25" t="s">
        <v>203</v>
      </c>
      <c r="B25" s="19"/>
      <c r="C25" s="19">
        <f t="shared" ref="C25:E25" si="22">+C8</f>
        <v>11042</v>
      </c>
      <c r="D25" s="19">
        <f t="shared" si="22"/>
        <v>11790</v>
      </c>
      <c r="E25" s="212">
        <f t="shared" si="22"/>
        <v>12929</v>
      </c>
    </row>
    <row r="26" spans="1:5" s="13" customFormat="1" x14ac:dyDescent="0.3">
      <c r="A26" s="13" t="s">
        <v>204</v>
      </c>
      <c r="B26" s="273"/>
      <c r="C26" s="273">
        <f>+C23/(C25+C24)*2</f>
        <v>1.1678601990721975</v>
      </c>
      <c r="D26" s="273">
        <f t="shared" ref="D26:E26" si="23">+D23/(D25+D24)*2</f>
        <v>1.1259635599159075</v>
      </c>
      <c r="E26" s="322">
        <f t="shared" si="23"/>
        <v>1.0960799385088393</v>
      </c>
    </row>
    <row r="27" spans="1:5" s="13" customFormat="1" x14ac:dyDescent="0.3">
      <c r="A27" s="13" t="s">
        <v>457</v>
      </c>
      <c r="B27" s="273"/>
      <c r="C27" s="273">
        <f>IF((C3-B3)/7=52,C26,(C23*52/53)/(C25+C24)*2)</f>
        <v>1.1678601990721975</v>
      </c>
      <c r="D27" s="273">
        <f t="shared" ref="D27:E27" si="24">IF((D3-C3)/7=52,D26,(D23*52/53)/(D25+D24)*2)</f>
        <v>1.1259635599159075</v>
      </c>
      <c r="E27" s="322">
        <f t="shared" si="24"/>
        <v>1.0960799385088393</v>
      </c>
    </row>
    <row r="30" spans="1:5" x14ac:dyDescent="0.3">
      <c r="A30" t="s">
        <v>1</v>
      </c>
      <c r="B30" s="54"/>
      <c r="C30" s="89">
        <f t="shared" ref="C30" si="25">+C4</f>
        <v>12965</v>
      </c>
      <c r="D30" s="89">
        <f t="shared" ref="D30:E30" si="26">+D4</f>
        <v>12854</v>
      </c>
      <c r="E30" s="321">
        <f t="shared" si="26"/>
        <v>13547</v>
      </c>
    </row>
    <row r="31" spans="1:5" x14ac:dyDescent="0.3">
      <c r="A31" t="s">
        <v>2</v>
      </c>
      <c r="B31" s="2"/>
      <c r="C31" s="28">
        <f>+'5 Adj NOPAT'!D12</f>
        <v>-8131</v>
      </c>
      <c r="D31" s="28">
        <f>+'5 Adj NOPAT'!E12</f>
        <v>-8155</v>
      </c>
      <c r="E31" s="235">
        <f>+'5 Adj NOPAT'!F12</f>
        <v>-8821</v>
      </c>
    </row>
    <row r="32" spans="1:5" x14ac:dyDescent="0.3">
      <c r="A32" t="s">
        <v>266</v>
      </c>
      <c r="B32" s="2"/>
      <c r="C32" s="28">
        <f>+'5 Adj NOPAT'!D14</f>
        <v>-39</v>
      </c>
      <c r="D32" s="28">
        <f>+'5 Adj NOPAT'!E14</f>
        <v>-41</v>
      </c>
      <c r="E32" s="235">
        <f>+'5 Adj NOPAT'!F14</f>
        <v>-38</v>
      </c>
    </row>
    <row r="33" spans="1:5" x14ac:dyDescent="0.3">
      <c r="A33" t="s">
        <v>84</v>
      </c>
      <c r="B33" s="2"/>
      <c r="C33" s="28">
        <f>+'5 Adj NOPAT'!D15</f>
        <v>-98</v>
      </c>
      <c r="D33" s="28">
        <f>+'5 Adj NOPAT'!E15</f>
        <v>-96</v>
      </c>
      <c r="E33" s="235">
        <f>+'5 Adj NOPAT'!F15</f>
        <v>-87</v>
      </c>
    </row>
    <row r="34" spans="1:5" x14ac:dyDescent="0.3">
      <c r="A34" t="s">
        <v>411</v>
      </c>
      <c r="B34" s="2"/>
      <c r="C34" s="28">
        <f>+'5 IS Adjusted'!E21</f>
        <v>-36</v>
      </c>
      <c r="D34" s="28">
        <f>+'5 IS Adjusted'!F21</f>
        <v>-34</v>
      </c>
      <c r="E34" s="235">
        <f>+'5 IS Adjusted'!G21</f>
        <v>-27</v>
      </c>
    </row>
    <row r="35" spans="1:5" x14ac:dyDescent="0.3">
      <c r="A35" s="14" t="s">
        <v>412</v>
      </c>
      <c r="B35" s="2"/>
      <c r="C35" s="28">
        <f>'5 IS Adjusted'!E22</f>
        <v>-21</v>
      </c>
      <c r="D35" s="28">
        <f>'5 IS Adjusted'!F22</f>
        <v>-18</v>
      </c>
      <c r="E35" s="235">
        <f>'5 IS Adjusted'!G22</f>
        <v>-18</v>
      </c>
    </row>
    <row r="36" spans="1:5" x14ac:dyDescent="0.3">
      <c r="A36" s="14" t="s">
        <v>418</v>
      </c>
      <c r="B36" s="2"/>
      <c r="C36" s="28">
        <f>'5 IS Adjusted'!E23</f>
        <v>-17</v>
      </c>
      <c r="D36" s="28">
        <f>'5 IS Adjusted'!F23</f>
        <v>-16</v>
      </c>
      <c r="E36" s="235">
        <f>'5 IS Adjusted'!G23</f>
        <v>-11</v>
      </c>
    </row>
    <row r="37" spans="1:5" x14ac:dyDescent="0.3">
      <c r="A37" s="14" t="s">
        <v>419</v>
      </c>
      <c r="B37" s="2"/>
      <c r="C37" s="28">
        <f>'5 IS Adjusted'!E24</f>
        <v>-7</v>
      </c>
      <c r="D37" s="28">
        <f>'5 IS Adjusted'!F24</f>
        <v>-6</v>
      </c>
      <c r="E37" s="235">
        <f>'5 IS Adjusted'!G24</f>
        <v>-3</v>
      </c>
    </row>
    <row r="38" spans="1:5" x14ac:dyDescent="0.3">
      <c r="A38" t="s">
        <v>294</v>
      </c>
      <c r="B38" s="2"/>
      <c r="C38" s="28">
        <f>+'5 IS Adjusted'!E25</f>
        <v>-182</v>
      </c>
      <c r="D38" s="28">
        <f>+'5 IS Adjusted'!F25</f>
        <v>-148</v>
      </c>
      <c r="E38" s="235">
        <f>+'5 IS Adjusted'!G25</f>
        <v>-154</v>
      </c>
    </row>
    <row r="39" spans="1:5" x14ac:dyDescent="0.3">
      <c r="A39" t="s">
        <v>167</v>
      </c>
      <c r="B39" s="2"/>
      <c r="C39" s="28">
        <f>+'5 IS Adjusted'!E26</f>
        <v>-735</v>
      </c>
      <c r="D39" s="28">
        <f>+'5 IS Adjusted'!F26</f>
        <v>-732</v>
      </c>
      <c r="E39" s="235">
        <f>+'5 IS Adjusted'!G26</f>
        <v>-752</v>
      </c>
    </row>
    <row r="40" spans="1:5" x14ac:dyDescent="0.3">
      <c r="A40" t="s">
        <v>335</v>
      </c>
      <c r="B40" s="2"/>
      <c r="C40" s="28">
        <f>+'5 IS Adjusted'!E27</f>
        <v>-9</v>
      </c>
      <c r="D40" s="28">
        <f>+'5 IS Adjusted'!F27</f>
        <v>-14</v>
      </c>
      <c r="E40" s="235">
        <f>+'5 IS Adjusted'!G27</f>
        <v>-4</v>
      </c>
    </row>
    <row r="41" spans="1:5" x14ac:dyDescent="0.3">
      <c r="A41" t="s">
        <v>78</v>
      </c>
      <c r="B41" s="2"/>
      <c r="C41" s="28">
        <f>+'5 IS Adjusted'!E28</f>
        <v>-159</v>
      </c>
      <c r="D41" s="28">
        <f>+'5 IS Adjusted'!F28</f>
        <v>-180</v>
      </c>
      <c r="E41" s="235">
        <f>+'5 IS Adjusted'!G28</f>
        <v>-119</v>
      </c>
    </row>
    <row r="42" spans="1:5" x14ac:dyDescent="0.3">
      <c r="A42" t="s">
        <v>336</v>
      </c>
      <c r="B42" s="2"/>
      <c r="C42" s="28">
        <f>+'5 IS Adjusted'!E29</f>
        <v>-1872</v>
      </c>
      <c r="D42" s="28">
        <f>+'5 IS Adjusted'!F29</f>
        <v>-2397</v>
      </c>
      <c r="E42" s="235">
        <f>+'5 IS Adjusted'!G29</f>
        <v>-1742</v>
      </c>
    </row>
    <row r="43" spans="1:5" x14ac:dyDescent="0.3">
      <c r="A43" t="s">
        <v>242</v>
      </c>
      <c r="B43" s="2"/>
      <c r="C43" s="28">
        <f>'5 Adj NOPAT'!D42</f>
        <v>-414</v>
      </c>
      <c r="D43" s="28">
        <f>'5 Adj NOPAT'!E42</f>
        <v>-317</v>
      </c>
      <c r="E43" s="235">
        <f>'5 Adj NOPAT'!F42</f>
        <v>-257</v>
      </c>
    </row>
    <row r="44" spans="1:5" s="13" customFormat="1" ht="15" thickBot="1" x14ac:dyDescent="0.35">
      <c r="A44" s="13" t="s">
        <v>205</v>
      </c>
      <c r="B44" s="275"/>
      <c r="C44" s="275">
        <f>SUM(C30:C43)</f>
        <v>1245</v>
      </c>
      <c r="D44" s="275">
        <f>SUM(D30:D43)</f>
        <v>700</v>
      </c>
      <c r="E44" s="323">
        <f>SUM(E30:E43)</f>
        <v>1514</v>
      </c>
    </row>
    <row r="45" spans="1:5" ht="15" thickTop="1" x14ac:dyDescent="0.3"/>
    <row r="47" spans="1:5" x14ac:dyDescent="0.3">
      <c r="A47" t="str">
        <f>+A20</f>
        <v>Sales</v>
      </c>
      <c r="B47" s="54">
        <f>+B20</f>
        <v>13525</v>
      </c>
      <c r="C47" s="54">
        <f>+C20</f>
        <v>12965</v>
      </c>
      <c r="D47" s="54">
        <f>+D20</f>
        <v>12854</v>
      </c>
      <c r="E47" s="321">
        <f>+E20</f>
        <v>13547</v>
      </c>
    </row>
    <row r="48" spans="1:5" x14ac:dyDescent="0.3">
      <c r="A48" t="str">
        <f>+A44</f>
        <v>NOPAT from Sales</v>
      </c>
      <c r="B48" s="2"/>
      <c r="C48" s="2">
        <f t="shared" ref="C48:E48" si="27">+C44</f>
        <v>1245</v>
      </c>
      <c r="D48" s="2">
        <f t="shared" si="27"/>
        <v>700</v>
      </c>
      <c r="E48" s="235">
        <f t="shared" si="27"/>
        <v>1514</v>
      </c>
    </row>
    <row r="49" spans="1:5" s="13" customFormat="1" x14ac:dyDescent="0.3">
      <c r="A49" s="13" t="s">
        <v>206</v>
      </c>
      <c r="B49" s="274"/>
      <c r="C49" s="274">
        <f t="shared" ref="C49" si="28">+C48/C47</f>
        <v>9.6027767065175476E-2</v>
      </c>
      <c r="D49" s="274">
        <f t="shared" ref="D49:E49" si="29">+D48/D47</f>
        <v>5.4457756340438777E-2</v>
      </c>
      <c r="E49" s="318">
        <f t="shared" si="29"/>
        <v>0.11175906104672621</v>
      </c>
    </row>
    <row r="52" spans="1:5" x14ac:dyDescent="0.3">
      <c r="A52" s="276" t="s">
        <v>13</v>
      </c>
      <c r="B52" s="277"/>
      <c r="C52" s="277"/>
      <c r="D52" s="277"/>
      <c r="E52" s="277"/>
    </row>
    <row r="53" spans="1:5" x14ac:dyDescent="0.3">
      <c r="A53" s="276" t="s">
        <v>207</v>
      </c>
      <c r="B53" s="278"/>
      <c r="C53" s="278">
        <f>+C10</f>
        <v>7.3323424762419487E-2</v>
      </c>
      <c r="D53" s="278">
        <f>+D10</f>
        <v>0.10213735108619482</v>
      </c>
      <c r="E53" s="278">
        <f>+E10</f>
        <v>0.12880779966827138</v>
      </c>
    </row>
    <row r="54" spans="1:5" x14ac:dyDescent="0.3">
      <c r="A54" s="276" t="s">
        <v>503</v>
      </c>
      <c r="B54" s="278"/>
      <c r="C54" s="278">
        <f>C21*C27</f>
        <v>7.3323424762419487E-2</v>
      </c>
      <c r="D54" s="278">
        <f t="shared" ref="D54:E54" si="30">D21*D27</f>
        <v>0.1021373510861948</v>
      </c>
      <c r="E54" s="278">
        <f t="shared" si="30"/>
        <v>0.12880779966827136</v>
      </c>
    </row>
    <row r="55" spans="1:5" x14ac:dyDescent="0.3">
      <c r="A55" s="276" t="s">
        <v>504</v>
      </c>
      <c r="B55" s="279"/>
      <c r="C55" s="279">
        <f>C53-C54</f>
        <v>0</v>
      </c>
      <c r="D55" s="279">
        <f t="shared" ref="D55:E55" si="31">D53-D54</f>
        <v>0</v>
      </c>
      <c r="E55" s="279">
        <f t="shared" si="31"/>
        <v>0</v>
      </c>
    </row>
    <row r="56" spans="1:5" x14ac:dyDescent="0.3">
      <c r="A56" s="12"/>
      <c r="B56" s="11"/>
      <c r="C56" s="11"/>
      <c r="D56" s="11"/>
      <c r="E56" s="11"/>
    </row>
    <row r="57" spans="1:5" x14ac:dyDescent="0.3">
      <c r="A57" s="12"/>
      <c r="B57" s="11"/>
      <c r="C57" s="11"/>
      <c r="D57" s="11"/>
      <c r="E57" s="1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6"/>
  <sheetViews>
    <sheetView workbookViewId="0">
      <pane xSplit="1" ySplit="3" topLeftCell="B4" activePane="bottomRight" state="frozen"/>
      <selection activeCell="H23" sqref="H23"/>
      <selection pane="topRight" activeCell="H23" sqref="H23"/>
      <selection pane="bottomLeft" activeCell="H23" sqref="H23"/>
      <selection pane="bottomRight" activeCell="D54" sqref="D54"/>
    </sheetView>
  </sheetViews>
  <sheetFormatPr defaultRowHeight="14.4" x14ac:dyDescent="0.3"/>
  <cols>
    <col min="1" max="1" width="68.21875" bestFit="1" customWidth="1"/>
    <col min="2" max="4" width="10.77734375" bestFit="1" customWidth="1"/>
  </cols>
  <sheetData>
    <row r="1" spans="1:4" x14ac:dyDescent="0.3">
      <c r="A1" s="13" t="str">
        <f>+'3 BS Reported'!A1</f>
        <v>Kellogg</v>
      </c>
      <c r="B1" s="13"/>
      <c r="C1" s="13"/>
      <c r="D1" s="13"/>
    </row>
    <row r="2" spans="1:4" x14ac:dyDescent="0.3">
      <c r="A2" s="74"/>
      <c r="B2" s="13"/>
      <c r="C2" s="13"/>
      <c r="D2" s="13"/>
    </row>
    <row r="3" spans="1:4" x14ac:dyDescent="0.3">
      <c r="A3" s="74"/>
      <c r="B3" s="240">
        <f>+'6 Analyzing'!C3</f>
        <v>42735</v>
      </c>
      <c r="C3" s="240">
        <f>+'6 Analyzing'!D3</f>
        <v>43099</v>
      </c>
      <c r="D3" s="240">
        <f>+'6 Analyzing'!E3</f>
        <v>43463</v>
      </c>
    </row>
    <row r="4" spans="1:4" x14ac:dyDescent="0.3">
      <c r="A4" s="14"/>
      <c r="B4" s="142"/>
      <c r="C4" s="142"/>
      <c r="D4" s="142"/>
    </row>
    <row r="5" spans="1:4" x14ac:dyDescent="0.3">
      <c r="A5" s="14" t="s">
        <v>402</v>
      </c>
      <c r="B5" s="55">
        <f>IF('5 Adj NOPAT'!D5="","",+'5 Adj NOPAT'!D5/'6 Analyzing'!C$4)</f>
        <v>0.22499035865792519</v>
      </c>
      <c r="C5" s="55">
        <f>IF('5 Adj NOPAT'!E5="","",+'5 Adj NOPAT'!E5/'6 Analyzing'!D$4)</f>
        <v>0.21075151703749806</v>
      </c>
      <c r="D5" s="324">
        <f>IF('5 Adj NOPAT'!F5="","",+'5 Adj NOPAT'!F5/'6 Analyzing'!E$4)</f>
        <v>0.19509854580349892</v>
      </c>
    </row>
    <row r="6" spans="1:4" x14ac:dyDescent="0.3">
      <c r="A6" s="14" t="s">
        <v>403</v>
      </c>
      <c r="B6" s="55">
        <f>IF('5 Adj NOPAT'!D6="","",+'5 Adj NOPAT'!D6/'6 Analyzing'!C$4)</f>
        <v>0.24658696490551485</v>
      </c>
      <c r="C6" s="55">
        <f>IF('5 Adj NOPAT'!E6="","",+'5 Adj NOPAT'!E6/'6 Analyzing'!D$4)</f>
        <v>0.24194803174109228</v>
      </c>
      <c r="D6" s="324">
        <f>IF('5 Adj NOPAT'!F6="","",+'5 Adj NOPAT'!F6/'6 Analyzing'!E$4)</f>
        <v>0.21827710932309735</v>
      </c>
    </row>
    <row r="7" spans="1:4" x14ac:dyDescent="0.3">
      <c r="A7" s="14" t="s">
        <v>455</v>
      </c>
      <c r="B7" s="55">
        <f>IF('5 Adj NOPAT'!D7="","",+'5 Adj NOPAT'!D7/'6 Analyzing'!C$4)</f>
        <v>9.3096799074431164E-2</v>
      </c>
      <c r="C7" s="55">
        <f>IF('5 Adj NOPAT'!E7="","",+'5 Adj NOPAT'!E7/'6 Analyzing'!D$4)</f>
        <v>9.6623619106892794E-2</v>
      </c>
      <c r="D7" s="324">
        <f>IF('5 Adj NOPAT'!F7="","",+'5 Adj NOPAT'!F7/'6 Analyzing'!E$4)</f>
        <v>9.1164095371669002E-2</v>
      </c>
    </row>
    <row r="8" spans="1:4" x14ac:dyDescent="0.3">
      <c r="A8" s="14" t="s">
        <v>405</v>
      </c>
      <c r="B8" s="55">
        <f>IF('5 Adj NOPAT'!D8="","",+'5 Adj NOPAT'!D8/'6 Analyzing'!C$4)</f>
        <v>0.12286926340146548</v>
      </c>
      <c r="C8" s="55">
        <f>IF('5 Adj NOPAT'!E8="","",+'5 Adj NOPAT'!E8/'6 Analyzing'!D$4)</f>
        <v>0.12540843317255329</v>
      </c>
      <c r="D8" s="324">
        <f>IF('5 Adj NOPAT'!F8="","",+'5 Adj NOPAT'!F8/'6 Analyzing'!E$4)</f>
        <v>0.1367830515981398</v>
      </c>
    </row>
    <row r="9" spans="1:4" x14ac:dyDescent="0.3">
      <c r="A9" s="14" t="s">
        <v>406</v>
      </c>
      <c r="B9" s="55">
        <f>IF('5 Adj NOPAT'!D9="","",+'5 Adj NOPAT'!D9/'6 Analyzing'!C$4)</f>
        <v>0.18380254531430776</v>
      </c>
      <c r="C9" s="55">
        <f>IF('5 Adj NOPAT'!E9="","",+'5 Adj NOPAT'!E9/'6 Analyzing'!D$4)</f>
        <v>0.17823245682277891</v>
      </c>
      <c r="D9" s="324">
        <f>IF('5 Adj NOPAT'!F9="","",+'5 Adj NOPAT'!F9/'6 Analyzing'!E$4)</f>
        <v>0.17679190964789251</v>
      </c>
    </row>
    <row r="10" spans="1:4" x14ac:dyDescent="0.3">
      <c r="A10" s="14" t="s">
        <v>407</v>
      </c>
      <c r="B10" s="55">
        <f>IF('5 Adj NOPAT'!D10="","",+'5 Adj NOPAT'!D10/'6 Analyzing'!C$4)</f>
        <v>5.9544928654068643E-2</v>
      </c>
      <c r="C10" s="55">
        <f>IF('5 Adj NOPAT'!E10="","",+'5 Adj NOPAT'!E10/'6 Analyzing'!D$4)</f>
        <v>7.3440174264820288E-2</v>
      </c>
      <c r="D10" s="324">
        <f>IF('5 Adj NOPAT'!F10="","",+'5 Adj NOPAT'!F10/'6 Analyzing'!E$4)</f>
        <v>6.9904775965158344E-2</v>
      </c>
    </row>
    <row r="11" spans="1:4" x14ac:dyDescent="0.3">
      <c r="A11" s="14" t="s">
        <v>408</v>
      </c>
      <c r="B11" s="56">
        <f>IF('5 Adj NOPAT'!D11="","",+'5 Adj NOPAT'!D11/'6 Analyzing'!C$4)</f>
        <v>6.9109139992286933E-2</v>
      </c>
      <c r="C11" s="56">
        <f>IF('5 Adj NOPAT'!E11="","",+'5 Adj NOPAT'!E11/'6 Analyzing'!D$4)</f>
        <v>7.3595767854364405E-2</v>
      </c>
      <c r="D11" s="325">
        <f>IF('5 Adj NOPAT'!F11="","",+'5 Adj NOPAT'!F11/'6 Analyzing'!E$4)</f>
        <v>0.11198051229054404</v>
      </c>
    </row>
    <row r="12" spans="1:4" x14ac:dyDescent="0.3">
      <c r="A12" s="14"/>
      <c r="B12" s="55">
        <f>SUM(B5:B11)</f>
        <v>1</v>
      </c>
      <c r="C12" s="55">
        <f>SUM(C5:C11)</f>
        <v>1</v>
      </c>
      <c r="D12" s="324">
        <f>SUM(D5:D11)</f>
        <v>0.99999999999999989</v>
      </c>
    </row>
    <row r="13" spans="1:4" x14ac:dyDescent="0.3">
      <c r="A13" s="14" t="s">
        <v>143</v>
      </c>
      <c r="B13" s="56">
        <f>IF('5 Adj NOPAT'!D12="","",+'5 Adj NOPAT'!D12/'6 Analyzing'!C$4)</f>
        <v>-0.6271500192826841</v>
      </c>
      <c r="C13" s="56">
        <f>IF('5 Adj NOPAT'!E12="","",+'5 Adj NOPAT'!E12/'6 Analyzing'!D$4)</f>
        <v>-0.63443286136611177</v>
      </c>
      <c r="D13" s="325">
        <f>IF('5 Adj NOPAT'!F12="","",+'5 Adj NOPAT'!F12/'6 Analyzing'!E$4)</f>
        <v>-0.65114047390566177</v>
      </c>
    </row>
    <row r="14" spans="1:4" x14ac:dyDescent="0.3">
      <c r="A14" s="14" t="s">
        <v>166</v>
      </c>
      <c r="B14" s="55">
        <f>SUM(B12:B13)</f>
        <v>0.3728499807173159</v>
      </c>
      <c r="C14" s="55">
        <f>SUM(C12:C13)</f>
        <v>0.36556713863388823</v>
      </c>
      <c r="D14" s="324">
        <f>SUM(D12:D13)</f>
        <v>0.34885952609433812</v>
      </c>
    </row>
    <row r="15" spans="1:4" x14ac:dyDescent="0.3">
      <c r="A15" s="14" t="s">
        <v>266</v>
      </c>
      <c r="B15" s="55">
        <f>IF('5 Adj NOPAT'!D14="","",+'5 Adj NOPAT'!D14/'6 Analyzing'!C$4)</f>
        <v>-3.008098727342846E-3</v>
      </c>
      <c r="C15" s="55">
        <f>IF('5 Adj NOPAT'!E14="","",+'5 Adj NOPAT'!E14/'6 Analyzing'!D$4)</f>
        <v>-3.1896685856542708E-3</v>
      </c>
      <c r="D15" s="324">
        <f>IF('5 Adj NOPAT'!F14="","",+'5 Adj NOPAT'!F14/'6 Analyzing'!E$4)</f>
        <v>-2.8050490883590462E-3</v>
      </c>
    </row>
    <row r="16" spans="1:4" x14ac:dyDescent="0.3">
      <c r="A16" s="14" t="s">
        <v>84</v>
      </c>
      <c r="B16" s="55">
        <f>IF('5 Adj NOPAT'!D15="","",+'5 Adj NOPAT'!D15/'6 Analyzing'!C$4)</f>
        <v>-7.5588121866563829E-3</v>
      </c>
      <c r="C16" s="55">
        <f>IF('5 Adj NOPAT'!E15="","",+'5 Adj NOPAT'!E15/'6 Analyzing'!D$4)</f>
        <v>-7.4684922981173175E-3</v>
      </c>
      <c r="D16" s="324">
        <f>IF('5 Adj NOPAT'!F15="","",+'5 Adj NOPAT'!F15/'6 Analyzing'!E$4)</f>
        <v>-6.4220860707167636E-3</v>
      </c>
    </row>
    <row r="17" spans="1:4" x14ac:dyDescent="0.3">
      <c r="A17" s="14" t="s">
        <v>85</v>
      </c>
      <c r="B17" s="55" t="str">
        <f>IF('5 Adj NOPAT'!D16="","",+'5 Adj NOPAT'!D16/'6 Analyzing'!C$4)</f>
        <v/>
      </c>
      <c r="C17" s="55" t="str">
        <f>IF('5 Adj NOPAT'!E16="","",+'5 Adj NOPAT'!E16/'6 Analyzing'!D$4)</f>
        <v/>
      </c>
      <c r="D17" s="55" t="str">
        <f>IF('5 Adj NOPAT'!F16="","",+'5 Adj NOPAT'!F16/'6 Analyzing'!E$4)</f>
        <v/>
      </c>
    </row>
    <row r="18" spans="1:4" x14ac:dyDescent="0.3">
      <c r="A18" s="14" t="s">
        <v>86</v>
      </c>
      <c r="B18" s="55" t="str">
        <f>IF('5 Adj NOPAT'!D17="","",+'5 Adj NOPAT'!D17/'6 Analyzing'!C$4)</f>
        <v/>
      </c>
      <c r="C18" s="55" t="str">
        <f>IF('5 Adj NOPAT'!E17="","",+'5 Adj NOPAT'!E17/'6 Analyzing'!D$4)</f>
        <v/>
      </c>
      <c r="D18" s="55" t="str">
        <f>IF('5 Adj NOPAT'!F17="","",+'5 Adj NOPAT'!F17/'6 Analyzing'!E$4)</f>
        <v/>
      </c>
    </row>
    <row r="19" spans="1:4" x14ac:dyDescent="0.3">
      <c r="A19" s="14" t="s">
        <v>409</v>
      </c>
      <c r="B19" s="55" t="str">
        <f>IF('5 Adj NOPAT'!D18="","",+'5 Adj NOPAT'!D18/'6 Analyzing'!C$4)</f>
        <v/>
      </c>
      <c r="C19" s="55" t="str">
        <f>IF('5 Adj NOPAT'!E18="","",+'5 Adj NOPAT'!E18/'6 Analyzing'!D$4)</f>
        <v/>
      </c>
      <c r="D19" s="61" t="str">
        <f>IF('5 Adj NOPAT'!F18="","",+'5 Adj NOPAT'!F18/'6 Analyzing'!E$4)</f>
        <v/>
      </c>
    </row>
    <row r="20" spans="1:4" x14ac:dyDescent="0.3">
      <c r="A20" s="14" t="s">
        <v>87</v>
      </c>
      <c r="B20" s="55" t="str">
        <f>IF('5 Adj NOPAT'!D19="","",+'5 Adj NOPAT'!D19/'6 Analyzing'!C$4)</f>
        <v/>
      </c>
      <c r="C20" s="55" t="str">
        <f>IF('5 Adj NOPAT'!E19="","",+'5 Adj NOPAT'!E19/'6 Analyzing'!D$4)</f>
        <v/>
      </c>
      <c r="D20" s="55" t="str">
        <f>IF('5 Adj NOPAT'!F19="","",+'5 Adj NOPAT'!F19/'6 Analyzing'!E$4)</f>
        <v/>
      </c>
    </row>
    <row r="21" spans="1:4" x14ac:dyDescent="0.3">
      <c r="A21" s="14" t="s">
        <v>410</v>
      </c>
      <c r="B21" s="55" t="str">
        <f>IF('5 Adj NOPAT'!D20="","",+'5 Adj NOPAT'!D20/'6 Analyzing'!C$4)</f>
        <v/>
      </c>
      <c r="C21" s="55" t="str">
        <f>IF('5 Adj NOPAT'!E20="","",+'5 Adj NOPAT'!E20/'6 Analyzing'!D$4)</f>
        <v/>
      </c>
      <c r="D21" s="55" t="str">
        <f>IF('5 Adj NOPAT'!F20="","",+'5 Adj NOPAT'!F20/'6 Analyzing'!E$4)</f>
        <v/>
      </c>
    </row>
    <row r="22" spans="1:4" x14ac:dyDescent="0.3">
      <c r="A22" s="14" t="s">
        <v>411</v>
      </c>
      <c r="B22" s="55">
        <f>IF('5 Adj NOPAT'!D21="","",+'5 Adj NOPAT'!D21/'6 Analyzing'!C$4)</f>
        <v>-2.7767065175472428E-3</v>
      </c>
      <c r="C22" s="55">
        <f>IF('5 Adj NOPAT'!E21="","",+'5 Adj NOPAT'!E21/'6 Analyzing'!D$4)</f>
        <v>-2.6450910222498834E-3</v>
      </c>
      <c r="D22" s="324">
        <f>IF('5 Adj NOPAT'!F21="","",+'5 Adj NOPAT'!F21/'6 Analyzing'!E$4)</f>
        <v>-1.993061194360375E-3</v>
      </c>
    </row>
    <row r="23" spans="1:4" x14ac:dyDescent="0.3">
      <c r="A23" s="14" t="s">
        <v>412</v>
      </c>
      <c r="B23" s="55">
        <f>IF('5 Adj NOPAT'!D22="","",+'5 Adj NOPAT'!D22/'6 Analyzing'!C$4)</f>
        <v>-1.6197454685692248E-3</v>
      </c>
      <c r="C23" s="55">
        <f>IF('5 Adj NOPAT'!E22="","",+'5 Adj NOPAT'!E22/'6 Analyzing'!D$4)</f>
        <v>-1.4003423058969971E-3</v>
      </c>
      <c r="D23" s="324">
        <f>IF('5 Adj NOPAT'!F22="","",+'5 Adj NOPAT'!F22/'6 Analyzing'!E$4)</f>
        <v>-1.3287074629069167E-3</v>
      </c>
    </row>
    <row r="24" spans="1:4" x14ac:dyDescent="0.3">
      <c r="A24" s="14" t="s">
        <v>418</v>
      </c>
      <c r="B24" s="55">
        <f>IF('5 Adj NOPAT'!D23="","",+'5 Adj NOPAT'!D23/'6 Analyzing'!C$4)</f>
        <v>-1.3112225221750867E-3</v>
      </c>
      <c r="C24" s="55">
        <f>IF('5 Adj NOPAT'!E23="","",+'5 Adj NOPAT'!E23/'6 Analyzing'!D$4)</f>
        <v>-1.2447487163528862E-3</v>
      </c>
      <c r="D24" s="324">
        <f>IF('5 Adj NOPAT'!F23="","",+'5 Adj NOPAT'!F23/'6 Analyzing'!E$4)</f>
        <v>-8.1198789399867133E-4</v>
      </c>
    </row>
    <row r="25" spans="1:4" x14ac:dyDescent="0.3">
      <c r="A25" s="14" t="s">
        <v>419</v>
      </c>
      <c r="B25" s="55">
        <f>IF('5 Adj NOPAT'!D24="","",+'5 Adj NOPAT'!D24/'6 Analyzing'!C$4)</f>
        <v>-5.3991515618974167E-4</v>
      </c>
      <c r="C25" s="55">
        <f>IF('5 Adj NOPAT'!E24="","",+'5 Adj NOPAT'!E24/'6 Analyzing'!D$4)</f>
        <v>-4.6678076863233234E-4</v>
      </c>
      <c r="D25" s="324">
        <f>IF('5 Adj NOPAT'!F24="","",+'5 Adj NOPAT'!F24/'6 Analyzing'!E$4)</f>
        <v>-2.2145124381781945E-4</v>
      </c>
    </row>
    <row r="26" spans="1:4" x14ac:dyDescent="0.3">
      <c r="A26" s="14" t="s">
        <v>294</v>
      </c>
      <c r="B26" s="55">
        <f>IF('5 Adj NOPAT'!D25="","",+'5 Adj NOPAT'!D25/'6 Analyzing'!C$4)</f>
        <v>-1.4037794060933282E-2</v>
      </c>
      <c r="C26" s="55">
        <f>IF('5 Adj NOPAT'!E25="","",+'5 Adj NOPAT'!E25/'6 Analyzing'!D$4)</f>
        <v>-1.1513925626264198E-2</v>
      </c>
      <c r="D26" s="324">
        <f>IF('5 Adj NOPAT'!F25="","",+'5 Adj NOPAT'!F25/'6 Analyzing'!E$4)</f>
        <v>-1.1367830515981399E-2</v>
      </c>
    </row>
    <row r="27" spans="1:4" x14ac:dyDescent="0.3">
      <c r="A27" s="14" t="s">
        <v>167</v>
      </c>
      <c r="B27" s="55">
        <f>IF('5 Adj NOPAT'!D26="","",+'5 Adj NOPAT'!D26/'6 Analyzing'!C$4)</f>
        <v>-5.6691091399922872E-2</v>
      </c>
      <c r="C27" s="55">
        <f>IF('5 Adj NOPAT'!E26="","",+'5 Adj NOPAT'!E26/'6 Analyzing'!D$4)</f>
        <v>-5.6947253773144545E-2</v>
      </c>
      <c r="D27" s="324">
        <f>IF('5 Adj NOPAT'!F26="","",+'5 Adj NOPAT'!F26/'6 Analyzing'!E$4)</f>
        <v>-5.5510445117000075E-2</v>
      </c>
    </row>
    <row r="28" spans="1:4" x14ac:dyDescent="0.3">
      <c r="A28" s="14" t="s">
        <v>335</v>
      </c>
      <c r="B28" s="55">
        <f>IF('5 Adj NOPAT'!D27="","",+'5 Adj NOPAT'!D27/'6 Analyzing'!C$4)</f>
        <v>-6.941766293868107E-4</v>
      </c>
      <c r="C28" s="55">
        <f>IF('5 Adj NOPAT'!E27="","",+'5 Adj NOPAT'!E27/'6 Analyzing'!D$4)</f>
        <v>-1.0891551268087756E-3</v>
      </c>
      <c r="D28" s="324">
        <f>IF('5 Adj NOPAT'!F27="","",+'5 Adj NOPAT'!F27/'6 Analyzing'!E$4)</f>
        <v>-2.9526832509042594E-4</v>
      </c>
    </row>
    <row r="29" spans="1:4" x14ac:dyDescent="0.3">
      <c r="A29" s="14" t="s">
        <v>78</v>
      </c>
      <c r="B29" s="55">
        <f>IF('5 Adj NOPAT'!D28="","",+'5 Adj NOPAT'!D28/'6 Analyzing'!C$4)</f>
        <v>-1.2263787119166989E-2</v>
      </c>
      <c r="C29" s="55">
        <f>IF('5 Adj NOPAT'!E28="","",+'5 Adj NOPAT'!E28/'6 Analyzing'!D$4)</f>
        <v>-1.400342305896997E-2</v>
      </c>
      <c r="D29" s="324">
        <f>IF('5 Adj NOPAT'!F28="","",+'5 Adj NOPAT'!F28/'6 Analyzing'!E$4)</f>
        <v>-8.784232671440172E-3</v>
      </c>
    </row>
    <row r="30" spans="1:4" x14ac:dyDescent="0.3">
      <c r="A30" s="14" t="s">
        <v>336</v>
      </c>
      <c r="B30" s="55">
        <f>IF('5 Adj NOPAT'!D29="","",+'5 Adj NOPAT'!D29/'6 Analyzing'!C$4)</f>
        <v>-0.14438873891245663</v>
      </c>
      <c r="C30" s="55">
        <f>IF('5 Adj NOPAT'!E29="","",+'5 Adj NOPAT'!E29/'6 Analyzing'!D$4)</f>
        <v>-0.18647891706861677</v>
      </c>
      <c r="D30" s="324">
        <f>IF('5 Adj NOPAT'!F29="","",+'5 Adj NOPAT'!F29/'6 Analyzing'!E$4)</f>
        <v>-0.12858935557688048</v>
      </c>
    </row>
    <row r="31" spans="1:4" x14ac:dyDescent="0.3">
      <c r="A31" s="14" t="s">
        <v>151</v>
      </c>
      <c r="B31" s="55" t="str">
        <f>IF('5 Adj NOPAT'!D30="","",+'5 Adj NOPAT'!D30/'6 Analyzing'!C$4)</f>
        <v/>
      </c>
      <c r="C31" s="55" t="str">
        <f>IF('5 Adj NOPAT'!E30="","",+'5 Adj NOPAT'!E30/'6 Analyzing'!D$4)</f>
        <v/>
      </c>
      <c r="D31" s="55" t="str">
        <f>IF('5 Adj NOPAT'!F30="","",+'5 Adj NOPAT'!F30/'6 Analyzing'!E$4)</f>
        <v/>
      </c>
    </row>
    <row r="32" spans="1:4" x14ac:dyDescent="0.3">
      <c r="A32" s="14" t="s">
        <v>3</v>
      </c>
      <c r="B32" s="55" t="str">
        <f>IF('5 Adj NOPAT'!D31="","",+'5 Adj NOPAT'!D31/'6 Analyzing'!C$4)</f>
        <v/>
      </c>
      <c r="C32" s="55" t="str">
        <f>IF('5 Adj NOPAT'!E31="","",+'5 Adj NOPAT'!E31/'6 Analyzing'!D$4)</f>
        <v/>
      </c>
      <c r="D32" s="55" t="str">
        <f>IF('5 Adj NOPAT'!F31="","",+'5 Adj NOPAT'!F31/'6 Analyzing'!E$4)</f>
        <v/>
      </c>
    </row>
    <row r="33" spans="1:4" x14ac:dyDescent="0.3">
      <c r="A33" s="14" t="s">
        <v>413</v>
      </c>
      <c r="B33" s="55" t="str">
        <f>IF('5 Adj NOPAT'!D32="","",+'5 Adj NOPAT'!D32/'6 Analyzing'!C$4)</f>
        <v/>
      </c>
      <c r="C33" s="55" t="str">
        <f>IF('5 Adj NOPAT'!E32="","",+'5 Adj NOPAT'!E32/'6 Analyzing'!D$4)</f>
        <v/>
      </c>
      <c r="D33" s="55" t="str">
        <f>IF('5 Adj NOPAT'!F32="","",+'5 Adj NOPAT'!F32/'6 Analyzing'!E$4)</f>
        <v/>
      </c>
    </row>
    <row r="34" spans="1:4" x14ac:dyDescent="0.3">
      <c r="A34" s="14" t="s">
        <v>414</v>
      </c>
      <c r="B34" s="55" t="str">
        <f>IF('5 Adj NOPAT'!D33="","",+'5 Adj NOPAT'!D33/'6 Analyzing'!C$4)</f>
        <v/>
      </c>
      <c r="C34" s="55" t="str">
        <f>IF('5 Adj NOPAT'!E33="","",+'5 Adj NOPAT'!E33/'6 Analyzing'!D$4)</f>
        <v/>
      </c>
      <c r="D34" s="55" t="str">
        <f>IF('5 Adj NOPAT'!F33="","",+'5 Adj NOPAT'!F33/'6 Analyzing'!E$4)</f>
        <v/>
      </c>
    </row>
    <row r="35" spans="1:4" x14ac:dyDescent="0.3">
      <c r="A35" s="14" t="s">
        <v>415</v>
      </c>
      <c r="B35" s="55" t="str">
        <f>IF('5 Adj NOPAT'!D34="","",+'5 Adj NOPAT'!D34/'6 Analyzing'!C$4)</f>
        <v/>
      </c>
      <c r="C35" s="55" t="str">
        <f>IF('5 Adj NOPAT'!E34="","",+'5 Adj NOPAT'!E34/'6 Analyzing'!D$4)</f>
        <v/>
      </c>
      <c r="D35" s="61" t="str">
        <f>IF('5 Adj NOPAT'!F34="","",+'5 Adj NOPAT'!F34/'6 Analyzing'!E$4)</f>
        <v/>
      </c>
    </row>
    <row r="36" spans="1:4" x14ac:dyDescent="0.3">
      <c r="A36" s="14" t="s">
        <v>416</v>
      </c>
      <c r="B36" s="55" t="str">
        <f>IF('5 Adj NOPAT'!D35="","",+'5 Adj NOPAT'!D35/'6 Analyzing'!C$4)</f>
        <v/>
      </c>
      <c r="C36" s="55" t="str">
        <f>IF('5 Adj NOPAT'!E35="","",+'5 Adj NOPAT'!E35/'6 Analyzing'!D$4)</f>
        <v/>
      </c>
      <c r="D36" s="55" t="str">
        <f>IF('5 Adj NOPAT'!F35="","",+'5 Adj NOPAT'!F35/'6 Analyzing'!E$4)</f>
        <v/>
      </c>
    </row>
    <row r="37" spans="1:4" x14ac:dyDescent="0.3">
      <c r="A37" s="14" t="s">
        <v>417</v>
      </c>
      <c r="B37" s="55" t="str">
        <f>IF('5 Adj NOPAT'!D36="","",+'5 Adj NOPAT'!D36/'6 Analyzing'!C$4)</f>
        <v/>
      </c>
      <c r="C37" s="55" t="str">
        <f>IF('5 Adj NOPAT'!E36="","",+'5 Adj NOPAT'!E36/'6 Analyzing'!D$4)</f>
        <v/>
      </c>
      <c r="D37" s="55" t="str">
        <f>IF('5 Adj NOPAT'!F36="","",+'5 Adj NOPAT'!F36/'6 Analyzing'!E$4)</f>
        <v/>
      </c>
    </row>
    <row r="38" spans="1:4" x14ac:dyDescent="0.3">
      <c r="A38" s="14" t="s">
        <v>420</v>
      </c>
      <c r="B38" s="55" t="str">
        <f>IF('5 Adj NOPAT'!D37="","",+'5 Adj NOPAT'!D37/'6 Analyzing'!C$4)</f>
        <v/>
      </c>
      <c r="C38" s="55" t="str">
        <f>IF('5 Adj NOPAT'!E37="","",+'5 Adj NOPAT'!E37/'6 Analyzing'!D$4)</f>
        <v/>
      </c>
      <c r="D38" s="55" t="str">
        <f>IF('5 Adj NOPAT'!F37="","",+'5 Adj NOPAT'!F37/'6 Analyzing'!E$4)</f>
        <v/>
      </c>
    </row>
    <row r="39" spans="1:4" x14ac:dyDescent="0.3">
      <c r="A39" s="14" t="s">
        <v>421</v>
      </c>
      <c r="B39" s="55" t="str">
        <f>IF('5 Adj NOPAT'!D38="","",+'5 Adj NOPAT'!D38/'6 Analyzing'!C$4)</f>
        <v/>
      </c>
      <c r="C39" s="55" t="str">
        <f>IF('5 Adj NOPAT'!E38="","",+'5 Adj NOPAT'!E38/'6 Analyzing'!D$4)</f>
        <v/>
      </c>
      <c r="D39" s="61" t="str">
        <f>IF('5 Adj NOPAT'!F38="","",+'5 Adj NOPAT'!F38/'6 Analyzing'!E$4)</f>
        <v/>
      </c>
    </row>
    <row r="40" spans="1:4" x14ac:dyDescent="0.3">
      <c r="A40" s="14" t="s">
        <v>422</v>
      </c>
      <c r="B40" s="55" t="str">
        <f>IF('5 Adj NOPAT'!D39="","",+'5 Adj NOPAT'!D39/'6 Analyzing'!C$4)</f>
        <v/>
      </c>
      <c r="C40" s="55" t="str">
        <f>IF('5 Adj NOPAT'!E39="","",+'5 Adj NOPAT'!E39/'6 Analyzing'!D$4)</f>
        <v/>
      </c>
      <c r="D40" s="55" t="str">
        <f>IF('5 Adj NOPAT'!F39="","",+'5 Adj NOPAT'!F39/'6 Analyzing'!E$4)</f>
        <v/>
      </c>
    </row>
    <row r="41" spans="1:4" x14ac:dyDescent="0.3">
      <c r="A41" s="14" t="s">
        <v>240</v>
      </c>
      <c r="B41" s="55">
        <f>IF('5 Adj NOPAT'!D40="","",+'5 Adj NOPAT'!D40/'6 Analyzing'!C$4)</f>
        <v>-1.6583108368684922E-2</v>
      </c>
      <c r="C41" s="55">
        <f>IF('5 Adj NOPAT'!E40="","",+'5 Adj NOPAT'!E40/'6 Analyzing'!D$4)</f>
        <v>2.9018204449976662E-2</v>
      </c>
      <c r="D41" s="324">
        <f>IF('5 Adj NOPAT'!F40="","",+'5 Adj NOPAT'!F40/'6 Analyzing'!E$4)</f>
        <v>-5.8315494205359118E-3</v>
      </c>
    </row>
    <row r="42" spans="1:4" x14ac:dyDescent="0.3">
      <c r="A42" s="14" t="s">
        <v>152</v>
      </c>
      <c r="B42" s="55" t="str">
        <f>IF('5 Adj NOPAT'!D41="","",+'5 Adj NOPAT'!D41/'6 Analyzing'!C$4)</f>
        <v/>
      </c>
      <c r="C42" s="55" t="str">
        <f>IF('5 Adj NOPAT'!E41="","",+'5 Adj NOPAT'!E41/'6 Analyzing'!D$4)</f>
        <v/>
      </c>
      <c r="D42" s="55" t="str">
        <f>IF('5 Adj NOPAT'!F41="","",+'5 Adj NOPAT'!F41/'6 Analyzing'!E$4)</f>
        <v/>
      </c>
    </row>
    <row r="43" spans="1:4" x14ac:dyDescent="0.3">
      <c r="A43" s="14" t="s">
        <v>242</v>
      </c>
      <c r="B43" s="55">
        <f>IF('5 Adj NOPAT'!D42="","",+'5 Adj NOPAT'!D42/'6 Analyzing'!C$4)</f>
        <v>-3.1932124951793289E-2</v>
      </c>
      <c r="C43" s="55">
        <f>IF('5 Adj NOPAT'!E42="","",+'5 Adj NOPAT'!E42/'6 Analyzing'!D$4)</f>
        <v>-2.4661583942741559E-2</v>
      </c>
      <c r="D43" s="324">
        <f>IF('5 Adj NOPAT'!F42="","",+'5 Adj NOPAT'!F42/'6 Analyzing'!E$4)</f>
        <v>-1.8970989887059867E-2</v>
      </c>
    </row>
    <row r="44" spans="1:4" x14ac:dyDescent="0.3">
      <c r="A44" s="14" t="s">
        <v>135</v>
      </c>
      <c r="B44" s="55" t="str">
        <f>IF('5 Adj NOPAT'!D43="","",+'5 Adj NOPAT'!D43/'6 Analyzing'!C$4)</f>
        <v/>
      </c>
      <c r="C44" s="55" t="str">
        <f>IF('5 Adj NOPAT'!E43="","",+'5 Adj NOPAT'!E43/'6 Analyzing'!D$4)</f>
        <v/>
      </c>
      <c r="D44" s="55" t="str">
        <f>IF('5 Adj NOPAT'!F43="","",+'5 Adj NOPAT'!F43/'6 Analyzing'!E$4)</f>
        <v/>
      </c>
    </row>
    <row r="45" spans="1:4" x14ac:dyDescent="0.3">
      <c r="A45" s="14" t="s">
        <v>243</v>
      </c>
      <c r="B45" s="55">
        <f>IF('5 Adj NOPAT'!D44="","",+'5 Adj NOPAT'!D44/'6 Analyzing'!C$4)</f>
        <v>7.7130736598534516E-5</v>
      </c>
      <c r="C45" s="55">
        <f>IF('5 Adj NOPAT'!E44="","",+'5 Adj NOPAT'!E44/'6 Analyzing'!D$4)</f>
        <v>5.4457756340438779E-4</v>
      </c>
      <c r="D45" s="324">
        <f>IF('5 Adj NOPAT'!F44="","",+'5 Adj NOPAT'!F44/'6 Analyzing'!E$4)</f>
        <v>1.446814792943087E-2</v>
      </c>
    </row>
    <row r="46" spans="1:4" x14ac:dyDescent="0.3">
      <c r="A46" s="14" t="s">
        <v>153</v>
      </c>
      <c r="B46" s="55" t="str">
        <f>IF('5 Adj NOPAT'!D45="","",+'5 Adj NOPAT'!D45/'6 Analyzing'!C$4)</f>
        <v/>
      </c>
      <c r="C46" s="55" t="str">
        <f>IF('5 Adj NOPAT'!E45="","",+'5 Adj NOPAT'!E45/'6 Analyzing'!D$4)</f>
        <v/>
      </c>
      <c r="D46" s="55" t="str">
        <f>IF('5 Adj NOPAT'!F45="","",+'5 Adj NOPAT'!F45/'6 Analyzing'!E$4)</f>
        <v/>
      </c>
    </row>
    <row r="47" spans="1:4" x14ac:dyDescent="0.3">
      <c r="A47" s="14" t="s">
        <v>23</v>
      </c>
      <c r="B47" s="55" t="str">
        <f>IF('5 Adj NOPAT'!D46="","",+'5 Adj NOPAT'!D46/'6 Analyzing'!C$4)</f>
        <v/>
      </c>
      <c r="C47" s="55" t="str">
        <f>IF('5 Adj NOPAT'!E46="","",+'5 Adj NOPAT'!E46/'6 Analyzing'!D$4)</f>
        <v/>
      </c>
      <c r="D47" s="55" t="str">
        <f>IF('5 Adj NOPAT'!F46="","",+'5 Adj NOPAT'!F46/'6 Analyzing'!E$4)</f>
        <v/>
      </c>
    </row>
    <row r="48" spans="1:4" x14ac:dyDescent="0.3">
      <c r="A48" s="14" t="s">
        <v>244</v>
      </c>
      <c r="B48" s="55" t="str">
        <f>IF('5 Adj NOPAT'!D47="","",+'5 Adj NOPAT'!D47/'6 Analyzing'!C$4)</f>
        <v/>
      </c>
      <c r="C48" s="55" t="str">
        <f>IF('5 Adj NOPAT'!E47="","",+'5 Adj NOPAT'!E47/'6 Analyzing'!D$4)</f>
        <v/>
      </c>
      <c r="D48" s="55" t="str">
        <f>IF('5 Adj NOPAT'!F47="","",+'5 Adj NOPAT'!F47/'6 Analyzing'!E$4)</f>
        <v/>
      </c>
    </row>
    <row r="49" spans="1:4" x14ac:dyDescent="0.3">
      <c r="A49" s="14"/>
      <c r="B49" s="55" t="str">
        <f>IF('5 Adj NOPAT'!D48="","",+'5 Adj NOPAT'!D48/'6 Analyzing'!C$4)</f>
        <v/>
      </c>
      <c r="C49" s="55" t="str">
        <f>IF('5 Adj NOPAT'!E48="","",+'5 Adj NOPAT'!E48/'6 Analyzing'!D$4)</f>
        <v/>
      </c>
      <c r="D49" s="55" t="str">
        <f>IF('5 Adj NOPAT'!F48="","",+'5 Adj NOPAT'!F48/'6 Analyzing'!E$4)</f>
        <v/>
      </c>
    </row>
    <row r="50" spans="1:4" x14ac:dyDescent="0.3">
      <c r="A50" s="14" t="s">
        <v>154</v>
      </c>
      <c r="B50" s="55" t="str">
        <f>IF('5 Adj NOPAT'!D49="","",+'5 Adj NOPAT'!D49/'6 Analyzing'!C$4)</f>
        <v/>
      </c>
      <c r="C50" s="55" t="str">
        <f>IF('5 Adj NOPAT'!E49="","",+'5 Adj NOPAT'!E49/'6 Analyzing'!D$4)</f>
        <v/>
      </c>
      <c r="D50" s="55" t="str">
        <f>IF('5 Adj NOPAT'!F49="","",+'5 Adj NOPAT'!F49/'6 Analyzing'!E$4)</f>
        <v/>
      </c>
    </row>
    <row r="51" spans="1:4" x14ac:dyDescent="0.3">
      <c r="A51" s="14" t="s">
        <v>245</v>
      </c>
      <c r="B51" s="55">
        <f>IF('5 Adj NOPAT'!D50="","",+'5 Adj NOPAT'!D50/'6 Analyzing'!C$4)</f>
        <v>-1.9591207096027768E-2</v>
      </c>
      <c r="C51" s="55">
        <f>IF('5 Adj NOPAT'!E50="","",+'5 Adj NOPAT'!E50/'6 Analyzing'!D$4)</f>
        <v>6.145946786992376E-3</v>
      </c>
      <c r="D51" s="324">
        <f>IF('5 Adj NOPAT'!F50="","",+'5 Adj NOPAT'!F50/'6 Analyzing'!E$4)</f>
        <v>-3.5432199010851113E-3</v>
      </c>
    </row>
    <row r="52" spans="1:4" x14ac:dyDescent="0.3">
      <c r="A52" s="14" t="s">
        <v>246</v>
      </c>
      <c r="B52" s="55">
        <f>IF('5 Adj NOPAT'!D51="","",+'5 Adj NOPAT'!D51/'6 Analyzing'!C$4)</f>
        <v>-2.1596606247589667E-3</v>
      </c>
      <c r="C52" s="55">
        <f>IF('5 Adj NOPAT'!E51="","",+'5 Adj NOPAT'!E51/'6 Analyzing'!D$4)</f>
        <v>4.6678076863233234E-4</v>
      </c>
      <c r="D52" s="324">
        <f>IF('5 Adj NOPAT'!F51="","",+'5 Adj NOPAT'!F51/'6 Analyzing'!E$4)</f>
        <v>5.9053665018085188E-4</v>
      </c>
    </row>
    <row r="53" spans="1:4" x14ac:dyDescent="0.3">
      <c r="A53" t="s">
        <v>445</v>
      </c>
      <c r="B53" s="55"/>
      <c r="C53" s="55"/>
      <c r="D53" s="55"/>
    </row>
    <row r="54" spans="1:4" x14ac:dyDescent="0.3">
      <c r="A54" t="s">
        <v>446</v>
      </c>
      <c r="B54" s="55" t="str">
        <f>IF('5 Adj NOPAT'!D53="","",+'5 Adj NOPAT'!D53/'6 Analyzing'!C$4)</f>
        <v/>
      </c>
      <c r="C54" s="55" t="str">
        <f>IF('5 Adj NOPAT'!E53="","",+'5 Adj NOPAT'!E53/'6 Analyzing'!D$4)</f>
        <v/>
      </c>
      <c r="D54" s="61" t="str">
        <f>IF('5 Adj NOPAT'!F53="","",+'5 Adj NOPAT'!F53/'6 Analyzing'!E$4)</f>
        <v/>
      </c>
    </row>
    <row r="55" spans="1:4" x14ac:dyDescent="0.3">
      <c r="A55" t="s">
        <v>447</v>
      </c>
      <c r="B55" s="55">
        <f>IF('5 Adj NOPAT'!D54="","",+'5 Adj NOPAT'!D54/'6 Analyzing'!C$4)</f>
        <v>1.5426147319706903E-4</v>
      </c>
      <c r="C55" s="55">
        <f>IF('5 Adj NOPAT'!E54="","",+'5 Adj NOPAT'!E54/'6 Analyzing'!D$4)</f>
        <v>7.779679477205539E-5</v>
      </c>
      <c r="D55" s="324">
        <f>IF('5 Adj NOPAT'!F54="","",+'5 Adj NOPAT'!F54/'6 Analyzing'!E$4)</f>
        <v>7.3817081272606485E-5</v>
      </c>
    </row>
    <row r="56" spans="1:4" x14ac:dyDescent="0.3">
      <c r="A56" s="14" t="s">
        <v>248</v>
      </c>
      <c r="B56" s="55">
        <f>IF('5 Adj NOPAT'!D55="","",+'5 Adj NOPAT'!D55/'6 Analyzing'!C$4)</f>
        <v>4.8592364057076743E-3</v>
      </c>
      <c r="C56" s="55">
        <f>IF('5 Adj NOPAT'!E55="","",+'5 Adj NOPAT'!E55/'6 Analyzing'!D$4)</f>
        <v>0</v>
      </c>
      <c r="D56" s="324">
        <f>IF('5 Adj NOPAT'!F55="","",+'5 Adj NOPAT'!F55/'6 Analyzing'!E$4)</f>
        <v>0</v>
      </c>
    </row>
    <row r="57" spans="1:4" x14ac:dyDescent="0.3">
      <c r="A57" s="14" t="s">
        <v>33</v>
      </c>
      <c r="B57" s="55" t="str">
        <f>IF('5 Adj NOPAT'!D56="","",+'5 Adj NOPAT'!D56/'6 Analyzing'!C$4)</f>
        <v/>
      </c>
      <c r="C57" s="55" t="str">
        <f>IF('5 Adj NOPAT'!E56="","",+'5 Adj NOPAT'!E56/'6 Analyzing'!D$4)</f>
        <v/>
      </c>
      <c r="D57" s="55" t="str">
        <f>IF('5 Adj NOPAT'!F56="","",+'5 Adj NOPAT'!F56/'6 Analyzing'!E$4)</f>
        <v/>
      </c>
    </row>
    <row r="58" spans="1:4" x14ac:dyDescent="0.3">
      <c r="A58" s="14" t="s">
        <v>249</v>
      </c>
      <c r="B58" s="55" t="str">
        <f>IF('5 Adj NOPAT'!D57="","",+'5 Adj NOPAT'!D57/'6 Analyzing'!C$4)</f>
        <v/>
      </c>
      <c r="C58" s="55" t="str">
        <f>IF('5 Adj NOPAT'!E57="","",+'5 Adj NOPAT'!E57/'6 Analyzing'!D$4)</f>
        <v/>
      </c>
      <c r="D58" s="55" t="str">
        <f>IF('5 Adj NOPAT'!F57="","",+'5 Adj NOPAT'!F57/'6 Analyzing'!E$4)</f>
        <v/>
      </c>
    </row>
    <row r="59" spans="1:4" s="13" customFormat="1" ht="15" thickBot="1" x14ac:dyDescent="0.35">
      <c r="A59" s="13" t="s">
        <v>426</v>
      </c>
      <c r="B59" s="280">
        <f>SUM(B14:B58)</f>
        <v>6.278441959120705E-2</v>
      </c>
      <c r="C59" s="280">
        <f t="shared" ref="C59:D59" si="0">SUM(C14:C58)</f>
        <v>9.0711062704216625E-2</v>
      </c>
      <c r="D59" s="326">
        <f t="shared" si="0"/>
        <v>0.11751679338598939</v>
      </c>
    </row>
    <row r="60" spans="1:4" ht="15" thickTop="1" x14ac:dyDescent="0.3"/>
    <row r="62" spans="1:4" s="13" customFormat="1" x14ac:dyDescent="0.3">
      <c r="A62" s="276" t="s">
        <v>208</v>
      </c>
      <c r="B62" s="281">
        <f>+B59-'6 Analyzing'!C21</f>
        <v>0</v>
      </c>
      <c r="C62" s="281">
        <f>+C59-'6 Analyzing'!D21</f>
        <v>0</v>
      </c>
      <c r="D62" s="281">
        <f>+D59-'6 Analyzing'!E21</f>
        <v>-1.2490009027033011E-16</v>
      </c>
    </row>
    <row r="64" spans="1:4" x14ac:dyDescent="0.3">
      <c r="A64" s="13" t="s">
        <v>505</v>
      </c>
      <c r="B64" s="282">
        <f>B59-B43</f>
        <v>9.4716544543000339E-2</v>
      </c>
      <c r="C64" s="282">
        <f>C59-C43</f>
        <v>0.11537264664695818</v>
      </c>
      <c r="D64" s="327">
        <f>D59-D43</f>
        <v>0.13648778327304925</v>
      </c>
    </row>
    <row r="66" spans="1:4" x14ac:dyDescent="0.3">
      <c r="A66" s="13" t="s">
        <v>506</v>
      </c>
      <c r="B66" s="282">
        <f>B64-B52-B51</f>
        <v>0.11646741226378707</v>
      </c>
      <c r="C66" s="282">
        <f>C64-C52-C51</f>
        <v>0.10875991909133347</v>
      </c>
      <c r="D66" s="327">
        <f>D64-D52-D51</f>
        <v>0.1394404665239535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05"/>
  <sheetViews>
    <sheetView workbookViewId="0">
      <pane xSplit="1" ySplit="5" topLeftCell="B6" activePane="bottomRight" state="frozen"/>
      <selection activeCell="H23" sqref="H23"/>
      <selection pane="topRight" activeCell="H23" sqref="H23"/>
      <selection pane="bottomLeft" activeCell="H23" sqref="H23"/>
      <selection pane="bottomRight" activeCell="H23" sqref="H23"/>
    </sheetView>
  </sheetViews>
  <sheetFormatPr defaultRowHeight="14.4" x14ac:dyDescent="0.3"/>
  <cols>
    <col min="1" max="1" width="61.21875" bestFit="1" customWidth="1"/>
    <col min="2" max="4" width="10.77734375" bestFit="1" customWidth="1"/>
  </cols>
  <sheetData>
    <row r="1" spans="1:4" x14ac:dyDescent="0.3">
      <c r="A1" s="13" t="str">
        <f>+'3 BS Reported'!A1</f>
        <v>Kellogg</v>
      </c>
      <c r="B1" s="13"/>
      <c r="C1" s="13"/>
      <c r="D1" s="13"/>
    </row>
    <row r="2" spans="1:4" x14ac:dyDescent="0.3">
      <c r="A2" s="13"/>
      <c r="B2" s="13"/>
      <c r="C2" s="13"/>
      <c r="D2" s="13"/>
    </row>
    <row r="3" spans="1:4" x14ac:dyDescent="0.3">
      <c r="A3" s="13" t="s">
        <v>16</v>
      </c>
      <c r="B3" s="283">
        <f>+'6 Analyzing'!C4</f>
        <v>12965</v>
      </c>
      <c r="C3" s="283">
        <f>+'6 Analyzing'!D4</f>
        <v>12854</v>
      </c>
      <c r="D3" s="328">
        <f>+'6 Analyzing'!E4</f>
        <v>13547</v>
      </c>
    </row>
    <row r="4" spans="1:4" x14ac:dyDescent="0.3">
      <c r="A4" s="13" t="s">
        <v>0</v>
      </c>
      <c r="B4" s="13"/>
      <c r="C4" s="13"/>
      <c r="D4" s="13"/>
    </row>
    <row r="5" spans="1:4" ht="15" thickBot="1" x14ac:dyDescent="0.35">
      <c r="A5" s="13"/>
      <c r="B5" s="145">
        <f>+'6 Analyzing'!C3</f>
        <v>42735</v>
      </c>
      <c r="C5" s="145">
        <f>+'6 Analyzing'!D3</f>
        <v>43099</v>
      </c>
      <c r="D5" s="145">
        <f>+'6 Analyzing'!E3</f>
        <v>43463</v>
      </c>
    </row>
    <row r="6" spans="1:4" x14ac:dyDescent="0.3">
      <c r="A6" s="13" t="s">
        <v>4</v>
      </c>
      <c r="B6" s="22"/>
      <c r="C6" s="22"/>
      <c r="D6" s="22"/>
    </row>
    <row r="7" spans="1:4" x14ac:dyDescent="0.3">
      <c r="A7" t="s">
        <v>5</v>
      </c>
      <c r="B7" s="58">
        <f>IF('5 Adj NOA'!D5="","",AVERAGE('5 Adj NOA'!C5:D5)/'6 CS-BS'!B$3)</f>
        <v>1.6544543000385655E-2</v>
      </c>
      <c r="C7" s="58">
        <f>IF('5 Adj NOA'!E5="","",AVERAGE('5 Adj NOA'!D5:E5)/'6 CS-BS'!C$3)</f>
        <v>1.3653337482495722E-2</v>
      </c>
      <c r="D7" s="329">
        <f>IF('5 Adj NOA'!F5="","",AVERAGE('5 Adj NOA'!E5:F5)/'6 CS-BS'!D$3)</f>
        <v>1.2807263600797224E-2</v>
      </c>
    </row>
    <row r="8" spans="1:4" x14ac:dyDescent="0.3">
      <c r="A8" t="s">
        <v>337</v>
      </c>
      <c r="B8" s="58">
        <f>IF('5 Adj NOA'!D6="","",AVERAGE('5 Adj NOA'!C6:D6)/'6 CS-BS'!B$3)</f>
        <v>8.7736212880833012E-2</v>
      </c>
      <c r="C8" s="58">
        <f>IF('5 Adj NOA'!E6="","",AVERAGE('5 Adj NOA'!D6:E6)/'6 CS-BS'!C$3)</f>
        <v>9.1644624241481246E-2</v>
      </c>
      <c r="D8" s="329">
        <f>IF('5 Adj NOA'!F6="","",AVERAGE('5 Adj NOA'!E6:F6)/'6 CS-BS'!D$3)</f>
        <v>8.9060308555399717E-2</v>
      </c>
    </row>
    <row r="9" spans="1:4" x14ac:dyDescent="0.3">
      <c r="A9" t="s">
        <v>338</v>
      </c>
      <c r="B9" s="58">
        <f>IF('5 Adj NOA'!D7="","",AVERAGE('5 Adj NOA'!C7:D7)/'6 CS-BS'!B$3)</f>
        <v>-6.1704589278827613E-4</v>
      </c>
      <c r="C9" s="58">
        <f>IF('5 Adj NOA'!E7="","",AVERAGE('5 Adj NOA'!D7:E7)/'6 CS-BS'!C$3)</f>
        <v>-7.0017115294849857E-4</v>
      </c>
      <c r="D9" s="329">
        <f>IF('5 Adj NOA'!F7="","",AVERAGE('5 Adj NOA'!E7:F7)/'6 CS-BS'!D$3)</f>
        <v>-7.3817081272606485E-4</v>
      </c>
    </row>
    <row r="10" spans="1:4" x14ac:dyDescent="0.3">
      <c r="A10" t="s">
        <v>339</v>
      </c>
      <c r="B10" s="58">
        <f>IF('5 Adj NOA'!D8="","",AVERAGE('5 Adj NOA'!C8:D8)/'6 CS-BS'!B$3)</f>
        <v>1.96683378326263E-3</v>
      </c>
      <c r="C10" s="58">
        <f>IF('5 Adj NOA'!E8="","",AVERAGE('5 Adj NOA'!D8:E8)/'6 CS-BS'!C$3)</f>
        <v>1.8282246771433018E-3</v>
      </c>
      <c r="D10" s="329">
        <f>IF('5 Adj NOA'!F8="","",AVERAGE('5 Adj NOA'!E8:F8)/'6 CS-BS'!D$3)</f>
        <v>1.8823355724514653E-3</v>
      </c>
    </row>
    <row r="11" spans="1:4" x14ac:dyDescent="0.3">
      <c r="A11" t="s">
        <v>340</v>
      </c>
      <c r="B11" s="58">
        <f>IF('5 Adj NOA'!D9="","",AVERAGE('5 Adj NOA'!C9:D9)/'6 CS-BS'!B$3)</f>
        <v>1.0219822599305824E-2</v>
      </c>
      <c r="C11" s="58">
        <f>IF('5 Adj NOA'!E9="","",AVERAGE('5 Adj NOA'!D9:E9)/'6 CS-BS'!C$3)</f>
        <v>9.1411233857165083E-3</v>
      </c>
      <c r="D11" s="329">
        <f>IF('5 Adj NOA'!F9="","",AVERAGE('5 Adj NOA'!E9:F9)/'6 CS-BS'!D$3)</f>
        <v>1.1810733003617038E-2</v>
      </c>
    </row>
    <row r="12" spans="1:4" x14ac:dyDescent="0.3">
      <c r="A12" t="s">
        <v>341</v>
      </c>
      <c r="B12" s="58">
        <f>IF('5 Adj NOA'!D10="","",AVERAGE('5 Adj NOA'!C10:D10)/'6 CS-BS'!B$3)</f>
        <v>2.4296182028538373E-2</v>
      </c>
      <c r="C12" s="58">
        <f>IF('5 Adj NOA'!E10="","",AVERAGE('5 Adj NOA'!D10:E10)/'6 CS-BS'!C$3)</f>
        <v>2.5206161506145946E-2</v>
      </c>
      <c r="D12" s="329">
        <f>IF('5 Adj NOA'!F10="","",AVERAGE('5 Adj NOA'!E10:F10)/'6 CS-BS'!D$3)</f>
        <v>2.4802539307595777E-2</v>
      </c>
    </row>
    <row r="13" spans="1:4" x14ac:dyDescent="0.3">
      <c r="A13" t="s">
        <v>342</v>
      </c>
      <c r="B13" s="58">
        <f>IF('5 Adj NOA'!D11="","",AVERAGE('5 Adj NOA'!C11:D11)/'6 CS-BS'!B$3)</f>
        <v>7.165445430003857E-2</v>
      </c>
      <c r="C13" s="58">
        <f>IF('5 Adj NOA'!E11="","",AVERAGE('5 Adj NOA'!D11:E11)/'6 CS-BS'!C$3)</f>
        <v>7.0289404076552042E-2</v>
      </c>
      <c r="D13" s="329">
        <f>IF('5 Adj NOA'!F11="","",AVERAGE('5 Adj NOA'!E11:F11)/'6 CS-BS'!D$3)</f>
        <v>6.9203513693068583E-2</v>
      </c>
    </row>
    <row r="14" spans="1:4" x14ac:dyDescent="0.3">
      <c r="A14" t="s">
        <v>22</v>
      </c>
      <c r="B14" s="58">
        <f>IF('5 Adj NOA'!D12="","",AVERAGE('5 Adj NOA'!C12:D12)/'6 CS-BS'!B$3)</f>
        <v>1.3690705746239876E-2</v>
      </c>
      <c r="C14" s="58">
        <f>IF('5 Adj NOA'!E12="","",AVERAGE('5 Adj NOA'!D12:E12)/'6 CS-BS'!C$3)</f>
        <v>1.3225455111249416E-2</v>
      </c>
      <c r="D14" s="329">
        <f>IF('5 Adj NOA'!F12="","",AVERAGE('5 Adj NOA'!E12:F12)/'6 CS-BS'!D$3)</f>
        <v>1.0334391378164907E-2</v>
      </c>
    </row>
    <row r="15" spans="1:4" x14ac:dyDescent="0.3">
      <c r="A15" t="s">
        <v>343</v>
      </c>
      <c r="B15" s="58">
        <f>IF('5 Adj NOA'!D13="","",AVERAGE('5 Adj NOA'!C13:D13)/'6 CS-BS'!B$3)</f>
        <v>1.0528345545699961E-2</v>
      </c>
      <c r="C15" s="58">
        <f>IF('5 Adj NOA'!E13="","",AVERAGE('5 Adj NOA'!D13:E13)/'6 CS-BS'!C$3)</f>
        <v>9.4134121674187016E-3</v>
      </c>
      <c r="D15" s="329">
        <f>IF('5 Adj NOA'!F13="","",AVERAGE('5 Adj NOA'!E13:F13)/'6 CS-BS'!D$3)</f>
        <v>8.5258728869860492E-3</v>
      </c>
    </row>
    <row r="16" spans="1:4" x14ac:dyDescent="0.3">
      <c r="A16" t="s">
        <v>344</v>
      </c>
      <c r="B16" s="58">
        <f>IF('5 Adj NOA'!D14="","",AVERAGE('5 Adj NOA'!C14:D14)/'6 CS-BS'!B$3)</f>
        <v>0.15796374855379869</v>
      </c>
      <c r="C16" s="58">
        <f>IF('5 Adj NOA'!E14="","",AVERAGE('5 Adj NOA'!D14:E14)/'6 CS-BS'!C$3)</f>
        <v>0.16415123696903688</v>
      </c>
      <c r="D16" s="329">
        <f>IF('5 Adj NOA'!F14="","",AVERAGE('5 Adj NOA'!E14:F14)/'6 CS-BS'!D$3)</f>
        <v>0.15726729165128811</v>
      </c>
    </row>
    <row r="17" spans="1:4" x14ac:dyDescent="0.3">
      <c r="A17" t="s">
        <v>345</v>
      </c>
      <c r="B17" s="58">
        <f>IF('5 Adj NOA'!D15="","",AVERAGE('5 Adj NOA'!C15:D15)/'6 CS-BS'!B$3)</f>
        <v>0.43436174315464715</v>
      </c>
      <c r="C17" s="58">
        <f>IF('5 Adj NOA'!E15="","",AVERAGE('5 Adj NOA'!D15:E15)/'6 CS-BS'!C$3)</f>
        <v>0.45371090711062706</v>
      </c>
      <c r="D17" s="329">
        <f>IF('5 Adj NOA'!F15="","",AVERAGE('5 Adj NOA'!E15:F15)/'6 CS-BS'!D$3)</f>
        <v>0.44249649368863953</v>
      </c>
    </row>
    <row r="18" spans="1:4" x14ac:dyDescent="0.3">
      <c r="A18" t="s">
        <v>346</v>
      </c>
      <c r="B18" s="58">
        <f>IF('5 Adj NOA'!D16="","",AVERAGE('5 Adj NOA'!C16:D16)/'6 CS-BS'!B$3)</f>
        <v>2.6764365599691475E-2</v>
      </c>
      <c r="C18" s="58">
        <f>IF('5 Adj NOA'!E16="","",AVERAGE('5 Adj NOA'!D16:E16)/'6 CS-BS'!C$3)</f>
        <v>2.9912867589855299E-2</v>
      </c>
      <c r="D18" s="329">
        <f>IF('5 Adj NOA'!F16="","",AVERAGE('5 Adj NOA'!E16:F16)/'6 CS-BS'!D$3)</f>
        <v>3.1040082675131024E-2</v>
      </c>
    </row>
    <row r="19" spans="1:4" x14ac:dyDescent="0.3">
      <c r="A19" t="s">
        <v>347</v>
      </c>
      <c r="B19" s="58">
        <f>IF('5 Adj NOA'!D17="","",AVERAGE('5 Adj NOA'!C17:D17)/'6 CS-BS'!B$3)</f>
        <v>5.3220208252988815E-2</v>
      </c>
      <c r="C19" s="58">
        <f>IF('5 Adj NOA'!E17="","",AVERAGE('5 Adj NOA'!D17:E17)/'6 CS-BS'!C$3)</f>
        <v>5.1345884549556561E-2</v>
      </c>
      <c r="D19" s="329">
        <f>IF('5 Adj NOA'!F17="","",AVERAGE('5 Adj NOA'!E17:F17)/'6 CS-BS'!D$3)</f>
        <v>4.4917693954381041E-2</v>
      </c>
    </row>
    <row r="20" spans="1:4" x14ac:dyDescent="0.3">
      <c r="A20" t="s">
        <v>348</v>
      </c>
      <c r="B20" s="58">
        <f>IF('5 Adj NOA'!D18="","",AVERAGE('5 Adj NOA'!C18:D18)/'6 CS-BS'!B$3)</f>
        <v>-0.40555341303509451</v>
      </c>
      <c r="C20" s="58">
        <f>IF('5 Adj NOA'!E18="","",AVERAGE('5 Adj NOA'!D18:E18)/'6 CS-BS'!C$3)</f>
        <v>-0.42515948342928273</v>
      </c>
      <c r="D20" s="329">
        <f>IF('5 Adj NOA'!F18="","",AVERAGE('5 Adj NOA'!E18:F18)/'6 CS-BS'!D$3)</f>
        <v>-0.40938953273787554</v>
      </c>
    </row>
    <row r="21" spans="1:4" x14ac:dyDescent="0.3">
      <c r="A21" t="s">
        <v>77</v>
      </c>
      <c r="B21" s="58">
        <f>IF('5 Adj NOA'!D19="","",AVERAGE('5 Adj NOA'!C19:D19)/'6 CS-BS'!B$3)</f>
        <v>4.0570767450829152E-2</v>
      </c>
      <c r="C21" s="58">
        <f>IF('5 Adj NOA'!E19="","",AVERAGE('5 Adj NOA'!D19:E19)/'6 CS-BS'!C$3)</f>
        <v>3.7925937451377005E-2</v>
      </c>
      <c r="D21" s="329">
        <f>IF('5 Adj NOA'!F19="","",AVERAGE('5 Adj NOA'!E19:F19)/'6 CS-BS'!D$3)</f>
        <v>3.3143869491400309E-2</v>
      </c>
    </row>
    <row r="22" spans="1:4" x14ac:dyDescent="0.3">
      <c r="A22" t="s">
        <v>349</v>
      </c>
      <c r="B22" s="58">
        <f>IF('5 Adj NOA'!D20="","",AVERAGE('5 Adj NOA'!C20:D20)/'6 CS-BS'!B$3)</f>
        <v>1.0104126494408021E-2</v>
      </c>
      <c r="C22" s="58">
        <f>IF('5 Adj NOA'!E20="","",AVERAGE('5 Adj NOA'!D20:E20)/'6 CS-BS'!C$3)</f>
        <v>1.0191380115139256E-2</v>
      </c>
      <c r="D22" s="329">
        <f>IF('5 Adj NOA'!F20="","",AVERAGE('5 Adj NOA'!E20:F20)/'6 CS-BS'!D$3)</f>
        <v>9.6700376467114494E-3</v>
      </c>
    </row>
    <row r="23" spans="1:4" x14ac:dyDescent="0.3">
      <c r="A23" t="s">
        <v>350</v>
      </c>
      <c r="B23" s="58">
        <f>IF('5 Adj NOA'!D21="","",AVERAGE('5 Adj NOA'!C21:D21)/'6 CS-BS'!B$3)</f>
        <v>0.27520246818357114</v>
      </c>
      <c r="C23" s="58">
        <f>IF('5 Adj NOA'!E21="","",AVERAGE('5 Adj NOA'!D21:E21)/'6 CS-BS'!C$3)</f>
        <v>0.27757896374669366</v>
      </c>
      <c r="D23" s="329">
        <f>IF('5 Adj NOA'!F21="","",AVERAGE('5 Adj NOA'!E21:F21)/'6 CS-BS'!D$3)</f>
        <v>0.26337934598065993</v>
      </c>
    </row>
    <row r="24" spans="1:4" x14ac:dyDescent="0.3">
      <c r="A24" t="s">
        <v>351</v>
      </c>
      <c r="B24" s="58">
        <f>IF('5 Adj NOA'!D22="","",AVERAGE('5 Adj NOA'!C22:D22)/'6 CS-BS'!B$3)</f>
        <v>6.3247204010798306E-3</v>
      </c>
      <c r="C24" s="58">
        <f>IF('5 Adj NOA'!E22="","",AVERAGE('5 Adj NOA'!D22:E22)/'6 CS-BS'!C$3)</f>
        <v>6.3793371713085417E-3</v>
      </c>
      <c r="D24" s="329">
        <f>IF('5 Adj NOA'!F22="","",AVERAGE('5 Adj NOA'!E22:F22)/'6 CS-BS'!D$3)</f>
        <v>6.0530006643537311E-3</v>
      </c>
    </row>
    <row r="25" spans="1:4" x14ac:dyDescent="0.3">
      <c r="A25" t="s">
        <v>352</v>
      </c>
      <c r="B25" s="58">
        <f>IF('5 Adj NOA'!D23="","",AVERAGE('5 Adj NOA'!C23:D23)/'6 CS-BS'!B$3)</f>
        <v>3.5210181257231007E-2</v>
      </c>
      <c r="C25" s="58">
        <f>IF('5 Adj NOA'!E23="","",AVERAGE('5 Adj NOA'!D23:E23)/'6 CS-BS'!C$3)</f>
        <v>5.0295627820133811E-2</v>
      </c>
      <c r="D25" s="329">
        <f>IF('5 Adj NOA'!F23="","",AVERAGE('5 Adj NOA'!E23:F23)/'6 CS-BS'!D$3)</f>
        <v>6.1489628700081199E-2</v>
      </c>
    </row>
    <row r="26" spans="1:4" x14ac:dyDescent="0.3">
      <c r="A26" t="s">
        <v>353</v>
      </c>
      <c r="B26" s="58">
        <f>IF('5 Adj NOA'!D24="","",AVERAGE('5 Adj NOA'!C24:D24)/'6 CS-BS'!B$3)</f>
        <v>3.1122252217508677E-2</v>
      </c>
      <c r="C26" s="58">
        <f>IF('5 Adj NOA'!E24="","",AVERAGE('5 Adj NOA'!D24:E24)/'6 CS-BS'!C$3)</f>
        <v>3.0729733934961881E-2</v>
      </c>
      <c r="D26" s="329">
        <f>IF('5 Adj NOA'!F24="","",AVERAGE('5 Adj NOA'!E24:F24)/'6 CS-BS'!D$3)</f>
        <v>2.9748283752860413E-2</v>
      </c>
    </row>
    <row r="27" spans="1:4" x14ac:dyDescent="0.3">
      <c r="A27" t="s">
        <v>354</v>
      </c>
      <c r="B27" s="58">
        <f>IF('5 Adj NOA'!D25="","",AVERAGE('5 Adj NOA'!C25:D25)/'6 CS-BS'!B$3)</f>
        <v>1.5580408792903972E-2</v>
      </c>
      <c r="C27" s="58">
        <f>IF('5 Adj NOA'!E25="","",AVERAGE('5 Adj NOA'!D25:E25)/'6 CS-BS'!C$3)</f>
        <v>2.224988330480784E-2</v>
      </c>
      <c r="D27" s="329">
        <f>IF('5 Adj NOA'!F25="","",AVERAGE('5 Adj NOA'!E25:F25)/'6 CS-BS'!D$3)</f>
        <v>1.7051745773972098E-2</v>
      </c>
    </row>
    <row r="28" spans="1:4" x14ac:dyDescent="0.3">
      <c r="A28" t="s">
        <v>355</v>
      </c>
      <c r="B28" s="58">
        <f>IF('5 Adj NOA'!D26="","",AVERAGE('5 Adj NOA'!C26:D26)/'6 CS-BS'!B$3)</f>
        <v>1.7277284998071733E-2</v>
      </c>
      <c r="C28" s="58">
        <f>IF('5 Adj NOA'!E26="","",AVERAGE('5 Adj NOA'!D26:E26)/'6 CS-BS'!C$3)</f>
        <v>1.7620974015870546E-2</v>
      </c>
      <c r="D28" s="329">
        <f>IF('5 Adj NOA'!F26="","",AVERAGE('5 Adj NOA'!E26:F26)/'6 CS-BS'!D$3)</f>
        <v>3.9049235993208829E-2</v>
      </c>
    </row>
    <row r="29" spans="1:4" x14ac:dyDescent="0.3">
      <c r="A29" t="s">
        <v>356</v>
      </c>
      <c r="B29" s="58">
        <f>IF('5 Adj NOA'!D27="","",AVERAGE('5 Adj NOA'!C27:D27)/'6 CS-BS'!B$3)</f>
        <v>6.1704589278827613E-4</v>
      </c>
      <c r="C29" s="58">
        <f>IF('5 Adj NOA'!E27="","",AVERAGE('5 Adj NOA'!D27:E27)/'6 CS-BS'!C$3)</f>
        <v>6.2237435817644312E-4</v>
      </c>
      <c r="D29" s="329">
        <f>IF('5 Adj NOA'!F27="","",AVERAGE('5 Adj NOA'!E27:F27)/'6 CS-BS'!D$3)</f>
        <v>5.9053665018085188E-4</v>
      </c>
    </row>
    <row r="30" spans="1:4" x14ac:dyDescent="0.3">
      <c r="A30" t="s">
        <v>357</v>
      </c>
      <c r="B30" s="58">
        <f>IF('5 Adj NOA'!D28="","",AVERAGE('5 Adj NOA'!C28:D28)/'6 CS-BS'!B$3)</f>
        <v>3.2394909371384496E-3</v>
      </c>
      <c r="C30" s="58">
        <f>IF('5 Adj NOA'!E28="","",AVERAGE('5 Adj NOA'!D28:E28)/'6 CS-BS'!C$3)</f>
        <v>3.2674653804263265E-3</v>
      </c>
      <c r="D30" s="329">
        <f>IF('5 Adj NOA'!F28="","",AVERAGE('5 Adj NOA'!E28:F28)/'6 CS-BS'!D$3)</f>
        <v>3.1003174134494721E-3</v>
      </c>
    </row>
    <row r="31" spans="1:4" x14ac:dyDescent="0.3">
      <c r="A31" t="s">
        <v>358</v>
      </c>
      <c r="B31" s="58">
        <f>IF('5 Adj NOA'!D29="","",AVERAGE('5 Adj NOA'!C29:D29)/'6 CS-BS'!B$3)</f>
        <v>3.8565368299267258E-4</v>
      </c>
      <c r="C31" s="58">
        <f>IF('5 Adj NOA'!E29="","",AVERAGE('5 Adj NOA'!D29:E29)/'6 CS-BS'!C$3)</f>
        <v>1.0502567294227477E-3</v>
      </c>
      <c r="D31" s="329">
        <f>IF('5 Adj NOA'!F29="","",AVERAGE('5 Adj NOA'!E29:F29)/'6 CS-BS'!D$3)</f>
        <v>1.697792869269949E-3</v>
      </c>
    </row>
    <row r="32" spans="1:4" x14ac:dyDescent="0.3">
      <c r="A32" t="s">
        <v>359</v>
      </c>
      <c r="B32" s="58">
        <f>IF('5 Adj NOA'!D30="","",AVERAGE('5 Adj NOA'!C30:D30)/'6 CS-BS'!B$3)</f>
        <v>3.2780563054377169E-3</v>
      </c>
      <c r="C32" s="58">
        <f>IF('5 Adj NOA'!E30="","",AVERAGE('5 Adj NOA'!D30:E30)/'6 CS-BS'!C$3)</f>
        <v>3.3063637778123541E-3</v>
      </c>
      <c r="D32" s="329">
        <f>IF('5 Adj NOA'!F30="","",AVERAGE('5 Adj NOA'!E30:F30)/'6 CS-BS'!D$3)</f>
        <v>3.2479515759946853E-3</v>
      </c>
    </row>
    <row r="33" spans="1:4" x14ac:dyDescent="0.3">
      <c r="A33" t="s">
        <v>360</v>
      </c>
      <c r="B33" s="58">
        <f>IF('5 Adj NOA'!D31="","",AVERAGE('5 Adj NOA'!C31:D31)/'6 CS-BS'!B$3)</f>
        <v>1.6197454685692248E-3</v>
      </c>
      <c r="C33" s="58">
        <f>IF('5 Adj NOA'!E31="","",AVERAGE('5 Adj NOA'!D31:E31)/'6 CS-BS'!C$3)</f>
        <v>4.2788237124630462E-3</v>
      </c>
      <c r="D33" s="329">
        <f>IF('5 Adj NOA'!F31="","",AVERAGE('5 Adj NOA'!E31:F31)/'6 CS-BS'!D$3)</f>
        <v>5.056470067173544E-3</v>
      </c>
    </row>
    <row r="34" spans="1:4" x14ac:dyDescent="0.3">
      <c r="A34" t="s">
        <v>361</v>
      </c>
      <c r="B34" s="58">
        <f>IF('5 Adj NOA'!D32="","",AVERAGE('5 Adj NOA'!C32:D32)/'6 CS-BS'!B$3)</f>
        <v>7.7130736598534516E-4</v>
      </c>
      <c r="C34" s="58">
        <f>IF('5 Adj NOA'!E32="","",AVERAGE('5 Adj NOA'!D32:E32)/'6 CS-BS'!C$3)</f>
        <v>7.779679477205539E-4</v>
      </c>
      <c r="D34" s="329">
        <f>IF('5 Adj NOA'!F32="","",AVERAGE('5 Adj NOA'!E32:F32)/'6 CS-BS'!D$3)</f>
        <v>1.6165940798700821E-2</v>
      </c>
    </row>
    <row r="35" spans="1:4" x14ac:dyDescent="0.3">
      <c r="A35" t="s">
        <v>362</v>
      </c>
      <c r="B35" s="58">
        <f>IF('5 Adj NOA'!D33="","",AVERAGE('5 Adj NOA'!C33:D33)/'6 CS-BS'!B$3)</f>
        <v>-6.1704589278827613E-4</v>
      </c>
      <c r="C35" s="58">
        <f>IF('5 Adj NOA'!E33="","",AVERAGE('5 Adj NOA'!D33:E33)/'6 CS-BS'!C$3)</f>
        <v>-6.2237435817644312E-4</v>
      </c>
      <c r="D35" s="329">
        <f>IF('5 Adj NOA'!F33="","",AVERAGE('5 Adj NOA'!E33:F33)/'6 CS-BS'!D$3)</f>
        <v>-5.9053665018085188E-4</v>
      </c>
    </row>
    <row r="36" spans="1:4" x14ac:dyDescent="0.3">
      <c r="A36" t="s">
        <v>363</v>
      </c>
      <c r="B36" s="58">
        <f>IF('5 Adj NOA'!D34="","",AVERAGE('5 Adj NOA'!C34:D34)/'6 CS-BS'!B$3)</f>
        <v>-1.3497878904743541E-3</v>
      </c>
      <c r="C36" s="58">
        <f>IF('5 Adj NOA'!E34="","",AVERAGE('5 Adj NOA'!D34:E34)/'6 CS-BS'!C$3)</f>
        <v>-1.5948342928271354E-3</v>
      </c>
      <c r="D36" s="329">
        <f>IF('5 Adj NOA'!F34="","",AVERAGE('5 Adj NOA'!E34:F34)/'6 CS-BS'!D$3)</f>
        <v>-1.7347014099062523E-3</v>
      </c>
    </row>
    <row r="37" spans="1:4" x14ac:dyDescent="0.3">
      <c r="A37" t="s">
        <v>364</v>
      </c>
      <c r="B37" s="58">
        <f>IF('5 Adj NOA'!D35="","",AVERAGE('5 Adj NOA'!C35:D35)/'6 CS-BS'!B$3)</f>
        <v>-3.0852294639413806E-4</v>
      </c>
      <c r="C37" s="58">
        <f>IF('5 Adj NOA'!E35="","",AVERAGE('5 Adj NOA'!D35:E35)/'6 CS-BS'!C$3)</f>
        <v>-3.5008557647424928E-4</v>
      </c>
      <c r="D37" s="329">
        <f>IF('5 Adj NOA'!F35="","",AVERAGE('5 Adj NOA'!E35:F35)/'6 CS-BS'!D$3)</f>
        <v>-4.0599394699933567E-4</v>
      </c>
    </row>
    <row r="38" spans="1:4" x14ac:dyDescent="0.3">
      <c r="A38" t="s">
        <v>365</v>
      </c>
      <c r="B38" s="58">
        <f>IF('5 Adj NOA'!D36="","",AVERAGE('5 Adj NOA'!C36:D36)/'6 CS-BS'!B$3)</f>
        <v>-9.6413420748168142E-4</v>
      </c>
      <c r="C38" s="58">
        <f>IF('5 Adj NOA'!E36="","",AVERAGE('5 Adj NOA'!D36:E36)/'6 CS-BS'!C$3)</f>
        <v>-1.2447487163528862E-3</v>
      </c>
      <c r="D38" s="329">
        <f>IF('5 Adj NOA'!F36="","",AVERAGE('5 Adj NOA'!E36:F36)/'6 CS-BS'!D$3)</f>
        <v>-1.4025245441795231E-3</v>
      </c>
    </row>
    <row r="39" spans="1:4" x14ac:dyDescent="0.3">
      <c r="A39" t="s">
        <v>366</v>
      </c>
      <c r="B39" s="58">
        <f>IF('5 Adj NOA'!D37="","",AVERAGE('5 Adj NOA'!C37:D37)/'6 CS-BS'!B$3)</f>
        <v>-4.627844195912071E-4</v>
      </c>
      <c r="C39" s="58">
        <f>IF('5 Adj NOA'!E37="","",AVERAGE('5 Adj NOA'!D37:E37)/'6 CS-BS'!C$3)</f>
        <v>-6.2237435817644312E-4</v>
      </c>
      <c r="D39" s="329">
        <f>IF('5 Adj NOA'!F37="","",AVERAGE('5 Adj NOA'!E37:F37)/'6 CS-BS'!D$3)</f>
        <v>-8.1198789399867133E-4</v>
      </c>
    </row>
    <row r="40" spans="1:4" x14ac:dyDescent="0.3">
      <c r="A40" t="s">
        <v>367</v>
      </c>
      <c r="B40" s="58">
        <f>IF('5 Adj NOA'!D38="","",AVERAGE('5 Adj NOA'!C38:D38)/'6 CS-BS'!B$3)</f>
        <v>-1.9282684149633629E-4</v>
      </c>
      <c r="C40" s="58">
        <f>IF('5 Adj NOA'!E38="","",AVERAGE('5 Adj NOA'!D38:E38)/'6 CS-BS'!C$3)</f>
        <v>-2.7228878170219389E-4</v>
      </c>
      <c r="D40" s="329">
        <f>IF('5 Adj NOA'!F38="","",AVERAGE('5 Adj NOA'!E38:F38)/'6 CS-BS'!D$3)</f>
        <v>-7.3817081272606485E-4</v>
      </c>
    </row>
    <row r="41" spans="1:4" x14ac:dyDescent="0.3">
      <c r="A41" t="s">
        <v>368</v>
      </c>
      <c r="B41" s="58">
        <f>IF('5 Adj NOA'!D39="","",AVERAGE('5 Adj NOA'!C39:D39)/'6 CS-BS'!B$3)</f>
        <v>0.12533744697261859</v>
      </c>
      <c r="C41" s="58">
        <f>IF('5 Adj NOA'!E39="","",AVERAGE('5 Adj NOA'!D39:E39)/'6 CS-BS'!C$3)</f>
        <v>0.12641979150459001</v>
      </c>
      <c r="D41" s="329">
        <f>IF('5 Adj NOA'!F39="","",AVERAGE('5 Adj NOA'!E39:F39)/'6 CS-BS'!D$3)</f>
        <v>0.11995275706798553</v>
      </c>
    </row>
    <row r="42" spans="1:4" x14ac:dyDescent="0.3">
      <c r="A42" t="s">
        <v>369</v>
      </c>
      <c r="B42" s="58">
        <f>IF('5 Adj NOA'!D40="","",AVERAGE('5 Adj NOA'!C40:D40)/'6 CS-BS'!B$3)</f>
        <v>1.2880833011955264E-2</v>
      </c>
      <c r="C42" s="58">
        <f>IF('5 Adj NOA'!E40="","",AVERAGE('5 Adj NOA'!D40:E40)/'6 CS-BS'!C$3)</f>
        <v>2.0849540998910846E-2</v>
      </c>
      <c r="D42" s="329">
        <f>IF('5 Adj NOA'!F40="","",AVERAGE('5 Adj NOA'!E40:F40)/'6 CS-BS'!D$3)</f>
        <v>2.6574149258138332E-2</v>
      </c>
    </row>
    <row r="43" spans="1:4" x14ac:dyDescent="0.3">
      <c r="A43" t="s">
        <v>370</v>
      </c>
      <c r="B43" s="58">
        <f>IF('5 Adj NOA'!D41="","",AVERAGE('5 Adj NOA'!C41:D41)/'6 CS-BS'!B$3)</f>
        <v>3.0813729271114539E-2</v>
      </c>
      <c r="C43" s="58">
        <f>IF('5 Adj NOA'!E41="","",AVERAGE('5 Adj NOA'!D41:E41)/'6 CS-BS'!C$3)</f>
        <v>3.1779990664384625E-2</v>
      </c>
      <c r="D43" s="329">
        <f>IF('5 Adj NOA'!F41="","",AVERAGE('5 Adj NOA'!E41:F41)/'6 CS-BS'!D$3)</f>
        <v>3.1335351000221452E-2</v>
      </c>
    </row>
    <row r="44" spans="1:4" x14ac:dyDescent="0.3">
      <c r="A44" t="s">
        <v>371</v>
      </c>
      <c r="B44" s="58">
        <f>IF('5 Adj NOA'!D42="","",AVERAGE('5 Adj NOA'!C42:D42)/'6 CS-BS'!B$3)</f>
        <v>3.7794060933281914E-3</v>
      </c>
      <c r="C44" s="58">
        <f>IF('5 Adj NOA'!E42="","",AVERAGE('5 Adj NOA'!D42:E42)/'6 CS-BS'!C$3)</f>
        <v>7.1573051190290957E-3</v>
      </c>
      <c r="D44" s="329">
        <f>IF('5 Adj NOA'!F42="","",AVERAGE('5 Adj NOA'!E42:F42)/'6 CS-BS'!D$3)</f>
        <v>5.8684579611722153E-3</v>
      </c>
    </row>
    <row r="45" spans="1:4" x14ac:dyDescent="0.3">
      <c r="A45" s="14" t="s">
        <v>454</v>
      </c>
      <c r="B45" s="58">
        <f>IF('5 Adj NOA'!D43="","",AVERAGE('5 Adj NOA'!C43:D43)/'6 CS-BS'!B$3)</f>
        <v>0</v>
      </c>
      <c r="C45" s="58">
        <f>IF('5 Adj NOA'!E43="","",AVERAGE('5 Adj NOA'!D43:E43)/'6 CS-BS'!C$3)</f>
        <v>0</v>
      </c>
      <c r="D45" s="329">
        <f>IF('5 Adj NOA'!F43="","",AVERAGE('5 Adj NOA'!E43:F43)/'6 CS-BS'!D$3)</f>
        <v>1.3545434413523289E-2</v>
      </c>
    </row>
    <row r="46" spans="1:4" x14ac:dyDescent="0.3">
      <c r="A46" t="s">
        <v>232</v>
      </c>
      <c r="B46" s="58">
        <f>IF('5 Adj NOA'!D44="","",AVERAGE('5 Adj NOA'!C44:D44)/'6 CS-BS'!B$3)</f>
        <v>3.4477439259544926E-2</v>
      </c>
      <c r="C46" s="58">
        <f>IF('5 Adj NOA'!E44="","",AVERAGE('5 Adj NOA'!D44:E44)/'6 CS-BS'!C$3)</f>
        <v>3.3724910533686009E-2</v>
      </c>
      <c r="D46" s="329">
        <f>IF('5 Adj NOA'!F44="","",AVERAGE('5 Adj NOA'!E44:F44)/'6 CS-BS'!D$3)</f>
        <v>3.1076991215767329E-2</v>
      </c>
    </row>
    <row r="47" spans="1:4" x14ac:dyDescent="0.3">
      <c r="A47" t="s">
        <v>372</v>
      </c>
      <c r="B47" s="58">
        <f>IF('5 Adj NOA'!D45="","",AVERAGE('5 Adj NOA'!C45:D45)/'6 CS-BS'!B$3)</f>
        <v>5.0134978789047433E-4</v>
      </c>
      <c r="C47" s="58">
        <f>IF('5 Adj NOA'!E45="","",AVERAGE('5 Adj NOA'!D45:E45)/'6 CS-BS'!C$3)</f>
        <v>0</v>
      </c>
      <c r="D47" s="329">
        <f>IF('5 Adj NOA'!F45="","",AVERAGE('5 Adj NOA'!E45:F45)/'6 CS-BS'!D$3)</f>
        <v>0</v>
      </c>
    </row>
    <row r="48" spans="1:4" x14ac:dyDescent="0.3">
      <c r="A48" t="s">
        <v>373</v>
      </c>
      <c r="B48" s="58">
        <f>IF('5 Adj NOA'!D46="","",AVERAGE('5 Adj NOA'!C46:D46)/'6 CS-BS'!B$3)</f>
        <v>1.2340917855765523E-3</v>
      </c>
      <c r="C48" s="58">
        <f>IF('5 Adj NOA'!E46="","",AVERAGE('5 Adj NOA'!D46:E46)/'6 CS-BS'!C$3)</f>
        <v>1.5170374980550802E-3</v>
      </c>
      <c r="D48" s="329">
        <f>IF('5 Adj NOA'!F46="","",AVERAGE('5 Adj NOA'!E46:F46)/'6 CS-BS'!D$3)</f>
        <v>1.2179818409980068E-3</v>
      </c>
    </row>
    <row r="49" spans="1:4" x14ac:dyDescent="0.3">
      <c r="A49" t="s">
        <v>374</v>
      </c>
      <c r="B49" s="58">
        <f>IF('5 Adj NOA'!D47="","",AVERAGE('5 Adj NOA'!C47:D47)/'6 CS-BS'!B$3)</f>
        <v>2.4296182028538372E-3</v>
      </c>
      <c r="C49" s="58">
        <f>IF('5 Adj NOA'!E47="","",AVERAGE('5 Adj NOA'!D47:E47)/'6 CS-BS'!C$3)</f>
        <v>2.6450910222498834E-3</v>
      </c>
      <c r="D49" s="329">
        <f>IF('5 Adj NOA'!F47="","",AVERAGE('5 Adj NOA'!E47:F47)/'6 CS-BS'!D$3)</f>
        <v>1.697792869269949E-3</v>
      </c>
    </row>
    <row r="50" spans="1:4" x14ac:dyDescent="0.3">
      <c r="A50" t="s">
        <v>375</v>
      </c>
      <c r="B50" s="58">
        <f>IF('5 Adj NOA'!D48="","",AVERAGE('5 Adj NOA'!C48:D48)/'6 CS-BS'!B$3)</f>
        <v>2.2753567296567682E-3</v>
      </c>
      <c r="C50" s="58">
        <f>IF('5 Adj NOA'!E48="","",AVERAGE('5 Adj NOA'!D48:E48)/'6 CS-BS'!C$3)</f>
        <v>1.8671230745293294E-3</v>
      </c>
      <c r="D50" s="329">
        <f>IF('5 Adj NOA'!F48="","",AVERAGE('5 Adj NOA'!E48:F48)/'6 CS-BS'!D$3)</f>
        <v>1.2548903816343101E-3</v>
      </c>
    </row>
    <row r="51" spans="1:4" x14ac:dyDescent="0.3">
      <c r="A51" t="s">
        <v>376</v>
      </c>
      <c r="B51" s="58" t="str">
        <f>IF('5 Adj NOA'!D49="","",AVERAGE('5 Adj NOA'!C49:D49)/'6 CS-BS'!B$3)</f>
        <v/>
      </c>
      <c r="C51" s="58" t="str">
        <f>IF('5 Adj NOA'!E49="","",AVERAGE('5 Adj NOA'!D49:E49)/'6 CS-BS'!C$3)</f>
        <v/>
      </c>
      <c r="D51" s="58" t="str">
        <f>IF('5 Adj NOA'!F49="","",AVERAGE('5 Adj NOA'!E49:F49)/'6 CS-BS'!D$3)</f>
        <v/>
      </c>
    </row>
    <row r="52" spans="1:4" x14ac:dyDescent="0.3">
      <c r="A52" t="s">
        <v>377</v>
      </c>
      <c r="B52" s="58">
        <f>IF('5 Adj NOA'!D50="","",AVERAGE('5 Adj NOA'!C50:D50)/'6 CS-BS'!B$3)</f>
        <v>9.101426918627073E-3</v>
      </c>
      <c r="C52" s="58">
        <f>IF('5 Adj NOA'!E50="","",AVERAGE('5 Adj NOA'!D50:E50)/'6 CS-BS'!C$3)</f>
        <v>1.6337326902131633E-2</v>
      </c>
      <c r="D52" s="329">
        <f>IF('5 Adj NOA'!F50="","",AVERAGE('5 Adj NOA'!E50:F50)/'6 CS-BS'!D$3)</f>
        <v>1.8786447183878348E-2</v>
      </c>
    </row>
    <row r="53" spans="1:4" x14ac:dyDescent="0.3">
      <c r="A53" t="s">
        <v>378</v>
      </c>
      <c r="B53" s="58">
        <f>IF('5 Adj NOA'!D51="","",AVERAGE('5 Adj NOA'!C51:D51)/'6 CS-BS'!B$3)</f>
        <v>1.6583108368684921E-3</v>
      </c>
      <c r="C53" s="58">
        <f>IF('5 Adj NOA'!E51="","",AVERAGE('5 Adj NOA'!D51:E51)/'6 CS-BS'!C$3)</f>
        <v>1.6337326902131633E-3</v>
      </c>
      <c r="D53" s="329">
        <f>IF('5 Adj NOA'!F51="","",AVERAGE('5 Adj NOA'!E51:F51)/'6 CS-BS'!D$3)</f>
        <v>1.9192441130877686E-3</v>
      </c>
    </row>
    <row r="54" spans="1:4" x14ac:dyDescent="0.3">
      <c r="A54" t="s">
        <v>379</v>
      </c>
      <c r="B54" s="58" t="str">
        <f>IF('5 Adj NOA'!D52="","",AVERAGE('5 Adj NOA'!C52:D52)/'6 CS-BS'!B$3)</f>
        <v/>
      </c>
      <c r="C54" s="58" t="str">
        <f>IF('5 Adj NOA'!E52="","",AVERAGE('5 Adj NOA'!D52:E52)/'6 CS-BS'!C$3)</f>
        <v/>
      </c>
      <c r="D54" s="58" t="str">
        <f>IF('5 Adj NOA'!F52="","",AVERAGE('5 Adj NOA'!E52:F52)/'6 CS-BS'!D$3)</f>
        <v/>
      </c>
    </row>
    <row r="55" spans="1:4" x14ac:dyDescent="0.3">
      <c r="A55" t="s">
        <v>380</v>
      </c>
      <c r="B55" s="58" t="str">
        <f>IF('5 Adj NOA'!D53="","",AVERAGE('5 Adj NOA'!C53:D53)/'6 CS-BS'!B$3)</f>
        <v/>
      </c>
      <c r="C55" s="58" t="str">
        <f>IF('5 Adj NOA'!E53="","",AVERAGE('5 Adj NOA'!D53:E53)/'6 CS-BS'!C$3)</f>
        <v/>
      </c>
      <c r="D55" s="58" t="str">
        <f>IF('5 Adj NOA'!F53="","",AVERAGE('5 Adj NOA'!E53:F53)/'6 CS-BS'!D$3)</f>
        <v/>
      </c>
    </row>
    <row r="56" spans="1:4" x14ac:dyDescent="0.3">
      <c r="A56" t="s">
        <v>381</v>
      </c>
      <c r="B56" s="58">
        <f>IF('5 Adj NOA'!D54="","",AVERAGE('5 Adj NOA'!C54:D54)/'6 CS-BS'!B$3)</f>
        <v>4.5121480910142696E-3</v>
      </c>
      <c r="C56" s="58">
        <f>IF('5 Adj NOA'!E54="","",AVERAGE('5 Adj NOA'!D54:E54)/'6 CS-BS'!C$3)</f>
        <v>3.9676365333748253E-3</v>
      </c>
      <c r="D56" s="329">
        <f>IF('5 Adj NOA'!F54="","",AVERAGE('5 Adj NOA'!E54:F54)/'6 CS-BS'!D$3)</f>
        <v>3.5801284417214144E-3</v>
      </c>
    </row>
    <row r="57" spans="1:4" x14ac:dyDescent="0.3">
      <c r="A57" t="s">
        <v>382</v>
      </c>
      <c r="B57" s="58">
        <f>IF('5 Adj NOA'!D55="","",AVERAGE('5 Adj NOA'!C55:D55)/'6 CS-BS'!B$3)</f>
        <v>-7.4816814500578482E-3</v>
      </c>
      <c r="C57" s="58">
        <f>IF('5 Adj NOA'!E55="","",AVERAGE('5 Adj NOA'!D55:E55)/'6 CS-BS'!C$3)</f>
        <v>-1.1047144857631865E-2</v>
      </c>
      <c r="D57" s="329">
        <f>IF('5 Adj NOA'!F55="","",AVERAGE('5 Adj NOA'!E55:F55)/'6 CS-BS'!D$3)</f>
        <v>-1.1773824462980734E-2</v>
      </c>
    </row>
    <row r="58" spans="1:4" x14ac:dyDescent="0.3">
      <c r="A58" t="s">
        <v>383</v>
      </c>
      <c r="B58" s="58" t="str">
        <f>IF('5 Adj NOA'!D56="","",AVERAGE('5 Adj NOA'!C56:D56)/'6 CS-BS'!B$3)</f>
        <v/>
      </c>
      <c r="C58" s="58" t="str">
        <f>IF('5 Adj NOA'!E56="","",AVERAGE('5 Adj NOA'!D56:E56)/'6 CS-BS'!C$3)</f>
        <v/>
      </c>
      <c r="D58" s="58" t="str">
        <f>IF('5 Adj NOA'!F56="","",AVERAGE('5 Adj NOA'!E56:F56)/'6 CS-BS'!D$3)</f>
        <v/>
      </c>
    </row>
    <row r="59" spans="1:4" x14ac:dyDescent="0.3">
      <c r="A59" t="s">
        <v>384</v>
      </c>
      <c r="B59" s="58" t="str">
        <f>IF('5 Adj NOA'!D57="","",AVERAGE('5 Adj NOA'!C57:D57)/'6 CS-BS'!B$3)</f>
        <v/>
      </c>
      <c r="C59" s="58" t="str">
        <f>IF('5 Adj NOA'!E57="","",AVERAGE('5 Adj NOA'!D57:E57)/'6 CS-BS'!C$3)</f>
        <v/>
      </c>
      <c r="D59" s="58" t="str">
        <f>IF('5 Adj NOA'!F57="","",AVERAGE('5 Adj NOA'!E57:F57)/'6 CS-BS'!D$3)</f>
        <v/>
      </c>
    </row>
    <row r="60" spans="1:4" x14ac:dyDescent="0.3">
      <c r="A60" s="14" t="s">
        <v>164</v>
      </c>
      <c r="B60" s="58">
        <f>IF('5 Adj NOA'!D58="","",AVERAGE('5 Adj NOA'!C58:D58)/'6 CS-BS'!B$3)</f>
        <v>2.7535672965676824E-2</v>
      </c>
      <c r="C60" s="58">
        <f>IF('5 Adj NOA'!E58="","",AVERAGE('5 Adj NOA'!D58:E58)/'6 CS-BS'!C$3)</f>
        <v>2.9601680410767075E-2</v>
      </c>
      <c r="D60" s="329">
        <f>IF('5 Adj NOA'!F58="","",AVERAGE('5 Adj NOA'!E58:F58)/'6 CS-BS'!D$3)</f>
        <v>3.2184247434856428E-2</v>
      </c>
    </row>
    <row r="61" spans="1:4" x14ac:dyDescent="0.3">
      <c r="A61" s="14" t="s">
        <v>192</v>
      </c>
      <c r="B61" s="58"/>
      <c r="C61" s="58"/>
      <c r="D61" s="58"/>
    </row>
    <row r="62" spans="1:4" x14ac:dyDescent="0.3">
      <c r="B62" s="58" t="str">
        <f>IF('5 Adj NOA'!D60="","",AVERAGE('5 Adj NOA'!C60:D60)/'6 CS-BS'!B$3)</f>
        <v/>
      </c>
      <c r="C62" s="58" t="str">
        <f>IF('5 Adj NOA'!E60="","",AVERAGE('5 Adj NOA'!D60:E60)/'6 CS-BS'!C$3)</f>
        <v/>
      </c>
      <c r="D62" s="58" t="str">
        <f>IF('5 Adj NOA'!F60="","",AVERAGE('5 Adj NOA'!E60:F60)/'6 CS-BS'!D$3)</f>
        <v/>
      </c>
    </row>
    <row r="63" spans="1:4" x14ac:dyDescent="0.3">
      <c r="A63" s="13" t="s">
        <v>7</v>
      </c>
      <c r="B63" s="58" t="str">
        <f>IF('5 Adj NOA'!D61="","",AVERAGE('5 Adj NOA'!C61:D61)/'6 CS-BS'!B$3)</f>
        <v/>
      </c>
      <c r="C63" s="58" t="str">
        <f>IF('5 Adj NOA'!E61="","",AVERAGE('5 Adj NOA'!D61:E61)/'6 CS-BS'!C$3)</f>
        <v/>
      </c>
      <c r="D63" s="58" t="str">
        <f>IF('5 Adj NOA'!F61="","",AVERAGE('5 Adj NOA'!E61:F61)/'6 CS-BS'!D$3)</f>
        <v/>
      </c>
    </row>
    <row r="64" spans="1:4" x14ac:dyDescent="0.3">
      <c r="A64" s="13" t="s">
        <v>158</v>
      </c>
      <c r="B64" s="58" t="str">
        <f>IF('5 Adj NOA'!D62="","",AVERAGE('5 Adj NOA'!C62:D62)/'6 CS-BS'!B$3)</f>
        <v/>
      </c>
      <c r="C64" s="58" t="str">
        <f>IF('5 Adj NOA'!E62="","",AVERAGE('5 Adj NOA'!D62:E62)/'6 CS-BS'!C$3)</f>
        <v/>
      </c>
      <c r="D64" s="58" t="str">
        <f>IF('5 Adj NOA'!F62="","",AVERAGE('5 Adj NOA'!E62:F62)/'6 CS-BS'!D$3)</f>
        <v/>
      </c>
    </row>
    <row r="65" spans="1:4" x14ac:dyDescent="0.3">
      <c r="A65" s="3" t="s">
        <v>233</v>
      </c>
      <c r="B65" s="58" t="str">
        <f>IF('5 Adj NOA'!D63="","",AVERAGE('5 Adj NOA'!C63:D63)/'6 CS-BS'!B$3)</f>
        <v/>
      </c>
      <c r="C65" s="58" t="str">
        <f>IF('5 Adj NOA'!E63="","",AVERAGE('5 Adj NOA'!D63:E63)/'6 CS-BS'!C$3)</f>
        <v/>
      </c>
      <c r="D65" s="58" t="str">
        <f>IF('5 Adj NOA'!F63="","",AVERAGE('5 Adj NOA'!E63:F63)/'6 CS-BS'!D$3)</f>
        <v/>
      </c>
    </row>
    <row r="66" spans="1:4" x14ac:dyDescent="0.3">
      <c r="A66" s="3" t="s">
        <v>385</v>
      </c>
      <c r="B66" s="58" t="str">
        <f>IF('5 Adj NOA'!D64="","",AVERAGE('5 Adj NOA'!C64:D64)/'6 CS-BS'!B$3)</f>
        <v/>
      </c>
      <c r="C66" s="58" t="str">
        <f>IF('5 Adj NOA'!E64="","",AVERAGE('5 Adj NOA'!D64:E64)/'6 CS-BS'!C$3)</f>
        <v/>
      </c>
      <c r="D66" s="58" t="str">
        <f>IF('5 Adj NOA'!F64="","",AVERAGE('5 Adj NOA'!E64:F64)/'6 CS-BS'!D$3)</f>
        <v/>
      </c>
    </row>
    <row r="67" spans="1:4" x14ac:dyDescent="0.3">
      <c r="A67" s="3" t="s">
        <v>386</v>
      </c>
      <c r="B67" s="58" t="str">
        <f>IF('5 Adj NOA'!D65="","",AVERAGE('5 Adj NOA'!C65:D65)/'6 CS-BS'!B$3)</f>
        <v/>
      </c>
      <c r="C67" s="58" t="str">
        <f>IF('5 Adj NOA'!E65="","",AVERAGE('5 Adj NOA'!D65:E65)/'6 CS-BS'!C$3)</f>
        <v/>
      </c>
      <c r="D67" s="58" t="str">
        <f>IF('5 Adj NOA'!F65="","",AVERAGE('5 Adj NOA'!E65:F65)/'6 CS-BS'!D$3)</f>
        <v/>
      </c>
    </row>
    <row r="68" spans="1:4" x14ac:dyDescent="0.3">
      <c r="A68" s="3" t="s">
        <v>387</v>
      </c>
      <c r="B68" s="58" t="str">
        <f>IF('5 Adj NOA'!D66="","",AVERAGE('5 Adj NOA'!C66:D66)/'6 CS-BS'!B$3)</f>
        <v/>
      </c>
      <c r="C68" s="58" t="str">
        <f>IF('5 Adj NOA'!E66="","",AVERAGE('5 Adj NOA'!D66:E66)/'6 CS-BS'!C$3)</f>
        <v/>
      </c>
      <c r="D68" s="58" t="str">
        <f>IF('5 Adj NOA'!F66="","",AVERAGE('5 Adj NOA'!E66:F66)/'6 CS-BS'!D$3)</f>
        <v/>
      </c>
    </row>
    <row r="69" spans="1:4" x14ac:dyDescent="0.3">
      <c r="A69" s="3" t="s">
        <v>234</v>
      </c>
      <c r="B69" s="58">
        <f>IF('5 Adj NOA'!D67="","",AVERAGE('5 Adj NOA'!C67:D67)/'6 CS-BS'!B$3)</f>
        <v>-0.15121480910142693</v>
      </c>
      <c r="C69" s="58">
        <f>IF('5 Adj NOA'!E67="","",AVERAGE('5 Adj NOA'!D67:E67)/'6 CS-BS'!C$3)</f>
        <v>-0.16660183600435663</v>
      </c>
      <c r="D69" s="329">
        <f>IF('5 Adj NOA'!F67="","",AVERAGE('5 Adj NOA'!E67:F67)/'6 CS-BS'!D$3)</f>
        <v>-0.17332250682808001</v>
      </c>
    </row>
    <row r="70" spans="1:4" x14ac:dyDescent="0.3">
      <c r="A70" s="3" t="s">
        <v>388</v>
      </c>
      <c r="B70" s="58">
        <f>IF('5 Adj NOA'!D68="","",AVERAGE('5 Adj NOA'!C68:D68)/'6 CS-BS'!B$3)</f>
        <v>-3.4323177786347858E-3</v>
      </c>
      <c r="C70" s="58">
        <f>IF('5 Adj NOA'!E68="","",AVERAGE('5 Adj NOA'!D68:E68)/'6 CS-BS'!C$3)</f>
        <v>-2.9951765987241328E-3</v>
      </c>
      <c r="D70" s="329">
        <f>IF('5 Adj NOA'!F68="","",AVERAGE('5 Adj NOA'!E68:F68)/'6 CS-BS'!D$3)</f>
        <v>-2.8788661696316528E-3</v>
      </c>
    </row>
    <row r="71" spans="1:4" x14ac:dyDescent="0.3">
      <c r="A71" s="3" t="s">
        <v>389</v>
      </c>
      <c r="B71" s="58">
        <f>IF('5 Adj NOA'!D69="","",AVERAGE('5 Adj NOA'!C69:D69)/'6 CS-BS'!B$3)</f>
        <v>-2.4797531816428846E-2</v>
      </c>
      <c r="C71" s="58">
        <f>IF('5 Adj NOA'!E69="","",AVERAGE('5 Adj NOA'!D69:E69)/'6 CS-BS'!C$3)</f>
        <v>-2.4467091955811419E-2</v>
      </c>
      <c r="D71" s="329">
        <f>IF('5 Adj NOA'!F69="","",AVERAGE('5 Adj NOA'!E69:F69)/'6 CS-BS'!D$3)</f>
        <v>-2.2883295194508008E-2</v>
      </c>
    </row>
    <row r="72" spans="1:4" x14ac:dyDescent="0.3">
      <c r="A72" s="12" t="s">
        <v>390</v>
      </c>
      <c r="B72" s="58">
        <f>IF('5 Adj NOA'!D70="","",AVERAGE('5 Adj NOA'!C70:D70)/'6 CS-BS'!B$3)</f>
        <v>-3.4053220208252986E-2</v>
      </c>
      <c r="C72" s="58">
        <f>IF('5 Adj NOA'!E70="","",AVERAGE('5 Adj NOA'!D70:E70)/'6 CS-BS'!C$3)</f>
        <v>-3.9598568538976191E-2</v>
      </c>
      <c r="D72" s="329">
        <f>IF('5 Adj NOA'!F70="","",AVERAGE('5 Adj NOA'!E70:F70)/'6 CS-BS'!D$3)</f>
        <v>-4.2038827784749391E-2</v>
      </c>
    </row>
    <row r="73" spans="1:4" x14ac:dyDescent="0.3">
      <c r="A73" s="3" t="s">
        <v>391</v>
      </c>
      <c r="B73" s="58">
        <f>IF('5 Adj NOA'!D71="","",AVERAGE('5 Adj NOA'!C71:D71)/'6 CS-BS'!B$3)</f>
        <v>-4.1689163131507903E-2</v>
      </c>
      <c r="C73" s="58">
        <f>IF('5 Adj NOA'!E71="","",AVERAGE('5 Adj NOA'!D71:E71)/'6 CS-BS'!C$3)</f>
        <v>-4.2593745137700326E-2</v>
      </c>
      <c r="D73" s="329">
        <f>IF('5 Adj NOA'!F71="","",AVERAGE('5 Adj NOA'!E71:F71)/'6 CS-BS'!D$3)</f>
        <v>-3.7056174798848457E-2</v>
      </c>
    </row>
    <row r="74" spans="1:4" x14ac:dyDescent="0.3">
      <c r="A74" s="3" t="s">
        <v>9</v>
      </c>
      <c r="B74" s="58" t="str">
        <f>IF('5 Adj NOA'!D72="","",AVERAGE('5 Adj NOA'!C72:D72)/'6 CS-BS'!B$3)</f>
        <v/>
      </c>
      <c r="C74" s="58" t="str">
        <f>IF('5 Adj NOA'!E72="","",AVERAGE('5 Adj NOA'!D72:E72)/'6 CS-BS'!C$3)</f>
        <v/>
      </c>
      <c r="D74" s="58" t="str">
        <f>IF('5 Adj NOA'!F72="","",AVERAGE('5 Adj NOA'!E72:F72)/'6 CS-BS'!D$3)</f>
        <v/>
      </c>
    </row>
    <row r="75" spans="1:4" x14ac:dyDescent="0.3">
      <c r="A75" t="s">
        <v>392</v>
      </c>
      <c r="B75" s="58">
        <f>IF('5 Adj NOA'!D73="","",AVERAGE('5 Adj NOA'!C73:D73)/'6 CS-BS'!B$3)</f>
        <v>-2.9695333590435791E-3</v>
      </c>
      <c r="C75" s="58">
        <f>IF('5 Adj NOA'!E73="","",AVERAGE('5 Adj NOA'!D73:E73)/'6 CS-BS'!C$3)</f>
        <v>-3.1896685856542708E-3</v>
      </c>
      <c r="D75" s="329">
        <f>IF('5 Adj NOA'!F73="","",AVERAGE('5 Adj NOA'!E73:F73)/'6 CS-BS'!D$3)</f>
        <v>-2.4728722226323172E-3</v>
      </c>
    </row>
    <row r="76" spans="1:4" x14ac:dyDescent="0.3">
      <c r="A76" t="s">
        <v>393</v>
      </c>
      <c r="B76" s="58">
        <f>IF('5 Adj NOA'!D74="","",AVERAGE('5 Adj NOA'!C74:D74)/'6 CS-BS'!B$3)</f>
        <v>-1.96683378326263E-3</v>
      </c>
      <c r="C76" s="58">
        <f>IF('5 Adj NOA'!E74="","",AVERAGE('5 Adj NOA'!D74:E74)/'6 CS-BS'!C$3)</f>
        <v>-1.9838182666874126E-3</v>
      </c>
      <c r="D76" s="329">
        <f>IF('5 Adj NOA'!F74="","",AVERAGE('5 Adj NOA'!E74:F74)/'6 CS-BS'!D$3)</f>
        <v>0</v>
      </c>
    </row>
    <row r="77" spans="1:4" x14ac:dyDescent="0.3">
      <c r="A77" t="s">
        <v>394</v>
      </c>
      <c r="B77" s="58">
        <f>IF('5 Adj NOA'!D75="","",AVERAGE('5 Adj NOA'!C75:D75)/'6 CS-BS'!B$3)</f>
        <v>-2.5568839182414191E-2</v>
      </c>
      <c r="C77" s="58">
        <f>IF('5 Adj NOA'!E75="","",AVERAGE('5 Adj NOA'!D75:E75)/'6 CS-BS'!C$3)</f>
        <v>-2.0460557025050567E-2</v>
      </c>
      <c r="D77" s="329">
        <f>IF('5 Adj NOA'!F75="","",AVERAGE('5 Adj NOA'!E75:F75)/'6 CS-BS'!D$3)</f>
        <v>-1.5796855392337786E-2</v>
      </c>
    </row>
    <row r="78" spans="1:4" x14ac:dyDescent="0.3">
      <c r="A78" t="s">
        <v>395</v>
      </c>
      <c r="B78" s="58">
        <f>IF('5 Adj NOA'!D76="","",AVERAGE('5 Adj NOA'!C76:D76)/'6 CS-BS'!B$3)</f>
        <v>-4.5430003856536831E-2</v>
      </c>
      <c r="C78" s="58">
        <f>IF('5 Adj NOA'!E76="","",AVERAGE('5 Adj NOA'!D76:E76)/'6 CS-BS'!C$3)</f>
        <v>-3.6331103158549871E-2</v>
      </c>
      <c r="D78" s="329">
        <f>IF('5 Adj NOA'!F76="","",AVERAGE('5 Adj NOA'!E76:F76)/'6 CS-BS'!D$3)</f>
        <v>-3.4878570901306562E-2</v>
      </c>
    </row>
    <row r="79" spans="1:4" x14ac:dyDescent="0.3">
      <c r="A79" t="s">
        <v>396</v>
      </c>
      <c r="B79" s="58">
        <f>IF('5 Adj NOA'!D77="","",AVERAGE('5 Adj NOA'!C77:D77)/'6 CS-BS'!B$3)</f>
        <v>0</v>
      </c>
      <c r="C79" s="58">
        <f>IF('5 Adj NOA'!E77="","",AVERAGE('5 Adj NOA'!D77:E77)/'6 CS-BS'!C$3)</f>
        <v>0</v>
      </c>
      <c r="D79" s="329">
        <f>IF('5 Adj NOA'!F77="","",AVERAGE('5 Adj NOA'!E77:F77)/'6 CS-BS'!D$3)</f>
        <v>0</v>
      </c>
    </row>
    <row r="80" spans="1:4" x14ac:dyDescent="0.3">
      <c r="A80" t="s">
        <v>397</v>
      </c>
      <c r="B80" s="58" t="str">
        <f>IF('5 Adj NOA'!D78="","",AVERAGE('5 Adj NOA'!C78:D78)/'6 CS-BS'!B$3)</f>
        <v/>
      </c>
      <c r="C80" s="58" t="str">
        <f>IF('5 Adj NOA'!E78="","",AVERAGE('5 Adj NOA'!D78:E78)/'6 CS-BS'!C$3)</f>
        <v/>
      </c>
      <c r="D80" s="58" t="str">
        <f>IF('5 Adj NOA'!F78="","",AVERAGE('5 Adj NOA'!E78:F78)/'6 CS-BS'!D$3)</f>
        <v/>
      </c>
    </row>
    <row r="81" spans="1:4" x14ac:dyDescent="0.3">
      <c r="A81" t="s">
        <v>398</v>
      </c>
      <c r="B81" s="58" t="str">
        <f>IF('5 Adj NOA'!D79="","",AVERAGE('5 Adj NOA'!C79:D79)/'6 CS-BS'!B$3)</f>
        <v/>
      </c>
      <c r="C81" s="58" t="str">
        <f>IF('5 Adj NOA'!E79="","",AVERAGE('5 Adj NOA'!D79:E79)/'6 CS-BS'!C$3)</f>
        <v/>
      </c>
      <c r="D81" s="58" t="str">
        <f>IF('5 Adj NOA'!F79="","",AVERAGE('5 Adj NOA'!E79:F79)/'6 CS-BS'!D$3)</f>
        <v/>
      </c>
    </row>
    <row r="82" spans="1:4" x14ac:dyDescent="0.3">
      <c r="A82" t="s">
        <v>399</v>
      </c>
      <c r="B82" s="58" t="str">
        <f>IF('5 Adj NOA'!D80="","",AVERAGE('5 Adj NOA'!C80:D80)/'6 CS-BS'!B$3)</f>
        <v/>
      </c>
      <c r="C82" s="58" t="str">
        <f>IF('5 Adj NOA'!E80="","",AVERAGE('5 Adj NOA'!D80:E80)/'6 CS-BS'!C$3)</f>
        <v/>
      </c>
      <c r="D82" s="58" t="str">
        <f>IF('5 Adj NOA'!F80="","",AVERAGE('5 Adj NOA'!E80:F80)/'6 CS-BS'!D$3)</f>
        <v/>
      </c>
    </row>
    <row r="83" spans="1:4" x14ac:dyDescent="0.3">
      <c r="A83" t="s">
        <v>137</v>
      </c>
      <c r="B83" s="58" t="str">
        <f>IF('5 Adj NOA'!D81="","",AVERAGE('5 Adj NOA'!C81:D81)/'6 CS-BS'!B$3)</f>
        <v/>
      </c>
      <c r="C83" s="58" t="str">
        <f>IF('5 Adj NOA'!E81="","",AVERAGE('5 Adj NOA'!D81:E81)/'6 CS-BS'!C$3)</f>
        <v/>
      </c>
      <c r="D83" s="58" t="str">
        <f>IF('5 Adj NOA'!F81="","",AVERAGE('5 Adj NOA'!E81:F81)/'6 CS-BS'!D$3)</f>
        <v/>
      </c>
    </row>
    <row r="84" spans="1:4" x14ac:dyDescent="0.3">
      <c r="A84" t="s">
        <v>116</v>
      </c>
      <c r="B84" s="58" t="str">
        <f>IF('5 Adj NOA'!D82="","",AVERAGE('5 Adj NOA'!C82:D82)/'6 CS-BS'!B$3)</f>
        <v/>
      </c>
      <c r="C84" s="58" t="str">
        <f>IF('5 Adj NOA'!E82="","",AVERAGE('5 Adj NOA'!D82:E82)/'6 CS-BS'!C$3)</f>
        <v/>
      </c>
      <c r="D84" s="58" t="str">
        <f>IF('5 Adj NOA'!F82="","",AVERAGE('5 Adj NOA'!E82:F82)/'6 CS-BS'!D$3)</f>
        <v/>
      </c>
    </row>
    <row r="85" spans="1:4" x14ac:dyDescent="0.3">
      <c r="A85" t="s">
        <v>400</v>
      </c>
      <c r="B85" s="58">
        <f>IF('5 Adj NOA'!D83="","",AVERAGE('5 Adj NOA'!C83:D83)/'6 CS-BS'!B$3)</f>
        <v>-1.8511376783648284E-3</v>
      </c>
      <c r="C85" s="58">
        <f>IF('5 Adj NOA'!E83="","",AVERAGE('5 Adj NOA'!D83:E83)/'6 CS-BS'!C$3)</f>
        <v>-9.3356153726466464E-3</v>
      </c>
      <c r="D85" s="329">
        <f>IF('5 Adj NOA'!F83="","",AVERAGE('5 Adj NOA'!E83:F83)/'6 CS-BS'!D$3)</f>
        <v>-1.1330921975345095E-2</v>
      </c>
    </row>
    <row r="86" spans="1:4" x14ac:dyDescent="0.3">
      <c r="A86" t="s">
        <v>401</v>
      </c>
      <c r="B86" s="58" t="str">
        <f>IF('5 Adj NOA'!D84="","",AVERAGE('5 Adj NOA'!C84:D84)/'6 CS-BS'!B$3)</f>
        <v/>
      </c>
      <c r="C86" s="58" t="str">
        <f>IF('5 Adj NOA'!E84="","",AVERAGE('5 Adj NOA'!D84:E84)/'6 CS-BS'!C$3)</f>
        <v/>
      </c>
      <c r="D86" s="58" t="str">
        <f>IF('5 Adj NOA'!F84="","",AVERAGE('5 Adj NOA'!E84:F84)/'6 CS-BS'!D$3)</f>
        <v/>
      </c>
    </row>
    <row r="87" spans="1:4" x14ac:dyDescent="0.3">
      <c r="A87" t="s">
        <v>334</v>
      </c>
      <c r="B87" s="58" t="str">
        <f>IF('5 Adj NOA'!D85="","",AVERAGE('5 Adj NOA'!C85:D85)/'6 CS-BS'!B$3)</f>
        <v/>
      </c>
      <c r="C87" s="58" t="str">
        <f>IF('5 Adj NOA'!E85="","",AVERAGE('5 Adj NOA'!D85:E85)/'6 CS-BS'!C$3)</f>
        <v/>
      </c>
      <c r="D87" s="58" t="str">
        <f>IF('5 Adj NOA'!F85="","",AVERAGE('5 Adj NOA'!E85:F85)/'6 CS-BS'!D$3)</f>
        <v/>
      </c>
    </row>
    <row r="88" spans="1:4" x14ac:dyDescent="0.3">
      <c r="A88" t="s">
        <v>160</v>
      </c>
      <c r="B88" s="58" t="str">
        <f>IF('5 Adj NOA'!D86="","",AVERAGE('5 Adj NOA'!C86:D86)/'6 CS-BS'!B$3)</f>
        <v/>
      </c>
      <c r="C88" s="58" t="str">
        <f>IF('5 Adj NOA'!E86="","",AVERAGE('5 Adj NOA'!D86:E86)/'6 CS-BS'!C$3)</f>
        <v/>
      </c>
      <c r="D88" s="58" t="str">
        <f>IF('5 Adj NOA'!F86="","",AVERAGE('5 Adj NOA'!E86:F86)/'6 CS-BS'!D$3)</f>
        <v/>
      </c>
    </row>
    <row r="89" spans="1:4" x14ac:dyDescent="0.3">
      <c r="A89" t="s">
        <v>161</v>
      </c>
      <c r="B89" s="58" t="str">
        <f>IF('5 Adj NOA'!D87="","",AVERAGE('5 Adj NOA'!C87:D87)/'6 CS-BS'!B$3)</f>
        <v/>
      </c>
      <c r="C89" s="58" t="str">
        <f>IF('5 Adj NOA'!E87="","",AVERAGE('5 Adj NOA'!D87:E87)/'6 CS-BS'!C$3)</f>
        <v/>
      </c>
      <c r="D89" s="58" t="str">
        <f>IF('5 Adj NOA'!F87="","",AVERAGE('5 Adj NOA'!E87:F87)/'6 CS-BS'!D$3)</f>
        <v/>
      </c>
    </row>
    <row r="90" spans="1:4" x14ac:dyDescent="0.3">
      <c r="A90" t="s">
        <v>226</v>
      </c>
      <c r="B90" s="58" t="str">
        <f>IF('5 Adj NOA'!D88="","",AVERAGE('5 Adj NOA'!C88:D88)/'6 CS-BS'!B$3)</f>
        <v/>
      </c>
      <c r="C90" s="58" t="str">
        <f>IF('5 Adj NOA'!E88="","",AVERAGE('5 Adj NOA'!D88:E88)/'6 CS-BS'!C$3)</f>
        <v/>
      </c>
      <c r="D90" s="58" t="str">
        <f>IF('5 Adj NOA'!F88="","",AVERAGE('5 Adj NOA'!E88:F88)/'6 CS-BS'!D$3)</f>
        <v/>
      </c>
    </row>
    <row r="91" spans="1:4" x14ac:dyDescent="0.3">
      <c r="A91" t="s">
        <v>236</v>
      </c>
      <c r="B91" s="58" t="str">
        <f>IF('5 Adj NOA'!D89="","",AVERAGE('5 Adj NOA'!C89:D89)/'6 CS-BS'!B$3)</f>
        <v/>
      </c>
      <c r="C91" s="58" t="str">
        <f>IF('5 Adj NOA'!E89="","",AVERAGE('5 Adj NOA'!D89:E89)/'6 CS-BS'!C$3)</f>
        <v/>
      </c>
      <c r="D91" s="58" t="str">
        <f>IF('5 Adj NOA'!F89="","",AVERAGE('5 Adj NOA'!E89:F89)/'6 CS-BS'!D$3)</f>
        <v/>
      </c>
    </row>
    <row r="92" spans="1:4" x14ac:dyDescent="0.3">
      <c r="A92" t="s">
        <v>8</v>
      </c>
      <c r="B92" s="58" t="str">
        <f>IF('5 Adj NOA'!D90="","",AVERAGE('5 Adj NOA'!C90:D90)/'6 CS-BS'!B$3)</f>
        <v/>
      </c>
      <c r="C92" s="58" t="str">
        <f>IF('5 Adj NOA'!E90="","",AVERAGE('5 Adj NOA'!D90:E90)/'6 CS-BS'!C$3)</f>
        <v/>
      </c>
      <c r="D92" s="58" t="str">
        <f>IF('5 Adj NOA'!F90="","",AVERAGE('5 Adj NOA'!E90:F90)/'6 CS-BS'!D$3)</f>
        <v/>
      </c>
    </row>
    <row r="93" spans="1:4" x14ac:dyDescent="0.3">
      <c r="A93" t="s">
        <v>237</v>
      </c>
      <c r="B93" s="58" t="str">
        <f>IF('5 Adj NOA'!D91="","",AVERAGE('5 Adj NOA'!C91:D91)/'6 CS-BS'!B$3)</f>
        <v/>
      </c>
      <c r="C93" s="58" t="str">
        <f>IF('5 Adj NOA'!E91="","",AVERAGE('5 Adj NOA'!D91:E91)/'6 CS-BS'!C$3)</f>
        <v/>
      </c>
      <c r="D93" s="58" t="str">
        <f>IF('5 Adj NOA'!F91="","",AVERAGE('5 Adj NOA'!E91:F91)/'6 CS-BS'!D$3)</f>
        <v/>
      </c>
    </row>
    <row r="94" spans="1:4" x14ac:dyDescent="0.3">
      <c r="A94" t="s">
        <v>228</v>
      </c>
      <c r="B94" s="58" t="str">
        <f>IF('5 Adj NOA'!D92="","",AVERAGE('5 Adj NOA'!C92:D92)/'6 CS-BS'!B$3)</f>
        <v/>
      </c>
      <c r="C94" s="58" t="str">
        <f>IF('5 Adj NOA'!E92="","",AVERAGE('5 Adj NOA'!D92:E92)/'6 CS-BS'!C$3)</f>
        <v/>
      </c>
      <c r="D94" s="58" t="str">
        <f>IF('5 Adj NOA'!F92="","",AVERAGE('5 Adj NOA'!E92:F92)/'6 CS-BS'!D$3)</f>
        <v/>
      </c>
    </row>
    <row r="95" spans="1:4" x14ac:dyDescent="0.3">
      <c r="A95" t="s">
        <v>79</v>
      </c>
      <c r="B95" s="58" t="str">
        <f>IF('5 Adj NOA'!D93="","",AVERAGE('5 Adj NOA'!C93:D93)/'6 CS-BS'!B$3)</f>
        <v/>
      </c>
      <c r="C95" s="58" t="str">
        <f>IF('5 Adj NOA'!E93="","",AVERAGE('5 Adj NOA'!D93:E93)/'6 CS-BS'!C$3)</f>
        <v/>
      </c>
      <c r="D95" s="58" t="str">
        <f>IF('5 Adj NOA'!F93="","",AVERAGE('5 Adj NOA'!E93:F93)/'6 CS-BS'!D$3)</f>
        <v/>
      </c>
    </row>
    <row r="96" spans="1:4" x14ac:dyDescent="0.3">
      <c r="A96" t="s">
        <v>238</v>
      </c>
      <c r="B96" s="58" t="str">
        <f>IF('5 Adj NOA'!D94="","",AVERAGE('5 Adj NOA'!C94:D94)/'6 CS-BS'!B$3)</f>
        <v/>
      </c>
      <c r="C96" s="58" t="str">
        <f>IF('5 Adj NOA'!E94="","",AVERAGE('5 Adj NOA'!D94:E94)/'6 CS-BS'!C$3)</f>
        <v/>
      </c>
      <c r="D96" s="58" t="str">
        <f>IF('5 Adj NOA'!F94="","",AVERAGE('5 Adj NOA'!E94:F94)/'6 CS-BS'!D$3)</f>
        <v/>
      </c>
    </row>
    <row r="97" spans="1:4" x14ac:dyDescent="0.3">
      <c r="A97" t="s">
        <v>162</v>
      </c>
      <c r="B97" s="58" t="str">
        <f>IF('5 Adj NOA'!D95="","",AVERAGE('5 Adj NOA'!C95:D95)/'6 CS-BS'!B$3)</f>
        <v/>
      </c>
      <c r="C97" s="58" t="str">
        <f>IF('5 Adj NOA'!E95="","",AVERAGE('5 Adj NOA'!D95:E95)/'6 CS-BS'!C$3)</f>
        <v/>
      </c>
      <c r="D97" s="58" t="str">
        <f>IF('5 Adj NOA'!F95="","",AVERAGE('5 Adj NOA'!E95:F95)/'6 CS-BS'!D$3)</f>
        <v/>
      </c>
    </row>
    <row r="98" spans="1:4" x14ac:dyDescent="0.3">
      <c r="A98" t="s">
        <v>193</v>
      </c>
      <c r="B98" s="58"/>
      <c r="C98" s="58"/>
      <c r="D98" s="58"/>
    </row>
    <row r="100" spans="1:4" ht="15" thickBot="1" x14ac:dyDescent="0.35">
      <c r="A100" s="13" t="s">
        <v>427</v>
      </c>
      <c r="B100" s="144">
        <f>SUM(B6:B99)</f>
        <v>0.85626687234863053</v>
      </c>
      <c r="C100" s="144">
        <f t="shared" ref="C100:D100" si="0">SUM(C6:C99)</f>
        <v>0.88812820911778434</v>
      </c>
      <c r="D100" s="330">
        <f t="shared" si="0"/>
        <v>0.91234221598877974</v>
      </c>
    </row>
    <row r="101" spans="1:4" ht="15" thickTop="1" x14ac:dyDescent="0.3">
      <c r="A101" s="13"/>
      <c r="B101" s="79"/>
      <c r="C101" s="79"/>
      <c r="D101" s="79"/>
    </row>
    <row r="102" spans="1:4" ht="15" thickBot="1" x14ac:dyDescent="0.35">
      <c r="A102" s="13" t="s">
        <v>428</v>
      </c>
      <c r="B102" s="284">
        <f t="shared" ref="B102:D102" si="1">1/B100</f>
        <v>1.167860199072198</v>
      </c>
      <c r="C102" s="284">
        <f t="shared" si="1"/>
        <v>1.1259635599159075</v>
      </c>
      <c r="D102" s="331">
        <f t="shared" si="1"/>
        <v>1.0960799385088393</v>
      </c>
    </row>
    <row r="103" spans="1:4" ht="15" thickTop="1" x14ac:dyDescent="0.3">
      <c r="B103" s="79"/>
      <c r="C103" s="79"/>
      <c r="D103" s="79"/>
    </row>
    <row r="104" spans="1:4" x14ac:dyDescent="0.3">
      <c r="B104" s="79"/>
      <c r="C104" s="79"/>
      <c r="D104" s="79"/>
    </row>
    <row r="105" spans="1:4" x14ac:dyDescent="0.3">
      <c r="A105" s="276" t="s">
        <v>210</v>
      </c>
      <c r="B105" s="285">
        <f>+B102-'6 Analyzing'!C26</f>
        <v>0</v>
      </c>
      <c r="C105" s="285">
        <f>+C102-'6 Analyzing'!D26</f>
        <v>0</v>
      </c>
      <c r="D105" s="285">
        <f>+D102-'6 Analyzing'!E26</f>
        <v>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04"/>
  <sheetViews>
    <sheetView zoomScale="110" zoomScaleNormal="110" workbookViewId="0">
      <pane xSplit="1" ySplit="3" topLeftCell="E7" activePane="bottomRight" state="frozen"/>
      <selection pane="topRight" activeCell="B1" sqref="B1"/>
      <selection pane="bottomLeft" activeCell="A4" sqref="A4"/>
      <selection pane="bottomRight" activeCell="E76" sqref="E76"/>
    </sheetView>
  </sheetViews>
  <sheetFormatPr defaultRowHeight="14.4" x14ac:dyDescent="0.3"/>
  <cols>
    <col min="1" max="1" width="38.21875" customWidth="1"/>
    <col min="2" max="2" width="8.77734375" style="14" bestFit="1" customWidth="1"/>
    <col min="3" max="3" width="10.77734375" style="14" bestFit="1" customWidth="1"/>
    <col min="4" max="4" width="10.77734375" bestFit="1" customWidth="1"/>
    <col min="5" max="5" width="10.77734375" style="14" bestFit="1" customWidth="1"/>
    <col min="6" max="6" width="10.77734375" bestFit="1" customWidth="1"/>
    <col min="7" max="8" width="8.77734375" bestFit="1" customWidth="1"/>
    <col min="9" max="11" width="10.77734375" bestFit="1" customWidth="1"/>
    <col min="12" max="14" width="8.77734375" bestFit="1" customWidth="1"/>
  </cols>
  <sheetData>
    <row r="1" spans="1:14" x14ac:dyDescent="0.3">
      <c r="A1" s="13" t="s">
        <v>508</v>
      </c>
      <c r="B1" s="286">
        <f>52/52</f>
        <v>1</v>
      </c>
      <c r="C1" s="286">
        <f>52/52</f>
        <v>1</v>
      </c>
      <c r="D1" s="286">
        <f>52/52</f>
        <v>1</v>
      </c>
      <c r="E1" s="286">
        <f>52/52</f>
        <v>1</v>
      </c>
      <c r="F1" s="287">
        <v>3.5000000000000001E-3</v>
      </c>
      <c r="G1" s="287">
        <v>3.5000000000000001E-3</v>
      </c>
      <c r="H1" s="287">
        <v>3.5000000000000001E-3</v>
      </c>
      <c r="I1" s="287">
        <v>3.5000000000000001E-3</v>
      </c>
      <c r="J1" s="287">
        <v>3.5000000000000001E-3</v>
      </c>
      <c r="K1" s="287">
        <v>3.5000000000000001E-3</v>
      </c>
      <c r="L1" s="287">
        <v>3.5000000000000001E-3</v>
      </c>
      <c r="M1" s="287">
        <v>3.5000000000000001E-3</v>
      </c>
      <c r="N1" s="287">
        <v>3.5000000000000001E-3</v>
      </c>
    </row>
    <row r="2" spans="1:14" x14ac:dyDescent="0.3">
      <c r="B2" s="288" t="s">
        <v>17</v>
      </c>
      <c r="C2" s="286"/>
      <c r="D2" s="286"/>
      <c r="E2" s="286"/>
      <c r="F2" s="247" t="s">
        <v>18</v>
      </c>
      <c r="G2" s="249"/>
      <c r="H2" s="249"/>
      <c r="I2" s="249"/>
      <c r="J2" s="249"/>
      <c r="K2" s="247" t="s">
        <v>509</v>
      </c>
      <c r="L2" s="249"/>
      <c r="M2" s="249"/>
      <c r="N2" s="249"/>
    </row>
    <row r="3" spans="1:14" ht="15" thickBot="1" x14ac:dyDescent="0.35">
      <c r="B3" s="289">
        <f>+'5 IS Adjusted'!D3</f>
        <v>42371</v>
      </c>
      <c r="C3" s="289">
        <f>+'5 IS Adjusted'!E3</f>
        <v>42735</v>
      </c>
      <c r="D3" s="289">
        <f>+'5 IS Adjusted'!F3</f>
        <v>43099</v>
      </c>
      <c r="E3" s="289">
        <f>+'5 IS Adjusted'!G3</f>
        <v>43463</v>
      </c>
      <c r="F3" s="290">
        <f>E3+52*7+IF(AND(MONTH(E3+52*7)=12,DAY(E3+52*7)&lt;28),7,0)</f>
        <v>43827</v>
      </c>
      <c r="G3" s="290">
        <f t="shared" ref="G3:L3" si="0">F3+52*7+IF(AND(MONTH(F3+52*7)=12,DAY(F3+52*7)&lt;28),7,0)</f>
        <v>44198</v>
      </c>
      <c r="H3" s="290">
        <f t="shared" si="0"/>
        <v>44562</v>
      </c>
      <c r="I3" s="290">
        <f t="shared" si="0"/>
        <v>44926</v>
      </c>
      <c r="J3" s="290">
        <f t="shared" si="0"/>
        <v>45290</v>
      </c>
      <c r="K3" s="290">
        <f t="shared" si="0"/>
        <v>45654</v>
      </c>
      <c r="L3" s="290">
        <f t="shared" si="0"/>
        <v>46025</v>
      </c>
      <c r="M3" s="290">
        <f t="shared" ref="M3" si="1">L3+52*7+IF(AND(MONTH(L3+52*7)=12,DAY(L3+52*7)&lt;28),7,0)</f>
        <v>46389</v>
      </c>
      <c r="N3" s="290">
        <f t="shared" ref="N3" si="2">M3+52*7+IF(AND(MONTH(M3+52*7)=12,DAY(M3+52*7)&lt;28),7,0)</f>
        <v>46753</v>
      </c>
    </row>
    <row r="4" spans="1:14" s="13" customFormat="1" x14ac:dyDescent="0.3">
      <c r="A4" s="13" t="s">
        <v>31</v>
      </c>
      <c r="B4" s="296"/>
      <c r="C4" s="296">
        <f>+C9/(B9*B$1)-1</f>
        <v>-4.1404805914972309E-2</v>
      </c>
      <c r="D4" s="296">
        <f>+D9/(C9*C$1)-1</f>
        <v>-8.5615117624373571E-3</v>
      </c>
      <c r="E4" s="296">
        <f>+E9/(D9*D$1)-1</f>
        <v>5.3913178777034387E-2</v>
      </c>
      <c r="F4" s="296">
        <f>(+F9/E9-1)+F1</f>
        <v>1.4284675573927815E-2</v>
      </c>
      <c r="G4" s="296">
        <f t="shared" ref="G4:N4" si="3">(+G9/F9-1)+G1</f>
        <v>1.5706708123069232E-2</v>
      </c>
      <c r="H4" s="296">
        <f t="shared" si="3"/>
        <v>1.7154169486188472E-2</v>
      </c>
      <c r="I4" s="296">
        <f t="shared" si="3"/>
        <v>1.7000000000000067E-2</v>
      </c>
      <c r="J4" s="296">
        <f t="shared" si="3"/>
        <v>1.64999999999999E-2</v>
      </c>
      <c r="K4" s="296">
        <f t="shared" si="3"/>
        <v>1.5999999999999955E-2</v>
      </c>
      <c r="L4" s="296">
        <f t="shared" si="3"/>
        <v>1.5999999999999955E-2</v>
      </c>
      <c r="M4" s="296">
        <f t="shared" si="3"/>
        <v>1.5999999999999955E-2</v>
      </c>
      <c r="N4" s="296">
        <f t="shared" si="3"/>
        <v>1.5999999999999955E-2</v>
      </c>
    </row>
    <row r="5" spans="1:14" s="13" customFormat="1" x14ac:dyDescent="0.3">
      <c r="B5" s="296"/>
      <c r="C5" s="296"/>
      <c r="D5" s="296"/>
      <c r="E5" s="296"/>
      <c r="F5" s="296"/>
      <c r="G5" s="296"/>
      <c r="H5" s="296"/>
      <c r="I5" s="296"/>
      <c r="J5" s="296"/>
      <c r="K5" s="296"/>
      <c r="L5" s="296"/>
      <c r="M5" s="296"/>
      <c r="N5" s="296"/>
    </row>
    <row r="6" spans="1:14" s="13" customFormat="1" x14ac:dyDescent="0.3">
      <c r="A6" s="13" t="s">
        <v>507</v>
      </c>
      <c r="B6" s="296"/>
      <c r="C6" s="296">
        <f>C4</f>
        <v>-4.1404805914972309E-2</v>
      </c>
      <c r="D6" s="296">
        <f>D4</f>
        <v>-8.5615117624373571E-3</v>
      </c>
      <c r="E6" s="296">
        <f>E4</f>
        <v>5.3913178777034387E-2</v>
      </c>
      <c r="F6" s="296">
        <f t="shared" ref="F6:N6" si="4">F4</f>
        <v>1.4284675573927815E-2</v>
      </c>
      <c r="G6" s="296">
        <f t="shared" si="4"/>
        <v>1.5706708123069232E-2</v>
      </c>
      <c r="H6" s="296">
        <f t="shared" si="4"/>
        <v>1.7154169486188472E-2</v>
      </c>
      <c r="I6" s="296">
        <f t="shared" si="4"/>
        <v>1.7000000000000067E-2</v>
      </c>
      <c r="J6" s="296">
        <f t="shared" si="4"/>
        <v>1.64999999999999E-2</v>
      </c>
      <c r="K6" s="296">
        <f t="shared" si="4"/>
        <v>1.5999999999999955E-2</v>
      </c>
      <c r="L6" s="296">
        <f t="shared" si="4"/>
        <v>1.5999999999999955E-2</v>
      </c>
      <c r="M6" s="296">
        <f t="shared" si="4"/>
        <v>1.5999999999999955E-2</v>
      </c>
      <c r="N6" s="296">
        <f t="shared" si="4"/>
        <v>1.5999999999999955E-2</v>
      </c>
    </row>
    <row r="7" spans="1:14" x14ac:dyDescent="0.3">
      <c r="A7" s="346" t="s">
        <v>524</v>
      </c>
      <c r="B7" s="347">
        <f>B9</f>
        <v>13525</v>
      </c>
      <c r="C7" s="347">
        <f>C9</f>
        <v>12965</v>
      </c>
      <c r="D7" s="347">
        <f>D9</f>
        <v>12854</v>
      </c>
      <c r="E7" s="347">
        <f>E9</f>
        <v>13547</v>
      </c>
      <c r="F7" s="59">
        <f t="shared" ref="F7:N7" si="5">E7*(1+F6)</f>
        <v>13740.514500000001</v>
      </c>
      <c r="G7" s="59">
        <f t="shared" si="5"/>
        <v>13956.332750712303</v>
      </c>
      <c r="H7" s="59">
        <f t="shared" si="5"/>
        <v>14195.742048123666</v>
      </c>
      <c r="I7" s="59">
        <f t="shared" si="5"/>
        <v>14437.069662941771</v>
      </c>
      <c r="J7" s="59">
        <f t="shared" si="5"/>
        <v>14675.28131238031</v>
      </c>
      <c r="K7" s="59">
        <f t="shared" si="5"/>
        <v>14910.085813378395</v>
      </c>
      <c r="L7" s="59">
        <f t="shared" si="5"/>
        <v>15148.647186392449</v>
      </c>
      <c r="M7" s="59">
        <f t="shared" si="5"/>
        <v>15391.025541374729</v>
      </c>
      <c r="N7" s="59">
        <f t="shared" si="5"/>
        <v>15637.281950036724</v>
      </c>
    </row>
    <row r="8" spans="1:14" x14ac:dyDescent="0.3">
      <c r="B8" s="22"/>
      <c r="C8" s="22"/>
      <c r="D8" s="22"/>
      <c r="E8" s="22"/>
      <c r="F8" s="22"/>
      <c r="G8" s="22"/>
      <c r="H8" s="22"/>
      <c r="I8" s="22"/>
      <c r="J8" s="22"/>
      <c r="K8" s="22"/>
      <c r="L8" s="22"/>
      <c r="M8" s="22"/>
      <c r="N8" s="22"/>
    </row>
    <row r="9" spans="1:14" x14ac:dyDescent="0.3">
      <c r="A9" s="13" t="s">
        <v>16</v>
      </c>
      <c r="B9" s="59">
        <f>+B21+B33+B45+B57+B69+B81+B93</f>
        <v>13525</v>
      </c>
      <c r="C9" s="59">
        <f t="shared" ref="C9:H9" si="6">+C21+C33+C45+C57+C69+C81+C93</f>
        <v>12965</v>
      </c>
      <c r="D9" s="59">
        <f t="shared" si="6"/>
        <v>12854</v>
      </c>
      <c r="E9" s="59">
        <f t="shared" si="6"/>
        <v>13547</v>
      </c>
      <c r="F9" s="59">
        <f t="shared" si="6"/>
        <v>13693.1</v>
      </c>
      <c r="G9" s="59">
        <f t="shared" si="6"/>
        <v>13860.247675000001</v>
      </c>
      <c r="H9" s="59">
        <f t="shared" si="6"/>
        <v>14049.497845875001</v>
      </c>
      <c r="I9" s="19">
        <f>H9*(I19+1)</f>
        <v>14239.166066794314</v>
      </c>
      <c r="J9" s="19">
        <f t="shared" ref="J9:N9" si="7">I9*(J19+1)</f>
        <v>14424.275225662639</v>
      </c>
      <c r="K9" s="19">
        <f t="shared" si="7"/>
        <v>14604.578665983421</v>
      </c>
      <c r="L9" s="19">
        <f t="shared" si="7"/>
        <v>14787.135899308214</v>
      </c>
      <c r="M9" s="19">
        <f t="shared" si="7"/>
        <v>14971.975098049566</v>
      </c>
      <c r="N9" s="19">
        <f t="shared" si="7"/>
        <v>15159.124786775184</v>
      </c>
    </row>
    <row r="10" spans="1:14" x14ac:dyDescent="0.3">
      <c r="A10" t="s">
        <v>430</v>
      </c>
      <c r="B10" s="21"/>
      <c r="C10" s="21">
        <f>(+C22*B$21+C34*B$33+C46*B$45+C58*B$57+C70*B$69+C82*B$81+C94*B$93)/B$9</f>
        <v>1.1931238447319777E-3</v>
      </c>
      <c r="D10" s="21">
        <f t="shared" ref="D10:H10" si="8">(+D22*C$21+D34*C$33+D46*C$45+D58*C$57+D70*C$69+D82*C$81+D94*C$93)/C$9</f>
        <v>1.8731430775163902E-2</v>
      </c>
      <c r="E10" s="21">
        <f t="shared" si="8"/>
        <v>5.6077174420413871E-2</v>
      </c>
      <c r="F10" s="297">
        <f t="shared" si="8"/>
        <v>0</v>
      </c>
      <c r="G10" s="297">
        <f t="shared" si="8"/>
        <v>0</v>
      </c>
      <c r="H10" s="297">
        <f t="shared" si="8"/>
        <v>0</v>
      </c>
      <c r="J10" s="15"/>
    </row>
    <row r="11" spans="1:14" x14ac:dyDescent="0.3">
      <c r="A11" t="s">
        <v>431</v>
      </c>
      <c r="B11" s="21"/>
      <c r="C11" s="21">
        <f t="shared" ref="C11:H11" si="9">(+C23*B$21+C35*B$33+C47*B$45+C59*B$57+C71*B$69+C83*B$81+C95*B$93)/B$9</f>
        <v>1.8462107208872458E-4</v>
      </c>
      <c r="D11" s="21">
        <f t="shared" si="9"/>
        <v>1.1313536444273041E-3</v>
      </c>
      <c r="E11" s="21">
        <f t="shared" si="9"/>
        <v>-1.1750427882371247E-3</v>
      </c>
      <c r="F11" s="297">
        <f t="shared" si="9"/>
        <v>0</v>
      </c>
      <c r="G11" s="297">
        <f t="shared" si="9"/>
        <v>0</v>
      </c>
      <c r="H11" s="297">
        <f t="shared" si="9"/>
        <v>0</v>
      </c>
    </row>
    <row r="12" spans="1:14" x14ac:dyDescent="0.3">
      <c r="A12" t="s">
        <v>432</v>
      </c>
      <c r="B12" s="21"/>
      <c r="C12" s="21">
        <f t="shared" ref="C12:H12" si="10">(+C24*B$21+C36*B$33+C48*B$45+C60*B$57+C72*B$69+C84*B$81+C96*B$93)/B$9</f>
        <v>0</v>
      </c>
      <c r="D12" s="21">
        <f t="shared" si="10"/>
        <v>-2.3222522175086772E-3</v>
      </c>
      <c r="E12" s="21">
        <f t="shared" si="10"/>
        <v>0</v>
      </c>
      <c r="F12" s="297">
        <f t="shared" si="10"/>
        <v>0</v>
      </c>
      <c r="G12" s="297">
        <f t="shared" si="10"/>
        <v>0</v>
      </c>
      <c r="H12" s="297">
        <f t="shared" si="10"/>
        <v>0</v>
      </c>
    </row>
    <row r="13" spans="1:14" x14ac:dyDescent="0.3">
      <c r="A13" t="s">
        <v>433</v>
      </c>
      <c r="B13" s="21"/>
      <c r="C13" s="21">
        <f t="shared" ref="C13:H13" si="11">(+C25*B$21+C37*B$33+C49*B$45+C61*B$57+C73*B$69+C85*B$81+C97*B$93)/B$9</f>
        <v>-7.9457153419593335E-2</v>
      </c>
      <c r="D13" s="21">
        <f t="shared" si="11"/>
        <v>1.6262244504435021E-3</v>
      </c>
      <c r="E13" s="21">
        <f t="shared" si="11"/>
        <v>-1.4195581142056953E-3</v>
      </c>
      <c r="F13" s="297">
        <f t="shared" si="11"/>
        <v>0</v>
      </c>
      <c r="G13" s="297">
        <f t="shared" si="11"/>
        <v>0</v>
      </c>
      <c r="H13" s="297">
        <f t="shared" si="11"/>
        <v>0</v>
      </c>
    </row>
    <row r="14" spans="1:14" x14ac:dyDescent="0.3">
      <c r="A14" t="s">
        <v>442</v>
      </c>
      <c r="B14" s="21"/>
      <c r="C14" s="21">
        <f t="shared" ref="C14:H14" si="12">(+C26*B$21+C38*B$33+C50*B$45+C62*B$57+C74*B$69+C86*B$81+C98*B$93)/B$9</f>
        <v>1.3589648798521258E-4</v>
      </c>
      <c r="D14" s="21">
        <f t="shared" si="12"/>
        <v>0</v>
      </c>
      <c r="E14" s="21">
        <f t="shared" si="12"/>
        <v>0</v>
      </c>
      <c r="F14" s="297">
        <f t="shared" si="12"/>
        <v>0</v>
      </c>
      <c r="G14" s="297">
        <f t="shared" si="12"/>
        <v>0</v>
      </c>
      <c r="H14" s="297">
        <f t="shared" si="12"/>
        <v>0</v>
      </c>
    </row>
    <row r="15" spans="1:14" x14ac:dyDescent="0.3">
      <c r="A15" t="s">
        <v>441</v>
      </c>
      <c r="B15" s="21"/>
      <c r="C15" s="21">
        <f t="shared" ref="C15:H15" si="13">(+C27*B$21+C39*B$33+C51*B$45+C63*B$57+C75*B$69+C87*B$81+C99*B$93)/B$9</f>
        <v>3.0935304990757856E-4</v>
      </c>
      <c r="D15" s="21">
        <f t="shared" si="13"/>
        <v>0</v>
      </c>
      <c r="E15" s="21">
        <f t="shared" si="13"/>
        <v>0</v>
      </c>
      <c r="F15" s="297">
        <f t="shared" si="13"/>
        <v>0</v>
      </c>
      <c r="G15" s="297">
        <f t="shared" si="13"/>
        <v>0</v>
      </c>
      <c r="H15" s="297">
        <f t="shared" si="13"/>
        <v>0</v>
      </c>
    </row>
    <row r="16" spans="1:14" x14ac:dyDescent="0.3">
      <c r="A16" t="s">
        <v>459</v>
      </c>
      <c r="B16" s="21"/>
      <c r="C16" s="107">
        <f t="shared" ref="C16:H16" si="14">(+C28*B$21+C40*B$33+C52*B$45+C64*B$57+C76*B$69+C88*B$81+C100*B$93)/B$9</f>
        <v>3.622935304990757E-2</v>
      </c>
      <c r="D16" s="107">
        <f t="shared" si="14"/>
        <v>-2.7728268414963356E-2</v>
      </c>
      <c r="E16" s="107">
        <f t="shared" si="14"/>
        <v>4.3060525906333239E-4</v>
      </c>
      <c r="F16" s="107">
        <f t="shared" si="14"/>
        <v>1.0784675573927807E-2</v>
      </c>
      <c r="G16" s="107">
        <f t="shared" si="14"/>
        <v>1.2206708123069282E-2</v>
      </c>
      <c r="H16" s="107">
        <f t="shared" si="14"/>
        <v>1.3654169486188491E-2</v>
      </c>
    </row>
    <row r="17" spans="1:14" x14ac:dyDescent="0.3">
      <c r="B17" s="21"/>
      <c r="C17" s="21">
        <f t="shared" ref="C17:H17" si="15">SUM(C10:C16)</f>
        <v>-4.1404805914972267E-2</v>
      </c>
      <c r="D17" s="21">
        <f t="shared" si="15"/>
        <v>-8.5615117624373259E-3</v>
      </c>
      <c r="E17" s="21">
        <f t="shared" si="15"/>
        <v>5.3913178777034387E-2</v>
      </c>
      <c r="F17" s="21">
        <f>SUM(F10:F16)</f>
        <v>1.0784675573927807E-2</v>
      </c>
      <c r="G17" s="21">
        <f t="shared" si="15"/>
        <v>1.2206708123069282E-2</v>
      </c>
      <c r="H17" s="21">
        <f t="shared" si="15"/>
        <v>1.3654169486188491E-2</v>
      </c>
      <c r="I17" s="291">
        <v>1.35E-2</v>
      </c>
      <c r="J17" s="291">
        <v>1.2999999999999999E-2</v>
      </c>
      <c r="K17" s="291">
        <v>1.2500000000000001E-2</v>
      </c>
      <c r="L17" s="27">
        <f>+K17</f>
        <v>1.2500000000000001E-2</v>
      </c>
      <c r="M17" s="27">
        <f t="shared" ref="M17:N17" si="16">+L17</f>
        <v>1.2500000000000001E-2</v>
      </c>
      <c r="N17" s="27">
        <f t="shared" si="16"/>
        <v>1.2500000000000001E-2</v>
      </c>
    </row>
    <row r="18" spans="1:14" x14ac:dyDescent="0.3">
      <c r="B18" s="21"/>
      <c r="C18" s="21"/>
      <c r="D18" s="21"/>
      <c r="E18" s="21"/>
      <c r="F18" s="21"/>
      <c r="G18" s="21"/>
      <c r="H18" s="21"/>
      <c r="I18" s="10"/>
      <c r="J18" s="10"/>
      <c r="K18" s="10"/>
      <c r="L18" s="10"/>
      <c r="M18" s="10"/>
      <c r="N18" s="10"/>
    </row>
    <row r="19" spans="1:14" s="13" customFormat="1" ht="15" thickBot="1" x14ac:dyDescent="0.35">
      <c r="A19" s="13" t="s">
        <v>434</v>
      </c>
      <c r="B19" s="293"/>
      <c r="C19" s="294">
        <f>SUM(C17:C18)</f>
        <v>-4.1404805914972267E-2</v>
      </c>
      <c r="D19" s="294">
        <f t="shared" ref="D19" si="17">SUM(D17:D18)</f>
        <v>-8.5615117624373259E-3</v>
      </c>
      <c r="E19" s="294">
        <f t="shared" ref="E19" si="18">SUM(E17:E18)</f>
        <v>5.3913178777034387E-2</v>
      </c>
      <c r="F19" s="294">
        <f t="shared" ref="F19" si="19">SUM(F17:F18)</f>
        <v>1.0784675573927807E-2</v>
      </c>
      <c r="G19" s="294">
        <f t="shared" ref="G19" si="20">SUM(G17:G18)</f>
        <v>1.2206708123069282E-2</v>
      </c>
      <c r="H19" s="294">
        <f t="shared" ref="H19" si="21">SUM(H17:H18)</f>
        <v>1.3654169486188491E-2</v>
      </c>
      <c r="I19" s="295">
        <f t="shared" ref="I19" si="22">SUM(I17:I18)</f>
        <v>1.35E-2</v>
      </c>
      <c r="J19" s="295">
        <f t="shared" ref="J19" si="23">SUM(J17:J18)</f>
        <v>1.2999999999999999E-2</v>
      </c>
      <c r="K19" s="295">
        <f t="shared" ref="K19" si="24">SUM(K17:K18)</f>
        <v>1.2500000000000001E-2</v>
      </c>
      <c r="L19" s="295">
        <f t="shared" ref="L19" si="25">SUM(L17:L18)</f>
        <v>1.2500000000000001E-2</v>
      </c>
      <c r="M19" s="295">
        <f t="shared" ref="M19" si="26">SUM(M17:M18)</f>
        <v>1.2500000000000001E-2</v>
      </c>
      <c r="N19" s="295">
        <f t="shared" ref="N19" si="27">SUM(N17:N18)</f>
        <v>1.2500000000000001E-2</v>
      </c>
    </row>
    <row r="20" spans="1:14" ht="15" thickTop="1" x14ac:dyDescent="0.3"/>
    <row r="21" spans="1:14" x14ac:dyDescent="0.3">
      <c r="A21" s="13" t="s">
        <v>429</v>
      </c>
      <c r="B21" s="26">
        <f>+'5 Adj NOPAT'!C5</f>
        <v>2992</v>
      </c>
      <c r="C21" s="26">
        <f>+'5 Adj NOPAT'!D5</f>
        <v>2917</v>
      </c>
      <c r="D21" s="26">
        <f>+'5 Adj NOPAT'!E5</f>
        <v>2709</v>
      </c>
      <c r="E21" s="26">
        <f>+'5 Adj NOPAT'!F5</f>
        <v>2643</v>
      </c>
      <c r="F21" s="20">
        <f>(1+F31)*E21</f>
        <v>2643</v>
      </c>
      <c r="G21" s="20">
        <f t="shared" ref="G21:H21" si="28">(1+G31)*F21</f>
        <v>2669.43</v>
      </c>
      <c r="H21" s="20">
        <f t="shared" si="28"/>
        <v>2696.1242999999999</v>
      </c>
    </row>
    <row r="22" spans="1:14" x14ac:dyDescent="0.3">
      <c r="A22" t="s">
        <v>430</v>
      </c>
      <c r="B22" s="21"/>
      <c r="C22" s="21">
        <v>0</v>
      </c>
      <c r="D22" s="21">
        <v>0</v>
      </c>
      <c r="E22" s="21">
        <v>0</v>
      </c>
      <c r="F22" s="297">
        <v>0</v>
      </c>
      <c r="G22" s="297">
        <v>0</v>
      </c>
      <c r="H22" s="297">
        <v>0</v>
      </c>
    </row>
    <row r="23" spans="1:14" x14ac:dyDescent="0.3">
      <c r="A23" t="s">
        <v>431</v>
      </c>
      <c r="B23" s="21"/>
      <c r="C23" s="21">
        <v>0</v>
      </c>
      <c r="D23" s="21">
        <v>0</v>
      </c>
      <c r="E23" s="21">
        <v>0</v>
      </c>
      <c r="F23" s="297">
        <v>0</v>
      </c>
      <c r="G23" s="297">
        <v>0</v>
      </c>
      <c r="H23" s="297">
        <v>0</v>
      </c>
    </row>
    <row r="24" spans="1:14" x14ac:dyDescent="0.3">
      <c r="A24" t="s">
        <v>432</v>
      </c>
      <c r="B24" s="21"/>
      <c r="C24" s="21">
        <v>0</v>
      </c>
      <c r="D24" s="21">
        <v>0</v>
      </c>
      <c r="E24" s="21">
        <v>0</v>
      </c>
      <c r="F24" s="297">
        <v>0</v>
      </c>
      <c r="G24" s="297">
        <v>0</v>
      </c>
      <c r="H24" s="297">
        <v>0</v>
      </c>
    </row>
    <row r="25" spans="1:14" x14ac:dyDescent="0.3">
      <c r="A25" t="s">
        <v>433</v>
      </c>
      <c r="B25" s="21"/>
      <c r="C25" s="21">
        <v>0</v>
      </c>
      <c r="D25" s="21">
        <v>0</v>
      </c>
      <c r="E25" s="21">
        <v>0</v>
      </c>
      <c r="F25" s="297">
        <v>0</v>
      </c>
      <c r="G25" s="297">
        <v>0</v>
      </c>
      <c r="H25" s="297">
        <v>0</v>
      </c>
      <c r="J25" s="10"/>
    </row>
    <row r="26" spans="1:14" x14ac:dyDescent="0.3">
      <c r="A26" t="s">
        <v>442</v>
      </c>
      <c r="B26" s="21"/>
      <c r="C26" s="21">
        <v>0</v>
      </c>
      <c r="D26" s="21">
        <v>0</v>
      </c>
      <c r="E26" s="21">
        <v>0</v>
      </c>
      <c r="F26" s="297">
        <v>0</v>
      </c>
      <c r="G26" s="297">
        <v>0</v>
      </c>
      <c r="H26" s="297">
        <v>0</v>
      </c>
    </row>
    <row r="27" spans="1:14" x14ac:dyDescent="0.3">
      <c r="A27" t="s">
        <v>441</v>
      </c>
      <c r="B27" s="21"/>
      <c r="C27" s="21">
        <v>0</v>
      </c>
      <c r="D27" s="21">
        <v>0</v>
      </c>
      <c r="E27" s="21">
        <v>0</v>
      </c>
      <c r="F27" s="297">
        <v>0</v>
      </c>
      <c r="G27" s="297">
        <v>0</v>
      </c>
      <c r="H27" s="297">
        <v>0</v>
      </c>
    </row>
    <row r="28" spans="1:14" x14ac:dyDescent="0.3">
      <c r="A28" t="s">
        <v>459</v>
      </c>
      <c r="B28" s="21"/>
      <c r="C28" s="107">
        <f>+C21/B21-1-SUM(C22:C27,C30)</f>
        <v>-2.5066844919786058E-2</v>
      </c>
      <c r="D28" s="107">
        <f t="shared" ref="D28:E28" si="29">+D21/C21-1-SUM(D22:D27,D30)</f>
        <v>-7.1306136441549484E-2</v>
      </c>
      <c r="E28" s="107">
        <f t="shared" si="29"/>
        <v>-2.4363233665559259E-2</v>
      </c>
      <c r="F28" s="292">
        <v>0</v>
      </c>
      <c r="G28" s="292">
        <v>0.01</v>
      </c>
      <c r="H28" s="292">
        <v>0.01</v>
      </c>
    </row>
    <row r="29" spans="1:14" x14ac:dyDescent="0.3">
      <c r="B29" s="21"/>
      <c r="C29" s="21">
        <f t="shared" ref="C29:H29" si="30">SUM(C22:C28)</f>
        <v>-2.5066844919786058E-2</v>
      </c>
      <c r="D29" s="21">
        <f t="shared" si="30"/>
        <v>-7.1306136441549484E-2</v>
      </c>
      <c r="E29" s="21">
        <f t="shared" si="30"/>
        <v>-2.4363233665559259E-2</v>
      </c>
      <c r="F29" s="21">
        <f t="shared" si="30"/>
        <v>0</v>
      </c>
      <c r="G29" s="21">
        <f t="shared" si="30"/>
        <v>0.01</v>
      </c>
      <c r="H29" s="21">
        <f t="shared" si="30"/>
        <v>0.01</v>
      </c>
    </row>
    <row r="30" spans="1:14" x14ac:dyDescent="0.3">
      <c r="B30" s="21"/>
      <c r="C30" s="15"/>
      <c r="D30" s="15"/>
      <c r="E30" s="15"/>
      <c r="F30" s="15"/>
      <c r="G30" s="15"/>
      <c r="H30" s="15"/>
      <c r="I30" s="15"/>
      <c r="J30" s="15"/>
      <c r="K30" s="15"/>
      <c r="L30" s="15"/>
    </row>
    <row r="31" spans="1:14" ht="15" thickBot="1" x14ac:dyDescent="0.35">
      <c r="A31" t="s">
        <v>434</v>
      </c>
      <c r="B31" s="60"/>
      <c r="C31" s="60">
        <f>SUM(C29:C30)</f>
        <v>-2.5066844919786058E-2</v>
      </c>
      <c r="D31" s="60">
        <f t="shared" ref="D31:H31" si="31">SUM(D29:D30)</f>
        <v>-7.1306136441549484E-2</v>
      </c>
      <c r="E31" s="60">
        <f t="shared" si="31"/>
        <v>-2.4363233665559259E-2</v>
      </c>
      <c r="F31" s="60">
        <f t="shared" si="31"/>
        <v>0</v>
      </c>
      <c r="G31" s="60">
        <f t="shared" si="31"/>
        <v>0.01</v>
      </c>
      <c r="H31" s="60">
        <f t="shared" si="31"/>
        <v>0.01</v>
      </c>
    </row>
    <row r="32" spans="1:14" ht="15" thickTop="1" x14ac:dyDescent="0.3">
      <c r="C32" s="9"/>
      <c r="D32" s="14"/>
    </row>
    <row r="33" spans="1:8" x14ac:dyDescent="0.3">
      <c r="A33" s="13" t="s">
        <v>435</v>
      </c>
      <c r="B33" s="26">
        <f>+'5 Adj NOPAT'!C6</f>
        <v>3234</v>
      </c>
      <c r="C33" s="26">
        <f>+'5 Adj NOPAT'!D6</f>
        <v>3197</v>
      </c>
      <c r="D33" s="26">
        <f>+'5 Adj NOPAT'!E6</f>
        <v>3110</v>
      </c>
      <c r="E33" s="26">
        <f>+'5 Adj NOPAT'!F6</f>
        <v>2957</v>
      </c>
      <c r="F33" s="20">
        <f>(1+F43)*E33</f>
        <v>2868.29</v>
      </c>
      <c r="G33" s="20">
        <f t="shared" ref="G33:H33" si="32">(1+G43)*F33</f>
        <v>2796.58275</v>
      </c>
      <c r="H33" s="20">
        <f t="shared" si="32"/>
        <v>2740.6510950000002</v>
      </c>
    </row>
    <row r="34" spans="1:8" x14ac:dyDescent="0.3">
      <c r="A34" t="s">
        <v>430</v>
      </c>
      <c r="B34" s="21"/>
      <c r="C34" s="21">
        <v>0</v>
      </c>
      <c r="D34" s="21">
        <v>0</v>
      </c>
      <c r="E34" s="21">
        <v>0</v>
      </c>
      <c r="F34" s="297">
        <v>0</v>
      </c>
      <c r="G34" s="297">
        <v>0</v>
      </c>
      <c r="H34" s="297">
        <v>0</v>
      </c>
    </row>
    <row r="35" spans="1:8" x14ac:dyDescent="0.3">
      <c r="A35" t="s">
        <v>431</v>
      </c>
      <c r="B35" s="21"/>
      <c r="C35" s="21">
        <v>0</v>
      </c>
      <c r="D35" s="21">
        <v>0</v>
      </c>
      <c r="E35" s="21">
        <v>0</v>
      </c>
      <c r="F35" s="297">
        <v>0</v>
      </c>
      <c r="G35" s="297">
        <v>0</v>
      </c>
      <c r="H35" s="297">
        <v>0</v>
      </c>
    </row>
    <row r="36" spans="1:8" x14ac:dyDescent="0.3">
      <c r="A36" t="s">
        <v>432</v>
      </c>
      <c r="B36" s="21"/>
      <c r="C36" s="21">
        <v>0</v>
      </c>
      <c r="D36" s="21">
        <v>0</v>
      </c>
      <c r="E36" s="21">
        <v>0</v>
      </c>
      <c r="F36" s="297">
        <v>0</v>
      </c>
      <c r="G36" s="297">
        <v>0</v>
      </c>
      <c r="H36" s="297">
        <v>0</v>
      </c>
    </row>
    <row r="37" spans="1:8" x14ac:dyDescent="0.3">
      <c r="A37" t="s">
        <v>433</v>
      </c>
      <c r="B37" s="21"/>
      <c r="C37" s="21">
        <v>0</v>
      </c>
      <c r="D37" s="21">
        <v>0</v>
      </c>
      <c r="E37" s="21">
        <v>0</v>
      </c>
      <c r="F37" s="297">
        <v>0</v>
      </c>
      <c r="G37" s="297">
        <v>0</v>
      </c>
      <c r="H37" s="297">
        <v>0</v>
      </c>
    </row>
    <row r="38" spans="1:8" x14ac:dyDescent="0.3">
      <c r="A38" t="s">
        <v>442</v>
      </c>
      <c r="B38" s="21"/>
      <c r="C38" s="21">
        <v>0</v>
      </c>
      <c r="D38" s="21">
        <v>0</v>
      </c>
      <c r="E38" s="21">
        <v>0</v>
      </c>
      <c r="F38" s="297">
        <v>0</v>
      </c>
      <c r="G38" s="297">
        <v>0</v>
      </c>
      <c r="H38" s="297">
        <v>0</v>
      </c>
    </row>
    <row r="39" spans="1:8" x14ac:dyDescent="0.3">
      <c r="A39" t="s">
        <v>441</v>
      </c>
      <c r="B39" s="21"/>
      <c r="C39" s="21">
        <v>0</v>
      </c>
      <c r="D39" s="21">
        <v>0</v>
      </c>
      <c r="E39" s="21">
        <v>0</v>
      </c>
      <c r="F39" s="297">
        <v>0</v>
      </c>
      <c r="G39" s="297">
        <v>0</v>
      </c>
      <c r="H39" s="297">
        <v>0</v>
      </c>
    </row>
    <row r="40" spans="1:8" x14ac:dyDescent="0.3">
      <c r="A40" t="s">
        <v>459</v>
      </c>
      <c r="B40" s="21"/>
      <c r="C40" s="107">
        <f>+C33/B33-1-SUM(C34:C39,C42)</f>
        <v>-1.1440940012368617E-2</v>
      </c>
      <c r="D40" s="107">
        <f t="shared" ref="D40" si="33">+D33/C33-1-SUM(D34:D39,D42)</f>
        <v>-2.7213012198936459E-2</v>
      </c>
      <c r="E40" s="107">
        <f t="shared" ref="E40" si="34">+E33/D33-1-SUM(E34:E39,E42)</f>
        <v>-4.9196141479099675E-2</v>
      </c>
      <c r="F40" s="292">
        <v>-0.03</v>
      </c>
      <c r="G40" s="292">
        <v>-2.5000000000000001E-2</v>
      </c>
      <c r="H40" s="292">
        <v>-0.02</v>
      </c>
    </row>
    <row r="41" spans="1:8" x14ac:dyDescent="0.3">
      <c r="B41" s="21"/>
      <c r="C41" s="21">
        <f t="shared" ref="C41:H41" si="35">SUM(C34:C40)</f>
        <v>-1.1440940012368617E-2</v>
      </c>
      <c r="D41" s="21">
        <f t="shared" si="35"/>
        <v>-2.7213012198936459E-2</v>
      </c>
      <c r="E41" s="21">
        <f t="shared" si="35"/>
        <v>-4.9196141479099675E-2</v>
      </c>
      <c r="F41" s="21">
        <f t="shared" si="35"/>
        <v>-0.03</v>
      </c>
      <c r="G41" s="21">
        <f t="shared" si="35"/>
        <v>-2.5000000000000001E-2</v>
      </c>
      <c r="H41" s="21">
        <f t="shared" si="35"/>
        <v>-0.02</v>
      </c>
    </row>
    <row r="42" spans="1:8" x14ac:dyDescent="0.3">
      <c r="B42" s="21"/>
      <c r="C42" s="15"/>
      <c r="D42" s="15"/>
      <c r="E42" s="15"/>
      <c r="F42" s="15"/>
      <c r="G42" s="15"/>
      <c r="H42" s="15"/>
    </row>
    <row r="43" spans="1:8" ht="15" thickBot="1" x14ac:dyDescent="0.35">
      <c r="A43" t="s">
        <v>434</v>
      </c>
      <c r="B43" s="60"/>
      <c r="C43" s="60">
        <f>SUM(C41:C42)</f>
        <v>-1.1440940012368617E-2</v>
      </c>
      <c r="D43" s="60">
        <f t="shared" ref="D43" si="36">SUM(D41:D42)</f>
        <v>-2.7213012198936459E-2</v>
      </c>
      <c r="E43" s="60">
        <f t="shared" ref="E43" si="37">SUM(E41:E42)</f>
        <v>-4.9196141479099675E-2</v>
      </c>
      <c r="F43" s="60">
        <f t="shared" ref="F43" si="38">SUM(F41:F42)</f>
        <v>-0.03</v>
      </c>
      <c r="G43" s="60">
        <f t="shared" ref="G43" si="39">SUM(G41:G42)</f>
        <v>-2.5000000000000001E-2</v>
      </c>
      <c r="H43" s="60">
        <f t="shared" ref="H43" si="40">SUM(H41:H42)</f>
        <v>-0.02</v>
      </c>
    </row>
    <row r="44" spans="1:8" ht="15" thickTop="1" x14ac:dyDescent="0.3">
      <c r="C44"/>
      <c r="D44" s="14"/>
    </row>
    <row r="45" spans="1:8" x14ac:dyDescent="0.3">
      <c r="A45" s="13" t="s">
        <v>436</v>
      </c>
      <c r="B45" s="26">
        <f>+'5 Adj NOPAT'!C7</f>
        <v>1181</v>
      </c>
      <c r="C45" s="26">
        <f>+'5 Adj NOPAT'!D7</f>
        <v>1207</v>
      </c>
      <c r="D45" s="26">
        <f>+'5 Adj NOPAT'!E7</f>
        <v>1242</v>
      </c>
      <c r="E45" s="26">
        <f>+'5 Adj NOPAT'!F7</f>
        <v>1235</v>
      </c>
      <c r="F45" s="20">
        <f>(1+F55)*E45</f>
        <v>1265.875</v>
      </c>
      <c r="G45" s="20">
        <f t="shared" ref="G45:H45" si="41">(1+G55)*F45</f>
        <v>1297.5218749999999</v>
      </c>
      <c r="H45" s="20">
        <f t="shared" si="41"/>
        <v>1329.9599218749997</v>
      </c>
    </row>
    <row r="46" spans="1:8" x14ac:dyDescent="0.3">
      <c r="A46" t="s">
        <v>430</v>
      </c>
      <c r="B46" s="21"/>
      <c r="C46" s="21">
        <v>0</v>
      </c>
      <c r="D46" s="21">
        <v>0</v>
      </c>
      <c r="E46" s="21">
        <v>0</v>
      </c>
      <c r="F46" s="297">
        <v>0</v>
      </c>
      <c r="G46" s="297">
        <v>0</v>
      </c>
      <c r="H46" s="297">
        <v>0</v>
      </c>
    </row>
    <row r="47" spans="1:8" x14ac:dyDescent="0.3">
      <c r="A47" t="s">
        <v>431</v>
      </c>
      <c r="B47" s="21"/>
      <c r="C47" s="21">
        <v>0</v>
      </c>
      <c r="D47" s="21">
        <v>0</v>
      </c>
      <c r="E47" s="21">
        <v>0</v>
      </c>
      <c r="F47" s="297">
        <v>0</v>
      </c>
      <c r="G47" s="297">
        <v>0</v>
      </c>
      <c r="H47" s="297">
        <v>0</v>
      </c>
    </row>
    <row r="48" spans="1:8" x14ac:dyDescent="0.3">
      <c r="A48" t="s">
        <v>432</v>
      </c>
      <c r="B48" s="21"/>
      <c r="C48" s="21">
        <v>0</v>
      </c>
      <c r="D48" s="21">
        <v>0</v>
      </c>
      <c r="E48" s="21">
        <v>0</v>
      </c>
      <c r="F48" s="297">
        <v>0</v>
      </c>
      <c r="G48" s="297">
        <v>0</v>
      </c>
      <c r="H48" s="297">
        <v>0</v>
      </c>
    </row>
    <row r="49" spans="1:8" x14ac:dyDescent="0.3">
      <c r="A49" t="s">
        <v>433</v>
      </c>
      <c r="B49" s="21"/>
      <c r="C49" s="21">
        <v>0</v>
      </c>
      <c r="D49" s="21">
        <v>0</v>
      </c>
      <c r="E49" s="21">
        <v>0</v>
      </c>
      <c r="F49" s="297">
        <v>0</v>
      </c>
      <c r="G49" s="297">
        <v>0</v>
      </c>
      <c r="H49" s="297">
        <v>0</v>
      </c>
    </row>
    <row r="50" spans="1:8" x14ac:dyDescent="0.3">
      <c r="A50" t="s">
        <v>442</v>
      </c>
      <c r="B50" s="21"/>
      <c r="C50" s="21">
        <v>0</v>
      </c>
      <c r="D50" s="21">
        <v>0</v>
      </c>
      <c r="E50" s="21">
        <v>0</v>
      </c>
      <c r="F50" s="297">
        <v>0</v>
      </c>
      <c r="G50" s="297">
        <v>0</v>
      </c>
      <c r="H50" s="297">
        <v>0</v>
      </c>
    </row>
    <row r="51" spans="1:8" x14ac:dyDescent="0.3">
      <c r="A51" t="s">
        <v>441</v>
      </c>
      <c r="B51" s="21"/>
      <c r="C51" s="21">
        <v>0</v>
      </c>
      <c r="D51" s="21">
        <v>0</v>
      </c>
      <c r="E51" s="21">
        <v>0</v>
      </c>
      <c r="F51" s="297">
        <v>0</v>
      </c>
      <c r="G51" s="297">
        <v>0</v>
      </c>
      <c r="H51" s="297">
        <v>0</v>
      </c>
    </row>
    <row r="52" spans="1:8" x14ac:dyDescent="0.3">
      <c r="A52" t="s">
        <v>459</v>
      </c>
      <c r="B52" s="21"/>
      <c r="C52" s="107">
        <f>+C45/B45-1-SUM(C46:C51,C54)</f>
        <v>2.201524132091448E-2</v>
      </c>
      <c r="D52" s="107">
        <f t="shared" ref="D52" si="42">+D45/C45-1-SUM(D46:D51,D54)</f>
        <v>2.8997514498757315E-2</v>
      </c>
      <c r="E52" s="107">
        <f t="shared" ref="E52" si="43">+E45/D45-1-SUM(E46:E51,E54)</f>
        <v>-5.6360708534621828E-3</v>
      </c>
      <c r="F52" s="292">
        <v>2.5000000000000001E-2</v>
      </c>
      <c r="G52" s="292">
        <v>2.5000000000000001E-2</v>
      </c>
      <c r="H52" s="292">
        <v>2.5000000000000001E-2</v>
      </c>
    </row>
    <row r="53" spans="1:8" x14ac:dyDescent="0.3">
      <c r="B53" s="21"/>
      <c r="C53" s="21">
        <f t="shared" ref="C53:H53" si="44">SUM(C46:C52)</f>
        <v>2.201524132091448E-2</v>
      </c>
      <c r="D53" s="21">
        <f t="shared" si="44"/>
        <v>2.8997514498757315E-2</v>
      </c>
      <c r="E53" s="21">
        <f t="shared" si="44"/>
        <v>-5.6360708534621828E-3</v>
      </c>
      <c r="F53" s="21">
        <f t="shared" si="44"/>
        <v>2.5000000000000001E-2</v>
      </c>
      <c r="G53" s="21">
        <f t="shared" si="44"/>
        <v>2.5000000000000001E-2</v>
      </c>
      <c r="H53" s="21">
        <f t="shared" si="44"/>
        <v>2.5000000000000001E-2</v>
      </c>
    </row>
    <row r="54" spans="1:8" x14ac:dyDescent="0.3">
      <c r="B54" s="21"/>
      <c r="C54" s="15"/>
      <c r="D54" s="15"/>
      <c r="E54" s="15"/>
      <c r="F54" s="15"/>
      <c r="G54" s="15"/>
      <c r="H54" s="15"/>
    </row>
    <row r="55" spans="1:8" ht="15" thickBot="1" x14ac:dyDescent="0.35">
      <c r="A55" t="s">
        <v>434</v>
      </c>
      <c r="B55" s="60"/>
      <c r="C55" s="60">
        <f>SUM(C53:C54)</f>
        <v>2.201524132091448E-2</v>
      </c>
      <c r="D55" s="60">
        <f t="shared" ref="D55" si="45">SUM(D53:D54)</f>
        <v>2.8997514498757315E-2</v>
      </c>
      <c r="E55" s="60">
        <f t="shared" ref="E55" si="46">SUM(E53:E54)</f>
        <v>-5.6360708534621828E-3</v>
      </c>
      <c r="F55" s="60">
        <f t="shared" ref="F55" si="47">SUM(F53:F54)</f>
        <v>2.5000000000000001E-2</v>
      </c>
      <c r="G55" s="60">
        <f t="shared" ref="G55" si="48">SUM(G53:G54)</f>
        <v>2.5000000000000001E-2</v>
      </c>
      <c r="H55" s="60">
        <f t="shared" ref="H55" si="49">SUM(H53:H54)</f>
        <v>2.5000000000000001E-2</v>
      </c>
    </row>
    <row r="56" spans="1:8" ht="15" thickTop="1" x14ac:dyDescent="0.3">
      <c r="C56"/>
      <c r="D56" s="14"/>
    </row>
    <row r="57" spans="1:8" x14ac:dyDescent="0.3">
      <c r="A57" s="13" t="s">
        <v>437</v>
      </c>
      <c r="B57" s="26">
        <f>+'5 Adj NOPAT'!C8</f>
        <v>1687</v>
      </c>
      <c r="C57" s="26">
        <f>+'5 Adj NOPAT'!D8</f>
        <v>1593</v>
      </c>
      <c r="D57" s="26">
        <f>+'5 Adj NOPAT'!E8</f>
        <v>1612</v>
      </c>
      <c r="E57" s="26">
        <f>+'5 Adj NOPAT'!F8</f>
        <v>1853</v>
      </c>
      <c r="F57" s="20">
        <f>(1+F67)*E57</f>
        <v>1908.5900000000001</v>
      </c>
      <c r="G57" s="20">
        <f t="shared" ref="G57:H57" si="50">(1+G67)*F57</f>
        <v>1965.8477000000003</v>
      </c>
      <c r="H57" s="20">
        <f t="shared" si="50"/>
        <v>2024.8231310000003</v>
      </c>
    </row>
    <row r="58" spans="1:8" x14ac:dyDescent="0.3">
      <c r="A58" t="s">
        <v>430</v>
      </c>
      <c r="B58" s="21"/>
      <c r="C58" s="21">
        <v>2E-3</v>
      </c>
      <c r="D58" s="21">
        <v>1.7999999999999999E-2</v>
      </c>
      <c r="E58" s="21">
        <v>0.115</v>
      </c>
      <c r="F58" s="297">
        <v>0</v>
      </c>
      <c r="G58" s="297">
        <v>0</v>
      </c>
      <c r="H58" s="297">
        <v>0</v>
      </c>
    </row>
    <row r="59" spans="1:8" x14ac:dyDescent="0.3">
      <c r="A59" t="s">
        <v>431</v>
      </c>
      <c r="B59" s="21"/>
      <c r="C59" s="21">
        <v>0</v>
      </c>
      <c r="D59" s="21">
        <v>0</v>
      </c>
      <c r="E59" s="21">
        <v>0</v>
      </c>
      <c r="F59" s="297">
        <v>0</v>
      </c>
      <c r="G59" s="297">
        <v>0</v>
      </c>
      <c r="H59" s="297">
        <v>0</v>
      </c>
    </row>
    <row r="60" spans="1:8" x14ac:dyDescent="0.3">
      <c r="A60" t="s">
        <v>432</v>
      </c>
      <c r="B60" s="21"/>
      <c r="C60" s="21">
        <v>0</v>
      </c>
      <c r="D60" s="21">
        <v>0</v>
      </c>
      <c r="E60" s="21">
        <v>0</v>
      </c>
      <c r="F60" s="297">
        <v>0</v>
      </c>
      <c r="G60" s="297">
        <v>0</v>
      </c>
      <c r="H60" s="297">
        <v>0</v>
      </c>
    </row>
    <row r="61" spans="1:8" x14ac:dyDescent="0.3">
      <c r="A61" t="s">
        <v>433</v>
      </c>
      <c r="B61" s="21"/>
      <c r="C61" s="21">
        <v>-8.9999999999999993E-3</v>
      </c>
      <c r="D61" s="21">
        <v>8.0000000000000002E-3</v>
      </c>
      <c r="E61" s="21">
        <v>-2E-3</v>
      </c>
      <c r="F61" s="297">
        <v>0</v>
      </c>
      <c r="G61" s="297">
        <v>0</v>
      </c>
      <c r="H61" s="297">
        <v>0</v>
      </c>
    </row>
    <row r="62" spans="1:8" x14ac:dyDescent="0.3">
      <c r="A62" t="s">
        <v>442</v>
      </c>
      <c r="B62" s="21"/>
      <c r="C62" s="21">
        <v>0</v>
      </c>
      <c r="D62" s="21">
        <v>0</v>
      </c>
      <c r="E62" s="21">
        <v>0</v>
      </c>
      <c r="F62" s="297">
        <v>0</v>
      </c>
      <c r="G62" s="297">
        <v>0</v>
      </c>
      <c r="H62" s="297">
        <v>0</v>
      </c>
    </row>
    <row r="63" spans="1:8" x14ac:dyDescent="0.3">
      <c r="A63" t="s">
        <v>441</v>
      </c>
      <c r="B63" s="21"/>
      <c r="C63" s="21">
        <v>1E-3</v>
      </c>
      <c r="D63" s="21">
        <v>0</v>
      </c>
      <c r="E63" s="21">
        <v>0</v>
      </c>
      <c r="F63" s="297">
        <v>0</v>
      </c>
      <c r="G63" s="297">
        <v>0</v>
      </c>
      <c r="H63" s="297">
        <v>0</v>
      </c>
    </row>
    <row r="64" spans="1:8" x14ac:dyDescent="0.3">
      <c r="A64" t="s">
        <v>459</v>
      </c>
      <c r="B64" s="21"/>
      <c r="C64" s="107">
        <f>+C57/B57-1-SUM(C58:C63,C66)</f>
        <v>-4.972021339656197E-2</v>
      </c>
      <c r="D64" s="107">
        <f t="shared" ref="D64" si="51">+D57/C57-1-SUM(D58:D63,D66)</f>
        <v>-1.4072818581293254E-2</v>
      </c>
      <c r="E64" s="107">
        <f t="shared" ref="E64" si="52">+E57/D57-1-SUM(E58:E63,E66)</f>
        <v>3.6503722084367349E-2</v>
      </c>
      <c r="F64" s="292">
        <v>0.03</v>
      </c>
      <c r="G64" s="292">
        <v>0.03</v>
      </c>
      <c r="H64" s="292">
        <v>0.03</v>
      </c>
    </row>
    <row r="65" spans="1:8" x14ac:dyDescent="0.3">
      <c r="B65" s="21"/>
      <c r="C65" s="21">
        <f t="shared" ref="C65:H65" si="53">SUM(C58:C64)</f>
        <v>-5.5720213396561968E-2</v>
      </c>
      <c r="D65" s="21">
        <f t="shared" si="53"/>
        <v>1.1927181418706745E-2</v>
      </c>
      <c r="E65" s="21">
        <f t="shared" si="53"/>
        <v>0.14950372208436735</v>
      </c>
      <c r="F65" s="21">
        <f t="shared" si="53"/>
        <v>0.03</v>
      </c>
      <c r="G65" s="21">
        <f t="shared" si="53"/>
        <v>0.03</v>
      </c>
      <c r="H65" s="21">
        <f t="shared" si="53"/>
        <v>0.03</v>
      </c>
    </row>
    <row r="66" spans="1:8" x14ac:dyDescent="0.3">
      <c r="B66" s="21"/>
      <c r="C66" s="15"/>
      <c r="D66" s="15"/>
      <c r="E66" s="15"/>
      <c r="F66" s="15"/>
      <c r="G66" s="15"/>
      <c r="H66" s="15"/>
    </row>
    <row r="67" spans="1:8" ht="15" thickBot="1" x14ac:dyDescent="0.35">
      <c r="A67" t="s">
        <v>434</v>
      </c>
      <c r="B67" s="60"/>
      <c r="C67" s="60">
        <f>SUM(C65:C66)</f>
        <v>-5.5720213396561968E-2</v>
      </c>
      <c r="D67" s="60">
        <f t="shared" ref="D67" si="54">SUM(D65:D66)</f>
        <v>1.1927181418706745E-2</v>
      </c>
      <c r="E67" s="60">
        <f t="shared" ref="E67" si="55">SUM(E65:E66)</f>
        <v>0.14950372208436735</v>
      </c>
      <c r="F67" s="60">
        <f t="shared" ref="F67" si="56">SUM(F65:F66)</f>
        <v>0.03</v>
      </c>
      <c r="G67" s="60">
        <f t="shared" ref="G67" si="57">SUM(G65:G66)</f>
        <v>0.03</v>
      </c>
      <c r="H67" s="60">
        <f t="shared" ref="H67" si="58">SUM(H65:H66)</f>
        <v>0.03</v>
      </c>
    </row>
    <row r="68" spans="1:8" ht="15" thickTop="1" x14ac:dyDescent="0.3">
      <c r="C68" s="9"/>
      <c r="D68" s="14"/>
    </row>
    <row r="69" spans="1:8" x14ac:dyDescent="0.3">
      <c r="A69" s="13" t="s">
        <v>438</v>
      </c>
      <c r="B69" s="26">
        <f>+'5 Adj NOPAT'!C9</f>
        <v>2497</v>
      </c>
      <c r="C69" s="26">
        <f>+'5 Adj NOPAT'!D9</f>
        <v>2383</v>
      </c>
      <c r="D69" s="26">
        <f>+'5 Adj NOPAT'!E9</f>
        <v>2291</v>
      </c>
      <c r="E69" s="26">
        <f>+'5 Adj NOPAT'!F9</f>
        <v>2395</v>
      </c>
      <c r="F69" s="20">
        <f>(1+F79)*E69</f>
        <v>2442.9</v>
      </c>
      <c r="G69" s="20">
        <f t="shared" ref="G69:H69" si="59">(1+G79)*F69</f>
        <v>2479.5434999999998</v>
      </c>
      <c r="H69" s="20">
        <f t="shared" si="59"/>
        <v>2516.7366524999993</v>
      </c>
    </row>
    <row r="70" spans="1:8" x14ac:dyDescent="0.3">
      <c r="A70" t="s">
        <v>430</v>
      </c>
      <c r="B70" s="21"/>
      <c r="C70" s="21">
        <v>1.0999999999999999E-2</v>
      </c>
      <c r="D70" s="21">
        <v>5.0000000000000001E-3</v>
      </c>
      <c r="E70" s="21">
        <v>0</v>
      </c>
      <c r="F70" s="297">
        <v>0</v>
      </c>
      <c r="G70" s="297">
        <v>0</v>
      </c>
      <c r="H70" s="297">
        <v>0</v>
      </c>
    </row>
    <row r="71" spans="1:8" x14ac:dyDescent="0.3">
      <c r="A71" t="s">
        <v>431</v>
      </c>
      <c r="B71" s="21"/>
      <c r="C71" s="21">
        <v>1E-3</v>
      </c>
      <c r="D71" s="21">
        <v>0</v>
      </c>
      <c r="E71" s="21">
        <v>0</v>
      </c>
      <c r="F71" s="297">
        <v>0</v>
      </c>
      <c r="G71" s="297">
        <v>0</v>
      </c>
      <c r="H71" s="297">
        <v>0</v>
      </c>
    </row>
    <row r="72" spans="1:8" x14ac:dyDescent="0.3">
      <c r="A72" t="s">
        <v>432</v>
      </c>
      <c r="B72" s="21"/>
      <c r="C72" s="21">
        <v>0</v>
      </c>
      <c r="D72" s="21">
        <v>0</v>
      </c>
      <c r="E72" s="21">
        <v>0</v>
      </c>
      <c r="F72" s="297">
        <v>0</v>
      </c>
      <c r="G72" s="297">
        <v>0</v>
      </c>
      <c r="H72" s="297">
        <v>0</v>
      </c>
    </row>
    <row r="73" spans="1:8" x14ac:dyDescent="0.3">
      <c r="A73" t="s">
        <v>433</v>
      </c>
      <c r="B73" s="21"/>
      <c r="C73" s="21">
        <v>-5.2999999999999999E-2</v>
      </c>
      <c r="D73" s="21">
        <v>-8.0000000000000002E-3</v>
      </c>
      <c r="E73" s="21">
        <v>1.9E-2</v>
      </c>
      <c r="F73" s="297">
        <v>0</v>
      </c>
      <c r="G73" s="297">
        <v>0</v>
      </c>
      <c r="H73" s="297">
        <v>0</v>
      </c>
    </row>
    <row r="74" spans="1:8" x14ac:dyDescent="0.3">
      <c r="A74" t="s">
        <v>442</v>
      </c>
      <c r="B74" s="21"/>
      <c r="C74" s="21">
        <v>0</v>
      </c>
      <c r="D74" s="21">
        <v>0</v>
      </c>
      <c r="E74" s="21">
        <v>0</v>
      </c>
      <c r="F74" s="297">
        <v>0</v>
      </c>
      <c r="G74" s="297">
        <v>0</v>
      </c>
      <c r="H74" s="297">
        <v>0</v>
      </c>
    </row>
    <row r="75" spans="1:8" x14ac:dyDescent="0.3">
      <c r="A75" t="s">
        <v>441</v>
      </c>
      <c r="B75" s="21"/>
      <c r="C75" s="21">
        <v>1E-3</v>
      </c>
      <c r="D75" s="21">
        <v>0</v>
      </c>
      <c r="E75" s="21">
        <v>0</v>
      </c>
      <c r="F75" s="297">
        <v>0</v>
      </c>
      <c r="G75" s="297">
        <v>0</v>
      </c>
      <c r="H75" s="297">
        <v>0</v>
      </c>
    </row>
    <row r="76" spans="1:8" x14ac:dyDescent="0.3">
      <c r="A76" t="s">
        <v>459</v>
      </c>
      <c r="B76" s="21"/>
      <c r="C76" s="107">
        <f>+C69/B69-1-SUM(C70:C75,C78)</f>
        <v>-5.6547857428915077E-3</v>
      </c>
      <c r="D76" s="107">
        <f t="shared" ref="D76" si="60">+D69/C69-1-SUM(D70:D75,D78)</f>
        <v>-3.5606798153587915E-2</v>
      </c>
      <c r="E76" s="107">
        <f t="shared" ref="E76" si="61">+E69/D69-1-SUM(E70:E75,E78)</f>
        <v>2.6395024006983809E-2</v>
      </c>
      <c r="F76" s="292">
        <v>0.02</v>
      </c>
      <c r="G76" s="292">
        <v>1.4999999999999999E-2</v>
      </c>
      <c r="H76" s="292">
        <v>1.4999999999999999E-2</v>
      </c>
    </row>
    <row r="77" spans="1:8" x14ac:dyDescent="0.3">
      <c r="B77" s="21"/>
      <c r="C77" s="21">
        <f t="shared" ref="C77:H77" si="62">SUM(C70:C76)</f>
        <v>-4.5654785742891502E-2</v>
      </c>
      <c r="D77" s="21">
        <f t="shared" si="62"/>
        <v>-3.8606798153587918E-2</v>
      </c>
      <c r="E77" s="21">
        <f t="shared" si="62"/>
        <v>4.5395024006983808E-2</v>
      </c>
      <c r="F77" s="21">
        <f t="shared" si="62"/>
        <v>0.02</v>
      </c>
      <c r="G77" s="21">
        <f t="shared" si="62"/>
        <v>1.4999999999999999E-2</v>
      </c>
      <c r="H77" s="21">
        <f t="shared" si="62"/>
        <v>1.4999999999999999E-2</v>
      </c>
    </row>
    <row r="78" spans="1:8" x14ac:dyDescent="0.3">
      <c r="B78" s="21"/>
      <c r="C78" s="15"/>
      <c r="D78" s="15"/>
      <c r="E78" s="15"/>
      <c r="F78" s="15"/>
      <c r="G78" s="15"/>
      <c r="H78" s="15"/>
    </row>
    <row r="79" spans="1:8" ht="15" thickBot="1" x14ac:dyDescent="0.35">
      <c r="A79" t="s">
        <v>434</v>
      </c>
      <c r="B79" s="60"/>
      <c r="C79" s="60">
        <f>SUM(C77:C78)</f>
        <v>-4.5654785742891502E-2</v>
      </c>
      <c r="D79" s="60">
        <f t="shared" ref="D79" si="63">SUM(D77:D78)</f>
        <v>-3.8606798153587918E-2</v>
      </c>
      <c r="E79" s="60">
        <f t="shared" ref="E79" si="64">SUM(E77:E78)</f>
        <v>4.5395024006983808E-2</v>
      </c>
      <c r="F79" s="60">
        <f t="shared" ref="F79" si="65">SUM(F77:F78)</f>
        <v>0.02</v>
      </c>
      <c r="G79" s="60">
        <f t="shared" ref="G79" si="66">SUM(G77:G78)</f>
        <v>1.4999999999999999E-2</v>
      </c>
      <c r="H79" s="60">
        <f t="shared" ref="H79" si="67">SUM(H77:H78)</f>
        <v>1.4999999999999999E-2</v>
      </c>
    </row>
    <row r="80" spans="1:8" ht="15" thickTop="1" x14ac:dyDescent="0.3">
      <c r="C80"/>
      <c r="D80" s="14"/>
    </row>
    <row r="81" spans="1:8" x14ac:dyDescent="0.3">
      <c r="A81" s="13" t="s">
        <v>439</v>
      </c>
      <c r="B81" s="26">
        <f>+'5 Adj NOPAT'!C10</f>
        <v>1015</v>
      </c>
      <c r="C81" s="26">
        <f>+'5 Adj NOPAT'!D10</f>
        <v>772</v>
      </c>
      <c r="D81" s="26">
        <f>+'5 Adj NOPAT'!E10</f>
        <v>944</v>
      </c>
      <c r="E81" s="26">
        <f>+'5 Adj NOPAT'!F10</f>
        <v>947</v>
      </c>
      <c r="F81" s="20">
        <f>(1+F91)*E81</f>
        <v>994.35</v>
      </c>
      <c r="G81" s="20">
        <f t="shared" ref="G81:H81" si="68">(1+G91)*F81</f>
        <v>1034.124</v>
      </c>
      <c r="H81" s="20">
        <f t="shared" si="68"/>
        <v>1075.4889600000001</v>
      </c>
    </row>
    <row r="82" spans="1:8" x14ac:dyDescent="0.3">
      <c r="A82" t="s">
        <v>430</v>
      </c>
      <c r="B82" s="21"/>
      <c r="C82" s="21">
        <v>0</v>
      </c>
      <c r="D82" s="21">
        <v>0.26200000000000001</v>
      </c>
      <c r="E82" s="21">
        <v>0</v>
      </c>
      <c r="F82" s="297">
        <v>0</v>
      </c>
      <c r="G82" s="297">
        <v>0</v>
      </c>
      <c r="H82" s="297">
        <v>0</v>
      </c>
    </row>
    <row r="83" spans="1:8" x14ac:dyDescent="0.3">
      <c r="A83" t="s">
        <v>431</v>
      </c>
      <c r="B83" s="21"/>
      <c r="C83" s="21">
        <v>0</v>
      </c>
      <c r="D83" s="21">
        <v>1.9E-2</v>
      </c>
      <c r="E83" s="21">
        <v>-1.6E-2</v>
      </c>
      <c r="F83" s="297">
        <v>0</v>
      </c>
      <c r="G83" s="297">
        <v>0</v>
      </c>
      <c r="H83" s="297">
        <v>0</v>
      </c>
    </row>
    <row r="84" spans="1:8" x14ac:dyDescent="0.3">
      <c r="A84" t="s">
        <v>432</v>
      </c>
      <c r="B84" s="21"/>
      <c r="C84" s="21">
        <v>0</v>
      </c>
      <c r="D84" s="21">
        <v>-3.9E-2</v>
      </c>
      <c r="E84" s="21">
        <v>0</v>
      </c>
      <c r="F84" s="297">
        <v>0</v>
      </c>
      <c r="G84" s="297">
        <v>0</v>
      </c>
      <c r="H84" s="297">
        <v>0</v>
      </c>
    </row>
    <row r="85" spans="1:8" x14ac:dyDescent="0.3">
      <c r="A85" t="s">
        <v>433</v>
      </c>
      <c r="B85" s="21"/>
      <c r="C85" s="21">
        <v>-0.90800000000000003</v>
      </c>
      <c r="D85" s="21">
        <f>0.021-0.018</f>
        <v>3.0000000000000027E-3</v>
      </c>
      <c r="E85" s="21">
        <v>-0.05</v>
      </c>
      <c r="F85" s="297">
        <v>0</v>
      </c>
      <c r="G85" s="297">
        <v>0</v>
      </c>
      <c r="H85" s="297">
        <v>0</v>
      </c>
    </row>
    <row r="86" spans="1:8" x14ac:dyDescent="0.3">
      <c r="A86" t="s">
        <v>442</v>
      </c>
      <c r="B86" s="21"/>
      <c r="C86" s="21">
        <v>0</v>
      </c>
      <c r="D86" s="21">
        <v>0</v>
      </c>
      <c r="E86" s="21">
        <v>0</v>
      </c>
      <c r="F86" s="297">
        <v>0</v>
      </c>
      <c r="G86" s="297">
        <v>0</v>
      </c>
      <c r="H86" s="297">
        <v>0</v>
      </c>
    </row>
    <row r="87" spans="1:8" x14ac:dyDescent="0.3">
      <c r="A87" t="s">
        <v>441</v>
      </c>
      <c r="B87" s="21"/>
      <c r="C87" s="21">
        <v>0</v>
      </c>
      <c r="D87" s="21">
        <v>0</v>
      </c>
      <c r="E87" s="21">
        <v>0</v>
      </c>
      <c r="F87" s="297">
        <v>0</v>
      </c>
      <c r="G87" s="297">
        <v>0</v>
      </c>
      <c r="H87" s="297">
        <v>0</v>
      </c>
    </row>
    <row r="88" spans="1:8" x14ac:dyDescent="0.3">
      <c r="A88" t="s">
        <v>459</v>
      </c>
      <c r="B88" s="21"/>
      <c r="C88" s="107">
        <f>+C81/B81-1-SUM(C82:C87,C90)</f>
        <v>0.66859113300492612</v>
      </c>
      <c r="D88" s="107">
        <f t="shared" ref="D88" si="69">+D81/C81-1-SUM(D82:D87,D90)</f>
        <v>-2.2202072538860224E-2</v>
      </c>
      <c r="E88" s="107">
        <f t="shared" ref="E88" si="70">+E81/D81-1-SUM(E82:E87,E90)</f>
        <v>6.9177966101694854E-2</v>
      </c>
      <c r="F88" s="292">
        <v>0.05</v>
      </c>
      <c r="G88" s="292">
        <v>0.04</v>
      </c>
      <c r="H88" s="292">
        <v>0.04</v>
      </c>
    </row>
    <row r="89" spans="1:8" x14ac:dyDescent="0.3">
      <c r="B89" s="21"/>
      <c r="C89" s="21">
        <f t="shared" ref="C89:H89" si="71">SUM(C82:C88)</f>
        <v>-0.23940886699507391</v>
      </c>
      <c r="D89" s="21">
        <f t="shared" si="71"/>
        <v>0.2227979274611398</v>
      </c>
      <c r="E89" s="21">
        <f t="shared" si="71"/>
        <v>3.1779661016948513E-3</v>
      </c>
      <c r="F89" s="21">
        <f t="shared" si="71"/>
        <v>0.05</v>
      </c>
      <c r="G89" s="21">
        <f t="shared" si="71"/>
        <v>0.04</v>
      </c>
      <c r="H89" s="21">
        <f t="shared" si="71"/>
        <v>0.04</v>
      </c>
    </row>
    <row r="90" spans="1:8" x14ac:dyDescent="0.3">
      <c r="B90" s="21"/>
      <c r="C90" s="15"/>
      <c r="D90" s="15"/>
      <c r="E90" s="15"/>
      <c r="F90" s="15"/>
      <c r="G90" s="15"/>
      <c r="H90" s="15"/>
    </row>
    <row r="91" spans="1:8" ht="15" thickBot="1" x14ac:dyDescent="0.35">
      <c r="A91" t="s">
        <v>434</v>
      </c>
      <c r="B91" s="60"/>
      <c r="C91" s="60">
        <f>SUM(C89:C90)</f>
        <v>-0.23940886699507391</v>
      </c>
      <c r="D91" s="60">
        <f t="shared" ref="D91" si="72">SUM(D89:D90)</f>
        <v>0.2227979274611398</v>
      </c>
      <c r="E91" s="60">
        <f t="shared" ref="E91" si="73">SUM(E89:E90)</f>
        <v>3.1779661016948513E-3</v>
      </c>
      <c r="F91" s="60">
        <f t="shared" ref="F91" si="74">SUM(F89:F90)</f>
        <v>0.05</v>
      </c>
      <c r="G91" s="60">
        <f t="shared" ref="G91" si="75">SUM(G89:G90)</f>
        <v>0.04</v>
      </c>
      <c r="H91" s="60">
        <f t="shared" ref="H91" si="76">SUM(H89:H90)</f>
        <v>0.04</v>
      </c>
    </row>
    <row r="92" spans="1:8" ht="15" thickTop="1" x14ac:dyDescent="0.3">
      <c r="C92"/>
      <c r="D92" s="14"/>
    </row>
    <row r="93" spans="1:8" x14ac:dyDescent="0.3">
      <c r="A93" s="13" t="s">
        <v>440</v>
      </c>
      <c r="B93" s="26">
        <f>+'5 Adj NOPAT'!C11</f>
        <v>919</v>
      </c>
      <c r="C93" s="26">
        <f>+'5 Adj NOPAT'!D11</f>
        <v>896</v>
      </c>
      <c r="D93" s="26">
        <f>+'5 Adj NOPAT'!E11</f>
        <v>946</v>
      </c>
      <c r="E93" s="26">
        <f>+'5 Adj NOPAT'!F11</f>
        <v>1517</v>
      </c>
      <c r="F93" s="20">
        <f>(1+F103)*E93</f>
        <v>1570.0949999999998</v>
      </c>
      <c r="G93" s="20">
        <f t="shared" ref="G93:H93" si="77">(1+G103)*F93</f>
        <v>1617.1978499999998</v>
      </c>
      <c r="H93" s="20">
        <f t="shared" si="77"/>
        <v>1665.7137854999999</v>
      </c>
    </row>
    <row r="94" spans="1:8" x14ac:dyDescent="0.3">
      <c r="A94" t="s">
        <v>430</v>
      </c>
      <c r="B94" s="21"/>
      <c r="C94" s="21">
        <v>-1.6E-2</v>
      </c>
      <c r="D94" s="21">
        <v>0</v>
      </c>
      <c r="E94" s="21">
        <v>0.56599999999999995</v>
      </c>
      <c r="F94" s="297">
        <v>0</v>
      </c>
      <c r="G94" s="297">
        <v>0</v>
      </c>
      <c r="H94" s="297">
        <v>0</v>
      </c>
    </row>
    <row r="95" spans="1:8" x14ac:dyDescent="0.3">
      <c r="A95" t="s">
        <v>431</v>
      </c>
      <c r="B95" s="21"/>
      <c r="C95" s="21">
        <v>0</v>
      </c>
      <c r="D95" s="21">
        <v>0</v>
      </c>
      <c r="E95" s="21">
        <v>0</v>
      </c>
      <c r="F95" s="297">
        <v>0</v>
      </c>
      <c r="G95" s="297">
        <v>0</v>
      </c>
      <c r="H95" s="297">
        <v>0</v>
      </c>
    </row>
    <row r="96" spans="1:8" x14ac:dyDescent="0.3">
      <c r="A96" t="s">
        <v>432</v>
      </c>
      <c r="B96" s="21"/>
      <c r="C96" s="21">
        <v>0</v>
      </c>
      <c r="D96" s="21">
        <v>0</v>
      </c>
      <c r="E96" s="21">
        <v>0</v>
      </c>
      <c r="F96" s="297">
        <v>0</v>
      </c>
      <c r="G96" s="297">
        <v>0</v>
      </c>
      <c r="H96" s="297">
        <v>0</v>
      </c>
    </row>
    <row r="97" spans="1:8" x14ac:dyDescent="0.3">
      <c r="A97" t="s">
        <v>433</v>
      </c>
      <c r="B97" s="21"/>
      <c r="C97" s="21">
        <v>-6.0000000000000001E-3</v>
      </c>
      <c r="D97" s="21">
        <v>2.8000000000000001E-2</v>
      </c>
      <c r="E97" s="21">
        <f>-0.107+0.095</f>
        <v>-1.1999999999999997E-2</v>
      </c>
      <c r="F97" s="297">
        <v>0</v>
      </c>
      <c r="G97" s="297">
        <v>0</v>
      </c>
      <c r="H97" s="297">
        <v>0</v>
      </c>
    </row>
    <row r="98" spans="1:8" x14ac:dyDescent="0.3">
      <c r="A98" t="s">
        <v>442</v>
      </c>
      <c r="B98" s="21"/>
      <c r="C98" s="21">
        <v>2E-3</v>
      </c>
      <c r="D98" s="21">
        <v>0</v>
      </c>
      <c r="E98" s="21">
        <v>0</v>
      </c>
      <c r="F98" s="297">
        <v>0</v>
      </c>
      <c r="G98" s="297">
        <v>0</v>
      </c>
      <c r="H98" s="297">
        <v>0</v>
      </c>
    </row>
    <row r="99" spans="1:8" x14ac:dyDescent="0.3">
      <c r="A99" t="s">
        <v>441</v>
      </c>
      <c r="B99" s="21"/>
      <c r="C99" s="21">
        <v>0</v>
      </c>
      <c r="D99" s="21">
        <v>0</v>
      </c>
      <c r="E99" s="21">
        <v>0</v>
      </c>
      <c r="F99" s="297">
        <v>0</v>
      </c>
      <c r="G99" s="297">
        <v>0</v>
      </c>
      <c r="H99" s="297">
        <v>0</v>
      </c>
    </row>
    <row r="100" spans="1:8" x14ac:dyDescent="0.3">
      <c r="A100" t="s">
        <v>459</v>
      </c>
      <c r="B100" s="21"/>
      <c r="C100" s="107">
        <f>+C93/B93-1-SUM(C94:C99,C102)</f>
        <v>-5.0272034820456821E-3</v>
      </c>
      <c r="D100" s="107">
        <f t="shared" ref="D100" si="78">+D93/C93-1-SUM(D94:D99,D102)</f>
        <v>2.7803571428571396E-2</v>
      </c>
      <c r="E100" s="107">
        <f t="shared" ref="E100" si="79">+E93/D93-1-SUM(E94:E99,E102)</f>
        <v>4.9594080338266511E-2</v>
      </c>
      <c r="F100" s="292">
        <v>3.5000000000000003E-2</v>
      </c>
      <c r="G100" s="292">
        <v>0.03</v>
      </c>
      <c r="H100" s="292">
        <v>0.03</v>
      </c>
    </row>
    <row r="101" spans="1:8" x14ac:dyDescent="0.3">
      <c r="B101" s="21"/>
      <c r="C101" s="21">
        <f t="shared" ref="C101:H101" si="80">SUM(C94:C100)</f>
        <v>-2.5027203482045679E-2</v>
      </c>
      <c r="D101" s="21">
        <f t="shared" si="80"/>
        <v>5.5803571428571397E-2</v>
      </c>
      <c r="E101" s="21">
        <f t="shared" si="80"/>
        <v>0.60359408033826645</v>
      </c>
      <c r="F101" s="21">
        <f t="shared" si="80"/>
        <v>3.5000000000000003E-2</v>
      </c>
      <c r="G101" s="21">
        <f t="shared" si="80"/>
        <v>0.03</v>
      </c>
      <c r="H101" s="21">
        <f t="shared" si="80"/>
        <v>0.03</v>
      </c>
    </row>
    <row r="102" spans="1:8" x14ac:dyDescent="0.3">
      <c r="B102" s="21"/>
      <c r="C102" s="15"/>
      <c r="D102" s="15"/>
      <c r="E102" s="15"/>
      <c r="F102" s="15"/>
      <c r="G102" s="15"/>
      <c r="H102" s="15"/>
    </row>
    <row r="103" spans="1:8" ht="15" thickBot="1" x14ac:dyDescent="0.35">
      <c r="A103" t="s">
        <v>434</v>
      </c>
      <c r="B103" s="60"/>
      <c r="C103" s="60">
        <f>SUM(C101:C102)</f>
        <v>-2.5027203482045679E-2</v>
      </c>
      <c r="D103" s="60">
        <f t="shared" ref="D103" si="81">SUM(D101:D102)</f>
        <v>5.5803571428571397E-2</v>
      </c>
      <c r="E103" s="60">
        <f t="shared" ref="E103" si="82">SUM(E101:E102)</f>
        <v>0.60359408033826645</v>
      </c>
      <c r="F103" s="60">
        <f t="shared" ref="F103" si="83">SUM(F101:F102)</f>
        <v>3.5000000000000003E-2</v>
      </c>
      <c r="G103" s="60">
        <f t="shared" ref="G103" si="84">SUM(G101:G102)</f>
        <v>0.03</v>
      </c>
      <c r="H103" s="60">
        <f t="shared" ref="H103" si="85">SUM(H101:H102)</f>
        <v>0.03</v>
      </c>
    </row>
    <row r="104" spans="1:8" ht="15" thickTop="1" x14ac:dyDescent="0.3">
      <c r="C104"/>
      <c r="D104" s="14"/>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71"/>
  <sheetViews>
    <sheetView workbookViewId="0">
      <pane xSplit="2" ySplit="3" topLeftCell="C18" activePane="bottomRight" state="frozen"/>
      <selection activeCell="H23" sqref="H23"/>
      <selection pane="topRight" activeCell="H23" sqref="H23"/>
      <selection pane="bottomLeft" activeCell="H23" sqref="H23"/>
      <selection pane="bottomRight" activeCell="C40" sqref="C40"/>
    </sheetView>
  </sheetViews>
  <sheetFormatPr defaultRowHeight="14.4" x14ac:dyDescent="0.3"/>
  <cols>
    <col min="1" max="1" width="45.88671875" bestFit="1" customWidth="1"/>
    <col min="2" max="2" width="9.88671875" style="1" bestFit="1" customWidth="1"/>
    <col min="3" max="3" width="8.77734375" bestFit="1" customWidth="1"/>
    <col min="4" max="6" width="10.77734375" bestFit="1" customWidth="1"/>
  </cols>
  <sheetData>
    <row r="1" spans="1:6" x14ac:dyDescent="0.3">
      <c r="A1" s="13" t="s">
        <v>229</v>
      </c>
      <c r="B1" s="92" t="s">
        <v>444</v>
      </c>
      <c r="C1" s="13"/>
      <c r="D1" s="13"/>
      <c r="E1" s="13"/>
      <c r="F1" s="13"/>
    </row>
    <row r="2" spans="1:6" x14ac:dyDescent="0.3">
      <c r="A2" s="13"/>
      <c r="B2" s="92"/>
      <c r="C2" s="13"/>
      <c r="D2" s="13"/>
      <c r="E2" s="13"/>
      <c r="F2" s="13"/>
    </row>
    <row r="3" spans="1:6" ht="15" thickBot="1" x14ac:dyDescent="0.35">
      <c r="A3" s="13" t="s">
        <v>443</v>
      </c>
      <c r="B3" s="92" t="s">
        <v>24</v>
      </c>
      <c r="C3" s="145">
        <v>42371</v>
      </c>
      <c r="D3" s="145">
        <v>42735</v>
      </c>
      <c r="E3" s="145">
        <v>43099</v>
      </c>
      <c r="F3" s="145">
        <v>43463</v>
      </c>
    </row>
    <row r="4" spans="1:6" x14ac:dyDescent="0.3">
      <c r="A4" s="13" t="s">
        <v>4</v>
      </c>
    </row>
    <row r="5" spans="1:6" x14ac:dyDescent="0.3">
      <c r="A5" s="13" t="s">
        <v>155</v>
      </c>
    </row>
    <row r="6" spans="1:6" x14ac:dyDescent="0.3">
      <c r="A6" t="s">
        <v>5</v>
      </c>
      <c r="B6" s="161" t="s">
        <v>25</v>
      </c>
      <c r="C6" s="2">
        <v>251</v>
      </c>
      <c r="D6" s="2">
        <v>280</v>
      </c>
      <c r="E6" s="2">
        <v>281</v>
      </c>
      <c r="F6" s="162">
        <v>321</v>
      </c>
    </row>
    <row r="7" spans="1:6" x14ac:dyDescent="0.3">
      <c r="A7" t="s">
        <v>20</v>
      </c>
      <c r="B7" s="161" t="s">
        <v>187</v>
      </c>
      <c r="C7" s="2">
        <v>1344</v>
      </c>
      <c r="D7" s="2">
        <v>1231</v>
      </c>
      <c r="E7" s="2">
        <v>1389</v>
      </c>
      <c r="F7" s="162">
        <v>1375</v>
      </c>
    </row>
    <row r="8" spans="1:6" x14ac:dyDescent="0.3">
      <c r="A8" t="s">
        <v>21</v>
      </c>
      <c r="B8" s="161" t="s">
        <v>187</v>
      </c>
      <c r="C8" s="2">
        <v>1250</v>
      </c>
      <c r="D8" s="2">
        <v>1238</v>
      </c>
      <c r="E8" s="2">
        <v>1217</v>
      </c>
      <c r="F8" s="162">
        <v>1330</v>
      </c>
    </row>
    <row r="9" spans="1:6" x14ac:dyDescent="0.3">
      <c r="A9" t="s">
        <v>22</v>
      </c>
      <c r="B9" s="161" t="s">
        <v>187</v>
      </c>
      <c r="C9" s="4">
        <v>391</v>
      </c>
      <c r="D9" s="4">
        <v>191</v>
      </c>
      <c r="E9" s="4">
        <v>149</v>
      </c>
      <c r="F9" s="163">
        <v>131</v>
      </c>
    </row>
    <row r="10" spans="1:6" s="13" customFormat="1" x14ac:dyDescent="0.3">
      <c r="A10" s="13" t="s">
        <v>156</v>
      </c>
      <c r="B10" s="92"/>
      <c r="C10" s="146">
        <f>SUM(C6:C9)</f>
        <v>3236</v>
      </c>
      <c r="D10" s="146">
        <f>SUM(D6:D9)</f>
        <v>2940</v>
      </c>
      <c r="E10" s="146">
        <f>SUM(E6:E9)</f>
        <v>3036</v>
      </c>
      <c r="F10" s="146">
        <f>SUM(F6:F9)</f>
        <v>3157</v>
      </c>
    </row>
    <row r="11" spans="1:6" x14ac:dyDescent="0.3">
      <c r="A11" t="s">
        <v>230</v>
      </c>
      <c r="B11" s="161" t="s">
        <v>187</v>
      </c>
      <c r="C11" s="2">
        <v>3621</v>
      </c>
      <c r="D11" s="2">
        <v>3569</v>
      </c>
      <c r="E11" s="2">
        <v>3716</v>
      </c>
      <c r="F11" s="162">
        <v>3731</v>
      </c>
    </row>
    <row r="12" spans="1:6" x14ac:dyDescent="0.3">
      <c r="A12" t="s">
        <v>6</v>
      </c>
      <c r="B12" s="161" t="s">
        <v>187</v>
      </c>
      <c r="C12" s="2">
        <v>4968</v>
      </c>
      <c r="D12" s="2">
        <v>5166</v>
      </c>
      <c r="E12" s="2">
        <v>5504</v>
      </c>
      <c r="F12" s="162">
        <v>6050</v>
      </c>
    </row>
    <row r="13" spans="1:6" x14ac:dyDescent="0.3">
      <c r="A13" t="s">
        <v>231</v>
      </c>
      <c r="B13" s="161" t="s">
        <v>187</v>
      </c>
      <c r="C13" s="2">
        <v>2268</v>
      </c>
      <c r="D13" s="2">
        <v>2369</v>
      </c>
      <c r="E13" s="2">
        <v>2639</v>
      </c>
      <c r="F13" s="162">
        <v>3361</v>
      </c>
    </row>
    <row r="14" spans="1:6" x14ac:dyDescent="0.3">
      <c r="A14" t="s">
        <v>232</v>
      </c>
      <c r="B14" s="161" t="s">
        <v>187</v>
      </c>
      <c r="C14" s="2">
        <v>456</v>
      </c>
      <c r="D14" s="2">
        <v>438</v>
      </c>
      <c r="E14" s="2">
        <v>429</v>
      </c>
      <c r="F14" s="162">
        <v>413</v>
      </c>
    </row>
    <row r="15" spans="1:6" x14ac:dyDescent="0.3">
      <c r="A15" t="s">
        <v>164</v>
      </c>
      <c r="B15" s="161" t="s">
        <v>187</v>
      </c>
      <c r="C15" s="2">
        <v>716</v>
      </c>
      <c r="D15" s="2">
        <v>629</v>
      </c>
      <c r="E15" s="2">
        <v>1027</v>
      </c>
      <c r="F15" s="162">
        <v>1068</v>
      </c>
    </row>
    <row r="16" spans="1:6" s="13" customFormat="1" ht="15" thickBot="1" x14ac:dyDescent="0.35">
      <c r="A16" s="13" t="s">
        <v>157</v>
      </c>
      <c r="B16" s="92"/>
      <c r="C16" s="147">
        <f>SUM(C10:C15)</f>
        <v>15265</v>
      </c>
      <c r="D16" s="147">
        <f>SUM(D10:D15)</f>
        <v>15111</v>
      </c>
      <c r="E16" s="147">
        <f>SUM(E10:E15)</f>
        <v>16351</v>
      </c>
      <c r="F16" s="147">
        <f>SUM(F10:F15)</f>
        <v>17780</v>
      </c>
    </row>
    <row r="17" spans="1:13" ht="15" thickTop="1" x14ac:dyDescent="0.3">
      <c r="C17" s="2"/>
      <c r="D17" s="2"/>
      <c r="E17" s="2"/>
      <c r="F17" s="2"/>
    </row>
    <row r="18" spans="1:13" x14ac:dyDescent="0.3">
      <c r="A18" s="13" t="s">
        <v>7</v>
      </c>
      <c r="C18" s="22"/>
      <c r="D18" s="22"/>
      <c r="E18" s="22"/>
      <c r="F18" s="22"/>
      <c r="G18" s="24"/>
    </row>
    <row r="19" spans="1:13" s="13" customFormat="1" x14ac:dyDescent="0.3">
      <c r="A19" s="13" t="s">
        <v>158</v>
      </c>
      <c r="B19" s="92"/>
      <c r="C19" s="146"/>
      <c r="D19" s="146"/>
      <c r="E19" s="146"/>
      <c r="F19" s="146"/>
    </row>
    <row r="20" spans="1:13" x14ac:dyDescent="0.3">
      <c r="A20" t="s">
        <v>233</v>
      </c>
      <c r="B20" s="161" t="s">
        <v>144</v>
      </c>
      <c r="C20" s="2">
        <v>-1266</v>
      </c>
      <c r="D20" s="2">
        <v>-631</v>
      </c>
      <c r="E20" s="2">
        <v>-409</v>
      </c>
      <c r="F20" s="162">
        <v>-510</v>
      </c>
      <c r="H20" s="2"/>
      <c r="I20" s="2"/>
      <c r="J20" s="2"/>
      <c r="K20" s="2"/>
      <c r="L20" s="2"/>
    </row>
    <row r="21" spans="1:13" x14ac:dyDescent="0.3">
      <c r="A21" s="14" t="s">
        <v>227</v>
      </c>
      <c r="B21" s="161" t="s">
        <v>144</v>
      </c>
      <c r="C21" s="7">
        <v>-1204</v>
      </c>
      <c r="D21" s="7">
        <v>-438</v>
      </c>
      <c r="E21" s="7">
        <v>-370</v>
      </c>
      <c r="F21" s="164">
        <v>-176</v>
      </c>
      <c r="G21" s="2"/>
      <c r="H21" s="2"/>
      <c r="I21" s="7"/>
      <c r="J21" s="7"/>
      <c r="K21" s="7"/>
      <c r="L21" s="7"/>
      <c r="M21" s="24"/>
    </row>
    <row r="22" spans="1:13" x14ac:dyDescent="0.3">
      <c r="A22" t="s">
        <v>234</v>
      </c>
      <c r="B22" s="161" t="s">
        <v>187</v>
      </c>
      <c r="C22" s="7">
        <v>-1907</v>
      </c>
      <c r="D22" s="7">
        <v>-2014</v>
      </c>
      <c r="E22" s="7">
        <v>-2269</v>
      </c>
      <c r="F22" s="164">
        <v>-2427</v>
      </c>
      <c r="H22" s="7"/>
      <c r="I22" s="7"/>
      <c r="J22" s="7"/>
      <c r="K22" s="7"/>
      <c r="L22" s="7"/>
      <c r="M22" s="24"/>
    </row>
    <row r="23" spans="1:13" x14ac:dyDescent="0.3">
      <c r="A23" t="s">
        <v>225</v>
      </c>
      <c r="B23" s="161" t="s">
        <v>187</v>
      </c>
      <c r="C23" s="4">
        <v>-1362</v>
      </c>
      <c r="D23" s="4">
        <v>-1391</v>
      </c>
      <c r="E23" s="4">
        <v>-1474</v>
      </c>
      <c r="F23" s="163">
        <v>-1416</v>
      </c>
      <c r="H23" s="7"/>
      <c r="I23" s="7"/>
      <c r="J23" s="7"/>
      <c r="K23" s="7"/>
      <c r="L23" s="7"/>
      <c r="M23" s="24"/>
    </row>
    <row r="24" spans="1:13" s="13" customFormat="1" x14ac:dyDescent="0.3">
      <c r="A24" s="13" t="s">
        <v>159</v>
      </c>
      <c r="B24" s="92"/>
      <c r="C24" s="146">
        <f>SUM(C20:C23)</f>
        <v>-5739</v>
      </c>
      <c r="D24" s="146">
        <f>SUM(D20:D23)</f>
        <v>-4474</v>
      </c>
      <c r="E24" s="146">
        <f>SUM(E20:E23)</f>
        <v>-4522</v>
      </c>
      <c r="F24" s="146">
        <f>SUM(F20:F23)</f>
        <v>-4529</v>
      </c>
      <c r="H24" s="111"/>
      <c r="I24" s="111"/>
      <c r="J24" s="111"/>
      <c r="K24" s="111"/>
      <c r="L24" s="111"/>
      <c r="M24" s="111"/>
    </row>
    <row r="25" spans="1:13" x14ac:dyDescent="0.3">
      <c r="A25" t="s">
        <v>9</v>
      </c>
      <c r="B25" s="161" t="s">
        <v>144</v>
      </c>
      <c r="C25" s="2">
        <v>-5289</v>
      </c>
      <c r="D25" s="2">
        <v>-6698</v>
      </c>
      <c r="E25" s="2">
        <v>-7836</v>
      </c>
      <c r="F25" s="162">
        <v>-8207</v>
      </c>
      <c r="G25" s="2"/>
      <c r="H25" s="7"/>
      <c r="I25" s="7"/>
      <c r="J25" s="24"/>
      <c r="K25" s="7"/>
      <c r="L25" s="24"/>
      <c r="M25" s="24"/>
    </row>
    <row r="26" spans="1:13" x14ac:dyDescent="0.3">
      <c r="A26" t="s">
        <v>110</v>
      </c>
      <c r="B26" s="161" t="s">
        <v>187</v>
      </c>
      <c r="C26" s="2">
        <v>-685</v>
      </c>
      <c r="D26" s="2">
        <v>-525</v>
      </c>
      <c r="E26" s="2">
        <v>-355</v>
      </c>
      <c r="F26" s="162">
        <v>-730</v>
      </c>
      <c r="H26" s="24"/>
      <c r="I26" s="24"/>
      <c r="J26" s="24"/>
      <c r="K26" s="24"/>
      <c r="L26" s="24"/>
      <c r="M26" s="24"/>
    </row>
    <row r="27" spans="1:13" x14ac:dyDescent="0.3">
      <c r="A27" t="s">
        <v>235</v>
      </c>
      <c r="B27" s="383" t="s">
        <v>144</v>
      </c>
      <c r="C27" s="2">
        <v>-946</v>
      </c>
      <c r="D27" s="2">
        <v>-1024</v>
      </c>
      <c r="E27" s="2">
        <v>-839</v>
      </c>
      <c r="F27" s="162">
        <v>-651</v>
      </c>
      <c r="H27" s="24"/>
      <c r="I27" s="24"/>
      <c r="J27" s="24"/>
      <c r="K27" s="24"/>
      <c r="L27" s="24"/>
      <c r="M27" s="24"/>
    </row>
    <row r="28" spans="1:13" x14ac:dyDescent="0.3">
      <c r="A28" t="s">
        <v>168</v>
      </c>
      <c r="B28" s="161" t="s">
        <v>187</v>
      </c>
      <c r="C28" s="4">
        <v>-468</v>
      </c>
      <c r="D28" s="4">
        <v>-464</v>
      </c>
      <c r="E28" s="4">
        <v>-605</v>
      </c>
      <c r="F28" s="163">
        <v>-504</v>
      </c>
      <c r="H28" s="24"/>
      <c r="I28" s="24"/>
      <c r="J28" s="24"/>
      <c r="K28" s="24"/>
      <c r="L28" s="24"/>
      <c r="M28" s="24"/>
    </row>
    <row r="29" spans="1:13" s="13" customFormat="1" x14ac:dyDescent="0.3">
      <c r="A29" s="13" t="s">
        <v>160</v>
      </c>
      <c r="B29" s="92"/>
      <c r="C29" s="148">
        <f>SUM(C24:C28)</f>
        <v>-13127</v>
      </c>
      <c r="D29" s="148">
        <f>SUM(D24:D28)</f>
        <v>-13185</v>
      </c>
      <c r="E29" s="148">
        <f>SUM(E24:E28)</f>
        <v>-14157</v>
      </c>
      <c r="F29" s="148">
        <f>SUM(F24:F28)</f>
        <v>-14621</v>
      </c>
    </row>
    <row r="30" spans="1:13" s="13" customFormat="1" x14ac:dyDescent="0.3">
      <c r="A30" s="13" t="s">
        <v>161</v>
      </c>
      <c r="B30" s="92"/>
      <c r="C30" s="146"/>
      <c r="D30" s="146"/>
      <c r="E30" s="146"/>
      <c r="F30" s="146"/>
    </row>
    <row r="31" spans="1:13" x14ac:dyDescent="0.3">
      <c r="A31" t="s">
        <v>226</v>
      </c>
      <c r="B31" s="161" t="s">
        <v>145</v>
      </c>
      <c r="C31" s="2">
        <v>-105</v>
      </c>
      <c r="D31" s="2">
        <v>-105</v>
      </c>
      <c r="E31" s="2">
        <v>-105</v>
      </c>
      <c r="F31" s="162">
        <v>-105</v>
      </c>
    </row>
    <row r="32" spans="1:13" x14ac:dyDescent="0.3">
      <c r="A32" t="s">
        <v>236</v>
      </c>
      <c r="B32" s="161" t="s">
        <v>145</v>
      </c>
      <c r="C32" s="2">
        <v>-745</v>
      </c>
      <c r="D32" s="2">
        <v>-806</v>
      </c>
      <c r="E32" s="2">
        <v>-878</v>
      </c>
      <c r="F32" s="162">
        <v>-895</v>
      </c>
    </row>
    <row r="33" spans="1:8" x14ac:dyDescent="0.3">
      <c r="A33" t="s">
        <v>8</v>
      </c>
      <c r="B33" s="161" t="s">
        <v>145</v>
      </c>
      <c r="C33" s="7">
        <v>-6597</v>
      </c>
      <c r="D33" s="7">
        <v>-6571</v>
      </c>
      <c r="E33" s="7">
        <v>-7069</v>
      </c>
      <c r="F33" s="164">
        <v>-7652</v>
      </c>
    </row>
    <row r="34" spans="1:8" x14ac:dyDescent="0.3">
      <c r="A34" t="s">
        <v>237</v>
      </c>
      <c r="B34" s="161" t="s">
        <v>145</v>
      </c>
      <c r="C34" s="2">
        <v>3943</v>
      </c>
      <c r="D34" s="2">
        <v>3997</v>
      </c>
      <c r="E34" s="2">
        <v>4417</v>
      </c>
      <c r="F34" s="162">
        <v>4551</v>
      </c>
    </row>
    <row r="35" spans="1:8" x14ac:dyDescent="0.3">
      <c r="A35" t="s">
        <v>228</v>
      </c>
      <c r="B35" s="161" t="s">
        <v>145</v>
      </c>
      <c r="C35" s="2">
        <v>1376</v>
      </c>
      <c r="D35" s="2">
        <v>1575</v>
      </c>
      <c r="E35" s="2">
        <v>1457</v>
      </c>
      <c r="F35" s="162">
        <v>1500</v>
      </c>
    </row>
    <row r="36" spans="1:8" x14ac:dyDescent="0.3">
      <c r="A36" t="s">
        <v>238</v>
      </c>
      <c r="B36" s="161" t="s">
        <v>144</v>
      </c>
      <c r="C36" s="4">
        <v>-10</v>
      </c>
      <c r="D36" s="4">
        <v>-16</v>
      </c>
      <c r="E36" s="4">
        <v>-16</v>
      </c>
      <c r="F36" s="163">
        <v>-558</v>
      </c>
    </row>
    <row r="37" spans="1:8" s="13" customFormat="1" x14ac:dyDescent="0.3">
      <c r="A37" s="13" t="s">
        <v>162</v>
      </c>
      <c r="B37" s="92"/>
      <c r="C37" s="146">
        <f>SUM(C31:C36)</f>
        <v>-2138</v>
      </c>
      <c r="D37" s="146">
        <f>SUM(D31:D36)</f>
        <v>-1926</v>
      </c>
      <c r="E37" s="146">
        <f>SUM(E31:E36)</f>
        <v>-2194</v>
      </c>
      <c r="F37" s="146">
        <f>SUM(F31:F36)</f>
        <v>-3159</v>
      </c>
    </row>
    <row r="38" spans="1:8" s="13" customFormat="1" ht="15" thickBot="1" x14ac:dyDescent="0.35">
      <c r="A38" s="13" t="s">
        <v>163</v>
      </c>
      <c r="B38" s="92"/>
      <c r="C38" s="147">
        <f>+C37+C29</f>
        <v>-15265</v>
      </c>
      <c r="D38" s="147">
        <f>+D37+D29</f>
        <v>-15111</v>
      </c>
      <c r="E38" s="147">
        <f>+E37+E29</f>
        <v>-16351</v>
      </c>
      <c r="F38" s="147">
        <f>+F37+F29</f>
        <v>-17780</v>
      </c>
    </row>
    <row r="39" spans="1:8" ht="15" thickTop="1" x14ac:dyDescent="0.3">
      <c r="C39" s="2"/>
      <c r="D39" s="2"/>
      <c r="E39" s="2"/>
      <c r="F39" s="2"/>
    </row>
    <row r="40" spans="1:8" x14ac:dyDescent="0.3">
      <c r="C40" s="2"/>
      <c r="D40" s="2"/>
      <c r="E40" s="2"/>
      <c r="F40" s="2"/>
    </row>
    <row r="41" spans="1:8" ht="15" thickBot="1" x14ac:dyDescent="0.35">
      <c r="C41" s="93">
        <f>+C3</f>
        <v>42371</v>
      </c>
      <c r="D41" s="93">
        <f>+D3</f>
        <v>42735</v>
      </c>
      <c r="E41" s="93">
        <f>+E3</f>
        <v>43099</v>
      </c>
      <c r="F41" s="93">
        <f>+F3</f>
        <v>43463</v>
      </c>
    </row>
    <row r="42" spans="1:8" x14ac:dyDescent="0.3">
      <c r="A42" s="13" t="s">
        <v>146</v>
      </c>
      <c r="C42" s="22"/>
      <c r="D42" s="22"/>
      <c r="E42" s="22"/>
      <c r="F42" s="22"/>
      <c r="G42" s="24"/>
      <c r="H42" s="24"/>
    </row>
    <row r="43" spans="1:8" x14ac:dyDescent="0.3">
      <c r="A43" t="str">
        <f>+A31</f>
        <v>Common stock - $0.25 par value</v>
      </c>
      <c r="C43" s="8">
        <f t="shared" ref="C43:E43" si="0">+C31</f>
        <v>-105</v>
      </c>
      <c r="D43" s="8">
        <f t="shared" si="0"/>
        <v>-105</v>
      </c>
      <c r="E43" s="8">
        <f t="shared" si="0"/>
        <v>-105</v>
      </c>
      <c r="F43" s="84">
        <f t="shared" ref="F43:F46" si="1">+F31</f>
        <v>-105</v>
      </c>
    </row>
    <row r="44" spans="1:8" x14ac:dyDescent="0.3">
      <c r="A44" t="str">
        <f>+A32</f>
        <v>Capital in excess of par value</v>
      </c>
      <c r="C44" s="8">
        <f t="shared" ref="C44:E44" si="2">+C32</f>
        <v>-745</v>
      </c>
      <c r="D44" s="8">
        <f t="shared" si="2"/>
        <v>-806</v>
      </c>
      <c r="E44" s="8">
        <f t="shared" si="2"/>
        <v>-878</v>
      </c>
      <c r="F44" s="84">
        <f t="shared" si="1"/>
        <v>-895</v>
      </c>
    </row>
    <row r="45" spans="1:8" x14ac:dyDescent="0.3">
      <c r="A45" t="str">
        <f>+A33</f>
        <v>Retained earnings</v>
      </c>
      <c r="C45" s="8">
        <f t="shared" ref="C45:E45" si="3">+C33</f>
        <v>-6597</v>
      </c>
      <c r="D45" s="8">
        <f t="shared" si="3"/>
        <v>-6571</v>
      </c>
      <c r="E45" s="8">
        <f t="shared" si="3"/>
        <v>-7069</v>
      </c>
      <c r="F45" s="84">
        <f t="shared" si="1"/>
        <v>-7652</v>
      </c>
    </row>
    <row r="46" spans="1:8" x14ac:dyDescent="0.3">
      <c r="A46" t="str">
        <f>+A34</f>
        <v>Treasury stock, at cost</v>
      </c>
      <c r="C46" s="8">
        <f t="shared" ref="C46:E46" si="4">+C34</f>
        <v>3943</v>
      </c>
      <c r="D46" s="8">
        <f t="shared" si="4"/>
        <v>3997</v>
      </c>
      <c r="E46" s="8">
        <f t="shared" si="4"/>
        <v>4417</v>
      </c>
      <c r="F46" s="84">
        <f t="shared" si="1"/>
        <v>4551</v>
      </c>
    </row>
    <row r="47" spans="1:8" x14ac:dyDescent="0.3">
      <c r="A47" t="str">
        <f>+A35</f>
        <v>Accumulated other comprehensive (income)/loss</v>
      </c>
      <c r="C47" s="8">
        <f t="shared" ref="C47:E47" si="5">+C35</f>
        <v>1376</v>
      </c>
      <c r="D47" s="8">
        <f t="shared" si="5"/>
        <v>1575</v>
      </c>
      <c r="E47" s="8">
        <f t="shared" si="5"/>
        <v>1457</v>
      </c>
      <c r="F47" s="84">
        <f t="shared" ref="F47" si="6">+F35</f>
        <v>1500</v>
      </c>
    </row>
    <row r="48" spans="1:8" ht="15" thickBot="1" x14ac:dyDescent="0.35">
      <c r="C48" s="40">
        <f>SUM(C43:C47)</f>
        <v>-2128</v>
      </c>
      <c r="D48" s="40">
        <f>SUM(D43:D47)</f>
        <v>-1910</v>
      </c>
      <c r="E48" s="40">
        <f>SUM(E43:E47)</f>
        <v>-2178</v>
      </c>
      <c r="F48" s="40">
        <f>SUM(F43:F47)</f>
        <v>-2601</v>
      </c>
    </row>
    <row r="49" spans="1:7" ht="15" thickTop="1" x14ac:dyDescent="0.3">
      <c r="C49" s="2"/>
      <c r="D49" s="2"/>
      <c r="E49" s="2"/>
      <c r="F49" s="2"/>
    </row>
    <row r="50" spans="1:7" x14ac:dyDescent="0.3">
      <c r="C50" s="2"/>
      <c r="D50" s="2"/>
      <c r="E50" s="2"/>
      <c r="F50" s="2"/>
    </row>
    <row r="51" spans="1:7" x14ac:dyDescent="0.3">
      <c r="A51" s="13" t="s">
        <v>476</v>
      </c>
      <c r="C51" s="22"/>
      <c r="D51" s="22"/>
      <c r="E51" s="22"/>
      <c r="F51" s="22"/>
    </row>
    <row r="52" spans="1:7" x14ac:dyDescent="0.3">
      <c r="A52" t="s">
        <v>251</v>
      </c>
      <c r="C52" s="23"/>
      <c r="D52" s="23">
        <v>426</v>
      </c>
      <c r="E52" s="23">
        <v>516</v>
      </c>
      <c r="F52" s="164">
        <v>320</v>
      </c>
    </row>
    <row r="53" spans="1:7" x14ac:dyDescent="0.3">
      <c r="A53" t="s">
        <v>254</v>
      </c>
      <c r="C53" s="23"/>
      <c r="D53" s="23">
        <v>716</v>
      </c>
      <c r="E53" s="23">
        <v>736</v>
      </c>
      <c r="F53" s="164">
        <v>762</v>
      </c>
    </row>
    <row r="54" spans="1:7" x14ac:dyDescent="0.3">
      <c r="A54" t="s">
        <v>252</v>
      </c>
      <c r="C54" s="23"/>
      <c r="D54" s="23">
        <v>-63</v>
      </c>
      <c r="E54" s="23">
        <v>-66</v>
      </c>
      <c r="F54" s="164">
        <v>-59</v>
      </c>
    </row>
    <row r="55" spans="1:7" x14ac:dyDescent="0.3">
      <c r="A55" t="s">
        <v>253</v>
      </c>
      <c r="C55" s="23"/>
      <c r="D55" s="23">
        <v>-366</v>
      </c>
      <c r="E55" s="23">
        <v>-101</v>
      </c>
      <c r="F55" s="164">
        <v>-153</v>
      </c>
    </row>
    <row r="56" spans="1:7" x14ac:dyDescent="0.3">
      <c r="A56" t="s">
        <v>448</v>
      </c>
      <c r="C56" s="23"/>
      <c r="D56" s="23">
        <v>5</v>
      </c>
      <c r="E56" s="23">
        <v>19</v>
      </c>
      <c r="F56" s="164">
        <v>0</v>
      </c>
    </row>
    <row r="57" spans="1:7" ht="15" thickBot="1" x14ac:dyDescent="0.35">
      <c r="B57" s="23"/>
      <c r="C57" s="6"/>
      <c r="D57" s="6">
        <f>SUM(D52:D56)</f>
        <v>718</v>
      </c>
      <c r="E57" s="6">
        <f>SUM(E52:E56)</f>
        <v>1104</v>
      </c>
      <c r="F57" s="6">
        <f>SUM(F52:F56)</f>
        <v>870</v>
      </c>
    </row>
    <row r="58" spans="1:7" ht="15" thickTop="1" x14ac:dyDescent="0.3">
      <c r="B58" s="23"/>
      <c r="C58" s="7"/>
      <c r="D58" s="7"/>
      <c r="E58" s="7"/>
      <c r="F58" s="7"/>
    </row>
    <row r="59" spans="1:7" x14ac:dyDescent="0.3">
      <c r="C59" s="7"/>
      <c r="D59" s="7"/>
      <c r="E59" s="7"/>
      <c r="F59" s="7"/>
    </row>
    <row r="60" spans="1:7" x14ac:dyDescent="0.3">
      <c r="A60" s="13" t="s">
        <v>147</v>
      </c>
      <c r="B60" s="23"/>
      <c r="C60" s="22"/>
      <c r="D60" s="22"/>
      <c r="E60" s="22"/>
      <c r="F60" s="22"/>
      <c r="G60" s="24"/>
    </row>
    <row r="61" spans="1:7" x14ac:dyDescent="0.3">
      <c r="A61" t="s">
        <v>185</v>
      </c>
      <c r="C61" s="28"/>
      <c r="D61" s="2">
        <f t="shared" ref="D61" si="7">+C64</f>
        <v>-2128</v>
      </c>
      <c r="E61" s="2">
        <f t="shared" ref="E61" si="8">+D64</f>
        <v>-1910</v>
      </c>
      <c r="F61" s="165">
        <f t="shared" ref="F61" si="9">+E64</f>
        <v>-2178</v>
      </c>
    </row>
    <row r="62" spans="1:7" x14ac:dyDescent="0.3">
      <c r="A62" t="s">
        <v>250</v>
      </c>
      <c r="C62" s="2"/>
      <c r="D62" s="2">
        <f>-'3 IS Reported'!D26</f>
        <v>-500</v>
      </c>
      <c r="E62" s="2">
        <f>-'3 IS Reported'!E26</f>
        <v>-1372</v>
      </c>
      <c r="F62" s="165">
        <f>-'3 IS Reported'!F26</f>
        <v>-1293</v>
      </c>
    </row>
    <row r="63" spans="1:7" x14ac:dyDescent="0.3">
      <c r="A63" t="str">
        <f>+A51</f>
        <v>Free cash flow to equity holders</v>
      </c>
      <c r="C63" s="4"/>
      <c r="D63" s="4">
        <f t="shared" ref="D63:E63" si="10">D57</f>
        <v>718</v>
      </c>
      <c r="E63" s="4">
        <f t="shared" si="10"/>
        <v>1104</v>
      </c>
      <c r="F63" s="166">
        <f t="shared" ref="F63" si="11">F57</f>
        <v>870</v>
      </c>
    </row>
    <row r="64" spans="1:7" ht="15" thickBot="1" x14ac:dyDescent="0.35">
      <c r="A64" t="s">
        <v>186</v>
      </c>
      <c r="C64" s="5">
        <f>+C48</f>
        <v>-2128</v>
      </c>
      <c r="D64" s="5">
        <f t="shared" ref="D64:E64" si="12">SUM(D61:D63)</f>
        <v>-1910</v>
      </c>
      <c r="E64" s="5">
        <f t="shared" si="12"/>
        <v>-2178</v>
      </c>
      <c r="F64" s="5">
        <f t="shared" ref="F64" si="13">SUM(F61:F63)</f>
        <v>-2601</v>
      </c>
    </row>
    <row r="65" spans="1:6" ht="15" thickTop="1" x14ac:dyDescent="0.3">
      <c r="C65" s="7"/>
      <c r="D65" s="7"/>
      <c r="E65" s="7"/>
      <c r="F65" s="7"/>
    </row>
    <row r="66" spans="1:6" x14ac:dyDescent="0.3">
      <c r="C66" s="7"/>
      <c r="D66" s="7"/>
      <c r="E66" s="7"/>
      <c r="F66" s="7"/>
    </row>
    <row r="67" spans="1:6" x14ac:dyDescent="0.3">
      <c r="A67" s="167" t="s">
        <v>118</v>
      </c>
      <c r="B67" s="168"/>
      <c r="C67" s="169"/>
      <c r="D67" s="169"/>
      <c r="E67" s="169"/>
      <c r="F67" s="169"/>
    </row>
    <row r="68" spans="1:6" x14ac:dyDescent="0.3">
      <c r="A68" s="167" t="s">
        <v>117</v>
      </c>
      <c r="B68" s="168"/>
      <c r="C68" s="170">
        <f>+C16+C38</f>
        <v>0</v>
      </c>
      <c r="D68" s="170">
        <f>+D16+D38</f>
        <v>0</v>
      </c>
      <c r="E68" s="170">
        <f>+E16+E38</f>
        <v>0</v>
      </c>
      <c r="F68" s="170">
        <f>+F16+F38</f>
        <v>0</v>
      </c>
    </row>
    <row r="69" spans="1:6" x14ac:dyDescent="0.3">
      <c r="A69" s="167" t="s">
        <v>184</v>
      </c>
      <c r="B69" s="168"/>
      <c r="C69" s="171">
        <f>+C48-C64</f>
        <v>0</v>
      </c>
      <c r="D69" s="171">
        <f>+D48-D64</f>
        <v>0</v>
      </c>
      <c r="E69" s="171">
        <f>+E48-E64</f>
        <v>0</v>
      </c>
      <c r="F69" s="171">
        <f>+F48-F64</f>
        <v>0</v>
      </c>
    </row>
    <row r="70" spans="1:6" x14ac:dyDescent="0.3">
      <c r="B70" s="22"/>
      <c r="C70" s="73"/>
      <c r="D70" s="73"/>
      <c r="E70" s="73"/>
      <c r="F70" s="73"/>
    </row>
    <row r="71" spans="1:6" x14ac:dyDescent="0.3">
      <c r="B71" s="22"/>
      <c r="C71" s="24"/>
      <c r="D71" s="24"/>
      <c r="E71" s="24"/>
      <c r="F71" s="24"/>
    </row>
  </sheetData>
  <pageMargins left="0.7" right="0.7" top="0.75" bottom="0.75" header="0.3" footer="0.3"/>
  <pageSetup scale="79" fitToHeight="0"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M32"/>
  <sheetViews>
    <sheetView workbookViewId="0">
      <pane xSplit="1" ySplit="3" topLeftCell="B4" activePane="bottomRight" state="frozen"/>
      <selection pane="topRight" activeCell="B1" sqref="B1"/>
      <selection pane="bottomLeft" activeCell="A4" sqref="A4"/>
      <selection pane="bottomRight" activeCell="I5" sqref="I5"/>
    </sheetView>
  </sheetViews>
  <sheetFormatPr defaultRowHeight="14.4" x14ac:dyDescent="0.3"/>
  <cols>
    <col min="1" max="1" width="61.77734375" bestFit="1" customWidth="1"/>
    <col min="2" max="5" width="10.77734375" bestFit="1" customWidth="1"/>
    <col min="6" max="7" width="8.77734375" bestFit="1" customWidth="1"/>
    <col min="8" max="10" width="10.77734375" bestFit="1" customWidth="1"/>
    <col min="11" max="13" width="8.77734375" bestFit="1" customWidth="1"/>
    <col min="14" max="14" width="61.77734375" bestFit="1" customWidth="1"/>
  </cols>
  <sheetData>
    <row r="2" spans="1:13" x14ac:dyDescent="0.3">
      <c r="B2" s="288" t="s">
        <v>17</v>
      </c>
      <c r="C2" s="286"/>
      <c r="D2" s="286"/>
      <c r="E2" s="247" t="s">
        <v>18</v>
      </c>
      <c r="F2" s="249"/>
      <c r="G2" s="249"/>
      <c r="H2" s="249"/>
      <c r="I2" s="249"/>
      <c r="J2" s="247" t="s">
        <v>509</v>
      </c>
      <c r="K2" s="249"/>
      <c r="L2" s="249"/>
      <c r="M2" s="249"/>
    </row>
    <row r="3" spans="1:13" ht="15" thickBot="1" x14ac:dyDescent="0.35">
      <c r="B3" s="289">
        <f>+'7 F-Rev'!C3</f>
        <v>42735</v>
      </c>
      <c r="C3" s="289">
        <f>+'7 F-Rev'!D3</f>
        <v>43099</v>
      </c>
      <c r="D3" s="289">
        <f>+'7 F-Rev'!E3</f>
        <v>43463</v>
      </c>
      <c r="E3" s="290">
        <f>+'7 F-Rev'!F3</f>
        <v>43827</v>
      </c>
      <c r="F3" s="290">
        <f>+'7 F-Rev'!G3</f>
        <v>44198</v>
      </c>
      <c r="G3" s="290">
        <f>+'7 F-Rev'!H3</f>
        <v>44562</v>
      </c>
      <c r="H3" s="290">
        <f>+'7 F-Rev'!I3</f>
        <v>44926</v>
      </c>
      <c r="I3" s="290">
        <f>+'7 F-Rev'!J3</f>
        <v>45290</v>
      </c>
      <c r="J3" s="290">
        <f>+'7 F-Rev'!K3</f>
        <v>45654</v>
      </c>
      <c r="K3" s="290">
        <f>+'7 F-Rev'!L3</f>
        <v>46025</v>
      </c>
      <c r="L3" s="290">
        <f>+'7 F-Rev'!M3</f>
        <v>46389</v>
      </c>
      <c r="M3" s="290">
        <f>+'7 F-Rev'!N3</f>
        <v>46753</v>
      </c>
    </row>
    <row r="4" spans="1:13" s="13" customFormat="1" x14ac:dyDescent="0.3">
      <c r="A4" s="13" t="s">
        <v>222</v>
      </c>
      <c r="B4" s="303">
        <f t="shared" ref="B4:H4" si="0">+B28</f>
        <v>6.278441959120705E-2</v>
      </c>
      <c r="C4" s="303">
        <f t="shared" si="0"/>
        <v>9.0711062704216625E-2</v>
      </c>
      <c r="D4" s="303">
        <f t="shared" si="0"/>
        <v>0.11751679338598939</v>
      </c>
      <c r="E4" s="303">
        <f t="shared" si="0"/>
        <v>9.3699999999999992E-2</v>
      </c>
      <c r="F4" s="303">
        <f t="shared" si="0"/>
        <v>9.5900000000000027E-2</v>
      </c>
      <c r="G4" s="303">
        <f t="shared" si="0"/>
        <v>0.10010000000000008</v>
      </c>
      <c r="H4" s="303">
        <f t="shared" si="0"/>
        <v>0.10180000000000006</v>
      </c>
      <c r="I4" s="303">
        <v>0.1056</v>
      </c>
      <c r="J4" s="304">
        <f>I4</f>
        <v>0.1056</v>
      </c>
      <c r="K4" s="304">
        <f>+J4</f>
        <v>0.1056</v>
      </c>
      <c r="L4" s="304">
        <f t="shared" ref="L4:M4" si="1">+K4</f>
        <v>0.1056</v>
      </c>
      <c r="M4" s="304">
        <f t="shared" si="1"/>
        <v>0.1056</v>
      </c>
    </row>
    <row r="5" spans="1:13" x14ac:dyDescent="0.3">
      <c r="B5" s="22"/>
      <c r="C5" s="22"/>
      <c r="D5" s="22"/>
      <c r="E5" s="22"/>
      <c r="F5" s="22"/>
      <c r="G5" s="22"/>
      <c r="H5" s="22"/>
      <c r="I5" s="22"/>
    </row>
    <row r="6" spans="1:13" x14ac:dyDescent="0.3">
      <c r="B6" s="22"/>
      <c r="C6" s="22"/>
      <c r="D6" s="22"/>
      <c r="E6" s="22"/>
      <c r="F6" s="22"/>
      <c r="G6" s="22"/>
      <c r="H6" s="22"/>
      <c r="I6" s="22"/>
    </row>
    <row r="7" spans="1:13" x14ac:dyDescent="0.3">
      <c r="A7" t="s">
        <v>10</v>
      </c>
      <c r="B7" s="63">
        <f>+'6 CS-IS'!B12</f>
        <v>1</v>
      </c>
      <c r="C7" s="63">
        <f>+'6 CS-IS'!C12</f>
        <v>1</v>
      </c>
      <c r="D7" s="63">
        <f>+'6 CS-IS'!D12</f>
        <v>0.99999999999999989</v>
      </c>
      <c r="E7" s="27">
        <v>1</v>
      </c>
      <c r="F7" s="16">
        <f>+E7</f>
        <v>1</v>
      </c>
      <c r="G7" s="16">
        <f>+F7</f>
        <v>1</v>
      </c>
      <c r="H7" s="16">
        <f>+G7</f>
        <v>1</v>
      </c>
      <c r="I7" s="16">
        <f>+H7</f>
        <v>1</v>
      </c>
    </row>
    <row r="8" spans="1:13" x14ac:dyDescent="0.3">
      <c r="A8" t="s">
        <v>2</v>
      </c>
      <c r="B8" s="64">
        <f>+'6 CS-IS'!B13</f>
        <v>-0.6271500192826841</v>
      </c>
      <c r="C8" s="64">
        <f>+'6 CS-IS'!C13</f>
        <v>-0.63443286136611177</v>
      </c>
      <c r="D8" s="64">
        <f>+'6 CS-IS'!D13</f>
        <v>-0.65114047390566177</v>
      </c>
      <c r="E8" s="298">
        <v>-0.65</v>
      </c>
      <c r="F8" s="298">
        <f>+E8</f>
        <v>-0.65</v>
      </c>
      <c r="G8" s="298">
        <v>-0.64749999999999996</v>
      </c>
      <c r="H8" s="298">
        <f>+G8</f>
        <v>-0.64749999999999996</v>
      </c>
      <c r="I8" s="298">
        <v>-0.64500000000000002</v>
      </c>
      <c r="K8" s="10"/>
    </row>
    <row r="9" spans="1:13" x14ac:dyDescent="0.3">
      <c r="A9" s="14" t="s">
        <v>166</v>
      </c>
      <c r="B9" s="63">
        <f t="shared" ref="B9" si="2">SUM(B7:B8)</f>
        <v>0.3728499807173159</v>
      </c>
      <c r="C9" s="63">
        <f t="shared" ref="C9:D9" si="3">SUM(C7:C8)</f>
        <v>0.36556713863388823</v>
      </c>
      <c r="D9" s="63">
        <f t="shared" si="3"/>
        <v>0.34885952609433812</v>
      </c>
      <c r="E9" s="61">
        <f t="shared" ref="E9:I9" si="4">SUM(E7:E8)</f>
        <v>0.35</v>
      </c>
      <c r="F9" s="61">
        <f t="shared" si="4"/>
        <v>0.35</v>
      </c>
      <c r="G9" s="61">
        <f t="shared" si="4"/>
        <v>0.35250000000000004</v>
      </c>
      <c r="H9" s="61">
        <f t="shared" si="4"/>
        <v>0.35250000000000004</v>
      </c>
      <c r="I9" s="62">
        <f t="shared" si="4"/>
        <v>0.35499999999999998</v>
      </c>
      <c r="K9" s="10"/>
    </row>
    <row r="10" spans="1:13" x14ac:dyDescent="0.3">
      <c r="A10" t="s">
        <v>266</v>
      </c>
      <c r="B10" s="10">
        <f>+'6 CS-IS'!B15</f>
        <v>-3.008098727342846E-3</v>
      </c>
      <c r="C10" s="10">
        <f>+'6 CS-IS'!C15</f>
        <v>-3.1896685856542708E-3</v>
      </c>
      <c r="D10" s="10">
        <f>+'6 CS-IS'!D15</f>
        <v>-2.8050490883590462E-3</v>
      </c>
      <c r="E10" s="299">
        <v>-3.2000000000000002E-3</v>
      </c>
      <c r="F10" s="299">
        <f>+E10</f>
        <v>-3.2000000000000002E-3</v>
      </c>
      <c r="G10" s="299">
        <f>+F10</f>
        <v>-3.2000000000000002E-3</v>
      </c>
      <c r="H10" s="299">
        <f>+G10</f>
        <v>-3.2000000000000002E-3</v>
      </c>
      <c r="I10" s="300">
        <f t="shared" ref="H10:I11" si="5">+H10</f>
        <v>-3.2000000000000002E-3</v>
      </c>
      <c r="J10" s="14"/>
      <c r="K10" s="10"/>
    </row>
    <row r="11" spans="1:13" x14ac:dyDescent="0.3">
      <c r="A11" t="s">
        <v>84</v>
      </c>
      <c r="B11" s="10">
        <f>+'6 CS-IS'!B16</f>
        <v>-7.5588121866563829E-3</v>
      </c>
      <c r="C11" s="10">
        <f>+'6 CS-IS'!C16</f>
        <v>-7.4684922981173175E-3</v>
      </c>
      <c r="D11" s="10">
        <f>+'6 CS-IS'!D16</f>
        <v>-6.4220860707167636E-3</v>
      </c>
      <c r="E11" s="299">
        <v>-7.0000000000000001E-3</v>
      </c>
      <c r="F11" s="299">
        <f>+E11</f>
        <v>-7.0000000000000001E-3</v>
      </c>
      <c r="G11" s="299">
        <v>-6.7999999999999996E-3</v>
      </c>
      <c r="H11" s="299">
        <f t="shared" si="5"/>
        <v>-6.7999999999999996E-3</v>
      </c>
      <c r="I11" s="299">
        <v>-6.7000000000000002E-3</v>
      </c>
      <c r="J11" s="14"/>
      <c r="K11" s="10"/>
    </row>
    <row r="12" spans="1:13" x14ac:dyDescent="0.3">
      <c r="A12" t="s">
        <v>411</v>
      </c>
      <c r="B12" s="10">
        <f>+'6 CS-IS'!B22</f>
        <v>-2.7767065175472428E-3</v>
      </c>
      <c r="C12" s="10">
        <f>+'6 CS-IS'!C22</f>
        <v>-2.6450910222498834E-3</v>
      </c>
      <c r="D12" s="10">
        <f>+'6 CS-IS'!D22</f>
        <v>-1.993061194360375E-3</v>
      </c>
      <c r="E12" s="299">
        <v>-2E-3</v>
      </c>
      <c r="F12" s="300">
        <f t="shared" ref="F12:H12" si="6">+E12</f>
        <v>-2E-3</v>
      </c>
      <c r="G12" s="300">
        <v>-1.8E-3</v>
      </c>
      <c r="H12" s="300">
        <f t="shared" si="6"/>
        <v>-1.8E-3</v>
      </c>
      <c r="I12" s="300">
        <f>+H12</f>
        <v>-1.8E-3</v>
      </c>
      <c r="J12" s="14"/>
      <c r="K12" s="10"/>
    </row>
    <row r="13" spans="1:13" x14ac:dyDescent="0.3">
      <c r="A13" t="s">
        <v>412</v>
      </c>
      <c r="B13" s="10">
        <f>+'6 CS-IS'!B23</f>
        <v>-1.6197454685692248E-3</v>
      </c>
      <c r="C13" s="10">
        <f>+'6 CS-IS'!C23</f>
        <v>-1.4003423058969971E-3</v>
      </c>
      <c r="D13" s="10">
        <f>+'6 CS-IS'!D23</f>
        <v>-1.3287074629069167E-3</v>
      </c>
      <c r="E13" s="299">
        <v>-1.1999999999999999E-3</v>
      </c>
      <c r="F13" s="300">
        <f>+E13+0.0001</f>
        <v>-1.0999999999999998E-3</v>
      </c>
      <c r="G13" s="300">
        <f t="shared" ref="G13:I14" si="7">+F13+0.0001</f>
        <v>-9.999999999999998E-4</v>
      </c>
      <c r="H13" s="300">
        <f t="shared" si="7"/>
        <v>-8.9999999999999976E-4</v>
      </c>
      <c r="I13" s="300">
        <f t="shared" si="7"/>
        <v>-7.9999999999999971E-4</v>
      </c>
      <c r="J13" s="14"/>
      <c r="K13" s="10"/>
    </row>
    <row r="14" spans="1:13" x14ac:dyDescent="0.3">
      <c r="A14" t="s">
        <v>418</v>
      </c>
      <c r="B14" s="10">
        <f>+'6 CS-IS'!B24</f>
        <v>-1.3112225221750867E-3</v>
      </c>
      <c r="C14" s="10">
        <f>+'6 CS-IS'!C24</f>
        <v>-1.2447487163528862E-3</v>
      </c>
      <c r="D14" s="10">
        <f>+'6 CS-IS'!D24</f>
        <v>-8.1198789399867133E-4</v>
      </c>
      <c r="E14" s="299">
        <v>-8.0000000000000004E-4</v>
      </c>
      <c r="F14" s="300">
        <f>+E14+0.0001</f>
        <v>-6.9999999999999999E-4</v>
      </c>
      <c r="G14" s="300">
        <f t="shared" si="7"/>
        <v>-5.9999999999999995E-4</v>
      </c>
      <c r="H14" s="300">
        <f t="shared" si="7"/>
        <v>-4.999999999999999E-4</v>
      </c>
      <c r="I14" s="300">
        <f t="shared" si="7"/>
        <v>-3.9999999999999991E-4</v>
      </c>
      <c r="K14" s="10"/>
    </row>
    <row r="15" spans="1:13" x14ac:dyDescent="0.3">
      <c r="A15" t="s">
        <v>419</v>
      </c>
      <c r="B15" s="10">
        <f>+'6 CS-IS'!B25</f>
        <v>-5.3991515618974167E-4</v>
      </c>
      <c r="C15" s="10">
        <f>+'6 CS-IS'!C25</f>
        <v>-4.6678076863233234E-4</v>
      </c>
      <c r="D15" s="10">
        <f>+'6 CS-IS'!D25</f>
        <v>-2.2145124381781945E-4</v>
      </c>
      <c r="E15" s="299">
        <v>-2.0000000000000001E-4</v>
      </c>
      <c r="F15" s="300">
        <f>+E15</f>
        <v>-2.0000000000000001E-4</v>
      </c>
      <c r="G15" s="300">
        <f>+F15</f>
        <v>-2.0000000000000001E-4</v>
      </c>
      <c r="H15" s="300">
        <f>+G15</f>
        <v>-2.0000000000000001E-4</v>
      </c>
      <c r="I15" s="300">
        <f>+H15</f>
        <v>-2.0000000000000001E-4</v>
      </c>
      <c r="J15" s="14"/>
      <c r="K15" s="10"/>
    </row>
    <row r="16" spans="1:13" x14ac:dyDescent="0.3">
      <c r="A16" t="s">
        <v>294</v>
      </c>
      <c r="B16" s="10">
        <f>+'6 CS-IS'!B26</f>
        <v>-1.4037794060933282E-2</v>
      </c>
      <c r="C16" s="10">
        <f>+'6 CS-IS'!C26</f>
        <v>-1.1513925626264198E-2</v>
      </c>
      <c r="D16" s="10">
        <f>+'6 CS-IS'!D26</f>
        <v>-1.1367830515981399E-2</v>
      </c>
      <c r="E16" s="299">
        <v>-1.2E-2</v>
      </c>
      <c r="F16" s="300">
        <f t="shared" ref="F16:I17" si="8">+E16</f>
        <v>-1.2E-2</v>
      </c>
      <c r="G16" s="300">
        <f t="shared" si="8"/>
        <v>-1.2E-2</v>
      </c>
      <c r="H16" s="300">
        <v>-1.2500000000000001E-2</v>
      </c>
      <c r="I16" s="300">
        <f t="shared" si="8"/>
        <v>-1.2500000000000001E-2</v>
      </c>
      <c r="J16" s="14"/>
      <c r="K16" s="10"/>
    </row>
    <row r="17" spans="1:11" x14ac:dyDescent="0.3">
      <c r="A17" t="s">
        <v>167</v>
      </c>
      <c r="B17" s="10">
        <f>+'6 CS-IS'!B27</f>
        <v>-5.6691091399922872E-2</v>
      </c>
      <c r="C17" s="10">
        <f>+'6 CS-IS'!C27</f>
        <v>-5.6947253773144545E-2</v>
      </c>
      <c r="D17" s="10">
        <f>+'6 CS-IS'!D27</f>
        <v>-5.5510445117000075E-2</v>
      </c>
      <c r="E17" s="299">
        <v>-5.7000000000000002E-2</v>
      </c>
      <c r="F17" s="300">
        <f>+E17</f>
        <v>-5.7000000000000002E-2</v>
      </c>
      <c r="G17" s="300">
        <f>+F17</f>
        <v>-5.7000000000000002E-2</v>
      </c>
      <c r="H17" s="300">
        <v>-5.6000000000000001E-2</v>
      </c>
      <c r="I17" s="300">
        <f t="shared" si="8"/>
        <v>-5.6000000000000001E-2</v>
      </c>
      <c r="K17" s="10"/>
    </row>
    <row r="18" spans="1:11" x14ac:dyDescent="0.3">
      <c r="A18" t="s">
        <v>335</v>
      </c>
      <c r="B18" s="10">
        <f>+'6 CS-IS'!B28</f>
        <v>-6.941766293868107E-4</v>
      </c>
      <c r="C18" s="10">
        <f>+'6 CS-IS'!C28</f>
        <v>-1.0891551268087756E-3</v>
      </c>
      <c r="D18" s="10">
        <f>+'6 CS-IS'!D28</f>
        <v>-2.9526832509042594E-4</v>
      </c>
      <c r="E18" s="299">
        <v>-1E-3</v>
      </c>
      <c r="F18" s="300">
        <f t="shared" ref="F18:I18" si="9">+E18</f>
        <v>-1E-3</v>
      </c>
      <c r="G18" s="300">
        <v>-8.9999999999999998E-4</v>
      </c>
      <c r="H18" s="300">
        <f t="shared" si="9"/>
        <v>-8.9999999999999998E-4</v>
      </c>
      <c r="I18" s="300">
        <f t="shared" si="9"/>
        <v>-8.9999999999999998E-4</v>
      </c>
      <c r="J18" s="14"/>
      <c r="K18" s="10"/>
    </row>
    <row r="19" spans="1:11" x14ac:dyDescent="0.3">
      <c r="A19" t="s">
        <v>78</v>
      </c>
      <c r="B19" s="10">
        <f>+'6 CS-IS'!B29</f>
        <v>-1.2263787119166989E-2</v>
      </c>
      <c r="C19" s="10">
        <f>+'6 CS-IS'!C29</f>
        <v>-1.400342305896997E-2</v>
      </c>
      <c r="D19" s="10">
        <f>+'6 CS-IS'!D29</f>
        <v>-8.784232671440172E-3</v>
      </c>
      <c r="E19" s="299">
        <v>-0.01</v>
      </c>
      <c r="F19" s="300">
        <f t="shared" ref="F19:I19" si="10">+E19</f>
        <v>-0.01</v>
      </c>
      <c r="G19" s="300">
        <f t="shared" si="10"/>
        <v>-0.01</v>
      </c>
      <c r="H19" s="300">
        <f t="shared" si="10"/>
        <v>-0.01</v>
      </c>
      <c r="I19" s="300">
        <f t="shared" si="10"/>
        <v>-0.01</v>
      </c>
      <c r="J19" s="14"/>
      <c r="K19" s="10"/>
    </row>
    <row r="20" spans="1:11" x14ac:dyDescent="0.3">
      <c r="A20" t="s">
        <v>336</v>
      </c>
      <c r="B20" s="10">
        <f>+'6 CS-IS'!B30</f>
        <v>-0.14438873891245663</v>
      </c>
      <c r="C20" s="10">
        <f>+'6 CS-IS'!C30</f>
        <v>-0.18647891706861677</v>
      </c>
      <c r="D20" s="10">
        <f>+'6 CS-IS'!D30</f>
        <v>-0.12858935557688048</v>
      </c>
      <c r="E20" s="299">
        <v>-0.15</v>
      </c>
      <c r="F20" s="300">
        <f>+E20+0.002</f>
        <v>-0.14799999999999999</v>
      </c>
      <c r="G20" s="300">
        <f t="shared" ref="G20:I20" si="11">+F20+0.002</f>
        <v>-0.14599999999999999</v>
      </c>
      <c r="H20" s="300">
        <f t="shared" si="11"/>
        <v>-0.14399999999999999</v>
      </c>
      <c r="I20" s="300">
        <f t="shared" si="11"/>
        <v>-0.14199999999999999</v>
      </c>
      <c r="J20" s="14"/>
      <c r="K20" s="10"/>
    </row>
    <row r="21" spans="1:11" x14ac:dyDescent="0.3">
      <c r="A21" t="s">
        <v>240</v>
      </c>
      <c r="B21" s="10">
        <f>+'6 CS-IS'!B41</f>
        <v>-1.6583108368684922E-2</v>
      </c>
      <c r="C21" s="10">
        <f>+'6 CS-IS'!C41</f>
        <v>2.9018204449976662E-2</v>
      </c>
      <c r="D21" s="10">
        <f>+'6 CS-IS'!D41</f>
        <v>-5.8315494205359118E-3</v>
      </c>
      <c r="E21" s="299">
        <v>-1E-3</v>
      </c>
      <c r="F21" s="300">
        <f t="shared" ref="F21:F25" si="12">+E21</f>
        <v>-1E-3</v>
      </c>
      <c r="G21" s="300">
        <f t="shared" ref="G21:G25" si="13">+F21</f>
        <v>-1E-3</v>
      </c>
      <c r="H21" s="300">
        <f t="shared" ref="H21:H25" si="14">+G21</f>
        <v>-1E-3</v>
      </c>
      <c r="I21" s="300">
        <f t="shared" ref="I21:I25" si="15">+H21</f>
        <v>-1E-3</v>
      </c>
      <c r="K21" s="10"/>
    </row>
    <row r="22" spans="1:11" x14ac:dyDescent="0.3">
      <c r="A22" t="s">
        <v>242</v>
      </c>
      <c r="B22" s="10">
        <f>+'6 CS-IS'!B43</f>
        <v>-3.1932124951793289E-2</v>
      </c>
      <c r="C22" s="10">
        <f>+'6 CS-IS'!C43</f>
        <v>-2.4661583942741559E-2</v>
      </c>
      <c r="D22" s="10">
        <f>+'6 CS-IS'!D43</f>
        <v>-1.8970989887059867E-2</v>
      </c>
      <c r="E22" s="299">
        <v>-2.1000000000000001E-2</v>
      </c>
      <c r="F22" s="300">
        <f t="shared" si="12"/>
        <v>-2.1000000000000001E-2</v>
      </c>
      <c r="G22" s="300">
        <v>-2.1999999999999999E-2</v>
      </c>
      <c r="H22" s="300">
        <v>-2.3E-2</v>
      </c>
      <c r="I22" s="300">
        <v>-2.4E-2</v>
      </c>
    </row>
    <row r="23" spans="1:11" x14ac:dyDescent="0.3">
      <c r="A23" t="s">
        <v>243</v>
      </c>
      <c r="B23" s="10">
        <f>+'6 CS-IS'!B45</f>
        <v>7.7130736598534516E-5</v>
      </c>
      <c r="C23" s="10">
        <f>+'6 CS-IS'!C45</f>
        <v>5.4457756340438779E-4</v>
      </c>
      <c r="D23" s="10">
        <f>+'6 CS-IS'!D45</f>
        <v>1.446814792943087E-2</v>
      </c>
      <c r="E23" s="299">
        <v>0.01</v>
      </c>
      <c r="F23" s="300">
        <f t="shared" si="12"/>
        <v>0.01</v>
      </c>
      <c r="G23" s="300">
        <f t="shared" si="13"/>
        <v>0.01</v>
      </c>
      <c r="H23" s="300">
        <f t="shared" si="14"/>
        <v>0.01</v>
      </c>
      <c r="I23" s="300">
        <f t="shared" si="15"/>
        <v>0.01</v>
      </c>
    </row>
    <row r="24" spans="1:11" x14ac:dyDescent="0.3">
      <c r="A24" t="s">
        <v>245</v>
      </c>
      <c r="B24" s="10">
        <f>+'6 CS-IS'!B51</f>
        <v>-1.9591207096027768E-2</v>
      </c>
      <c r="C24" s="10">
        <f>+'6 CS-IS'!C51</f>
        <v>6.145946786992376E-3</v>
      </c>
      <c r="D24" s="10">
        <f>+'6 CS-IS'!D51</f>
        <v>-3.5432199010851113E-3</v>
      </c>
      <c r="E24" s="299">
        <v>0</v>
      </c>
      <c r="F24" s="300">
        <f t="shared" si="12"/>
        <v>0</v>
      </c>
      <c r="G24" s="300">
        <f t="shared" si="13"/>
        <v>0</v>
      </c>
      <c r="H24" s="300">
        <f t="shared" si="14"/>
        <v>0</v>
      </c>
      <c r="I24" s="300">
        <f t="shared" si="15"/>
        <v>0</v>
      </c>
    </row>
    <row r="25" spans="1:11" s="12" customFormat="1" x14ac:dyDescent="0.3">
      <c r="A25" t="s">
        <v>246</v>
      </c>
      <c r="B25" s="10">
        <f>+'6 CS-IS'!B52</f>
        <v>-2.1596606247589667E-3</v>
      </c>
      <c r="C25" s="10">
        <f>+'6 CS-IS'!C52</f>
        <v>4.6678076863233234E-4</v>
      </c>
      <c r="D25" s="10">
        <f>+'6 CS-IS'!D52</f>
        <v>5.9053665018085188E-4</v>
      </c>
      <c r="E25" s="299">
        <v>0</v>
      </c>
      <c r="F25" s="300">
        <f t="shared" si="12"/>
        <v>0</v>
      </c>
      <c r="G25" s="300">
        <f t="shared" si="13"/>
        <v>0</v>
      </c>
      <c r="H25" s="300">
        <f t="shared" si="14"/>
        <v>0</v>
      </c>
      <c r="I25" s="300">
        <f t="shared" si="15"/>
        <v>0</v>
      </c>
    </row>
    <row r="26" spans="1:11" s="12" customFormat="1" x14ac:dyDescent="0.3">
      <c r="A26" t="s">
        <v>547</v>
      </c>
      <c r="B26" s="10">
        <f>+'6 CS-IS'!B55</f>
        <v>1.5426147319706903E-4</v>
      </c>
      <c r="C26" s="10">
        <f>+'6 CS-IS'!C55</f>
        <v>7.779679477205539E-5</v>
      </c>
      <c r="D26" s="10">
        <f>+'6 CS-IS'!D55</f>
        <v>7.3817081272606485E-5</v>
      </c>
      <c r="E26" s="299">
        <v>1E-4</v>
      </c>
      <c r="F26" s="299">
        <v>1E-4</v>
      </c>
      <c r="G26" s="299">
        <v>1E-4</v>
      </c>
      <c r="H26" s="299">
        <v>1E-4</v>
      </c>
      <c r="I26" s="299">
        <v>1E-4</v>
      </c>
    </row>
    <row r="27" spans="1:11" x14ac:dyDescent="0.3">
      <c r="A27" t="s">
        <v>248</v>
      </c>
      <c r="B27" s="10">
        <f>+'6 CS-IS'!B56</f>
        <v>4.8592364057076743E-3</v>
      </c>
      <c r="C27" s="10">
        <f>+'6 CS-IS'!C56</f>
        <v>0</v>
      </c>
      <c r="D27" s="10">
        <f>+'6 CS-IS'!D56</f>
        <v>0</v>
      </c>
      <c r="E27" s="299">
        <v>0</v>
      </c>
      <c r="F27" s="300">
        <f t="shared" ref="F27:I27" si="16">+E27</f>
        <v>0</v>
      </c>
      <c r="G27" s="300">
        <f>+F27</f>
        <v>0</v>
      </c>
      <c r="H27" s="300">
        <f t="shared" si="16"/>
        <v>0</v>
      </c>
      <c r="I27" s="300">
        <f t="shared" si="16"/>
        <v>0</v>
      </c>
    </row>
    <row r="28" spans="1:11" ht="15" thickBot="1" x14ac:dyDescent="0.35">
      <c r="A28" s="13" t="s">
        <v>201</v>
      </c>
      <c r="B28" s="95">
        <f t="shared" ref="B28:I28" si="17">SUM(B9:B27)</f>
        <v>6.278441959120705E-2</v>
      </c>
      <c r="C28" s="95">
        <f t="shared" si="17"/>
        <v>9.0711062704216625E-2</v>
      </c>
      <c r="D28" s="95">
        <f t="shared" si="17"/>
        <v>0.11751679338598939</v>
      </c>
      <c r="E28" s="301">
        <f t="shared" si="17"/>
        <v>9.3699999999999992E-2</v>
      </c>
      <c r="F28" s="301">
        <f t="shared" si="17"/>
        <v>9.5900000000000027E-2</v>
      </c>
      <c r="G28" s="301">
        <f t="shared" si="17"/>
        <v>0.10010000000000008</v>
      </c>
      <c r="H28" s="301">
        <f t="shared" si="17"/>
        <v>0.10180000000000006</v>
      </c>
      <c r="I28" s="301">
        <f t="shared" si="17"/>
        <v>0.10559999999999997</v>
      </c>
    </row>
    <row r="29" spans="1:11" ht="15" thickTop="1" x14ac:dyDescent="0.3">
      <c r="B29" s="16"/>
      <c r="C29" s="16"/>
      <c r="D29" s="14"/>
    </row>
    <row r="30" spans="1:11" x14ac:dyDescent="0.3">
      <c r="B30" s="14"/>
      <c r="C30" s="14"/>
      <c r="D30" s="14"/>
    </row>
    <row r="31" spans="1:11" s="13" customFormat="1" x14ac:dyDescent="0.3">
      <c r="A31" s="276" t="s">
        <v>211</v>
      </c>
      <c r="B31" s="278">
        <f>+B28-'6 Analyzing'!C21</f>
        <v>0</v>
      </c>
      <c r="C31" s="278">
        <f>+C28-'6 Analyzing'!D21</f>
        <v>0</v>
      </c>
      <c r="D31" s="278">
        <f>+D28-'6 Analyzing'!E21</f>
        <v>-1.2490009027033011E-16</v>
      </c>
      <c r="E31" s="277"/>
      <c r="F31" s="277"/>
      <c r="G31" s="277"/>
      <c r="H31" s="277"/>
      <c r="I31" s="277"/>
    </row>
    <row r="32" spans="1:11" x14ac:dyDescent="0.3">
      <c r="A32" s="276" t="s">
        <v>510</v>
      </c>
      <c r="B32" s="302">
        <f t="shared" ref="B32:I32" si="18">-B22/SUM(B9:B21)</f>
        <v>0.28670360110803333</v>
      </c>
      <c r="C32" s="302">
        <f t="shared" si="18"/>
        <v>0.22805755395683444</v>
      </c>
      <c r="D32" s="302">
        <f t="shared" si="18"/>
        <v>0.15189125295508291</v>
      </c>
      <c r="E32" s="302">
        <f t="shared" si="18"/>
        <v>0.20076481835564056</v>
      </c>
      <c r="F32" s="302">
        <f t="shared" si="18"/>
        <v>0.19662921348314602</v>
      </c>
      <c r="G32" s="302">
        <f t="shared" si="18"/>
        <v>0.19642857142857129</v>
      </c>
      <c r="H32" s="302">
        <f t="shared" si="18"/>
        <v>0.20052310374891011</v>
      </c>
      <c r="I32" s="302">
        <f t="shared" si="18"/>
        <v>0.20083682008368206</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N79"/>
  <sheetViews>
    <sheetView workbookViewId="0">
      <pane xSplit="1" ySplit="3" topLeftCell="B4" activePane="bottomRight" state="frozen"/>
      <selection pane="topRight" activeCell="B1" sqref="B1"/>
      <selection pane="bottomLeft" activeCell="A4" sqref="A4"/>
      <selection pane="bottomRight" activeCell="J5" sqref="J5"/>
    </sheetView>
  </sheetViews>
  <sheetFormatPr defaultRowHeight="14.4" x14ac:dyDescent="0.3"/>
  <cols>
    <col min="1" max="1" width="61.21875" bestFit="1" customWidth="1"/>
    <col min="2" max="2" width="8.77734375" bestFit="1" customWidth="1"/>
    <col min="3" max="6" width="10.77734375" bestFit="1" customWidth="1"/>
    <col min="7" max="7" width="9.21875" customWidth="1"/>
    <col min="8" max="8" width="8.77734375" bestFit="1" customWidth="1"/>
    <col min="9" max="11" width="10.77734375" bestFit="1" customWidth="1"/>
    <col min="12" max="14" width="8.77734375" bestFit="1" customWidth="1"/>
  </cols>
  <sheetData>
    <row r="2" spans="1:14" x14ac:dyDescent="0.3">
      <c r="B2" s="288" t="s">
        <v>17</v>
      </c>
      <c r="C2" s="288"/>
      <c r="D2" s="288"/>
      <c r="E2" s="288"/>
      <c r="F2" s="277" t="s">
        <v>138</v>
      </c>
      <c r="G2" s="247" t="s">
        <v>18</v>
      </c>
      <c r="H2" s="249"/>
      <c r="I2" s="249"/>
      <c r="J2" s="249"/>
      <c r="K2" s="247" t="s">
        <v>509</v>
      </c>
      <c r="L2" s="249"/>
      <c r="M2" s="249"/>
      <c r="N2" s="249"/>
    </row>
    <row r="3" spans="1:14" ht="15" thickBot="1" x14ac:dyDescent="0.35">
      <c r="B3" s="289">
        <f>+'7 F-Rev'!B3</f>
        <v>42371</v>
      </c>
      <c r="C3" s="289">
        <f>+'7 F-Rev'!C3</f>
        <v>42735</v>
      </c>
      <c r="D3" s="289">
        <f>+'7 F-Rev'!D3</f>
        <v>43099</v>
      </c>
      <c r="E3" s="289">
        <f>+'7 F-Rev'!E3</f>
        <v>43463</v>
      </c>
      <c r="F3" s="307">
        <f>+'7 F-Rev'!F3</f>
        <v>43827</v>
      </c>
      <c r="G3" s="290">
        <f>+'7 F-Rev'!G3</f>
        <v>44198</v>
      </c>
      <c r="H3" s="290">
        <f>+'7 F-Rev'!H3</f>
        <v>44562</v>
      </c>
      <c r="I3" s="290">
        <f>+'7 F-Rev'!I3</f>
        <v>44926</v>
      </c>
      <c r="J3" s="290">
        <f>+'7 F-Rev'!J3</f>
        <v>45290</v>
      </c>
      <c r="K3" s="290">
        <f>+'7 F-Rev'!K3</f>
        <v>45654</v>
      </c>
      <c r="L3" s="290">
        <f>+'7 F-Rev'!L3</f>
        <v>46025</v>
      </c>
      <c r="M3" s="290">
        <f>+'7 F-Rev'!M3</f>
        <v>46389</v>
      </c>
      <c r="N3" s="290">
        <f>+'7 F-Rev'!N3</f>
        <v>46753</v>
      </c>
    </row>
    <row r="4" spans="1:14" x14ac:dyDescent="0.3">
      <c r="A4" t="s">
        <v>223</v>
      </c>
      <c r="B4" s="81"/>
      <c r="C4" s="81">
        <f t="shared" ref="C4:I4" si="0">+C75</f>
        <v>1.167860199072198</v>
      </c>
      <c r="D4" s="81">
        <f t="shared" si="0"/>
        <v>1.1259635599159075</v>
      </c>
      <c r="E4" s="81">
        <f t="shared" si="0"/>
        <v>1.0960799385088393</v>
      </c>
      <c r="F4" s="81">
        <f t="shared" si="0"/>
        <v>1.0627669966741435</v>
      </c>
      <c r="G4" s="81">
        <f t="shared" si="0"/>
        <v>0.9770073496100169</v>
      </c>
      <c r="H4" s="81">
        <f t="shared" si="0"/>
        <v>0.96582081307783019</v>
      </c>
      <c r="I4" s="81">
        <f t="shared" si="0"/>
        <v>0.95397323132240397</v>
      </c>
      <c r="J4" s="305">
        <v>0.94</v>
      </c>
      <c r="K4" s="78">
        <f>+J4</f>
        <v>0.94</v>
      </c>
      <c r="L4" s="50">
        <f>+K4</f>
        <v>0.94</v>
      </c>
      <c r="M4" s="50">
        <f t="shared" ref="M4:N4" si="1">+L4</f>
        <v>0.94</v>
      </c>
      <c r="N4" s="50">
        <f t="shared" si="1"/>
        <v>0.94</v>
      </c>
    </row>
    <row r="5" spans="1:14" x14ac:dyDescent="0.3">
      <c r="B5" s="81"/>
      <c r="C5" s="81"/>
      <c r="D5" s="81"/>
      <c r="E5" s="81"/>
      <c r="F5" s="81"/>
      <c r="G5" s="81"/>
      <c r="H5" s="81"/>
      <c r="I5" s="81"/>
      <c r="J5" s="78"/>
      <c r="K5" s="78"/>
    </row>
    <row r="6" spans="1:14" x14ac:dyDescent="0.3">
      <c r="A6" t="s">
        <v>456</v>
      </c>
      <c r="B6" s="22"/>
      <c r="C6" s="36">
        <f>(+C3-B3)/7</f>
        <v>52</v>
      </c>
      <c r="D6" s="36">
        <f t="shared" ref="D6:F6" si="2">(+D3-C3)/7</f>
        <v>52</v>
      </c>
      <c r="E6" s="36">
        <f t="shared" si="2"/>
        <v>52</v>
      </c>
      <c r="F6" s="36">
        <f t="shared" si="2"/>
        <v>52</v>
      </c>
      <c r="G6" s="36"/>
      <c r="H6" s="36"/>
      <c r="I6" s="36"/>
      <c r="J6" s="36"/>
      <c r="K6" s="36"/>
    </row>
    <row r="7" spans="1:14" x14ac:dyDescent="0.3">
      <c r="B7" s="22"/>
      <c r="C7" s="96"/>
      <c r="D7" s="22"/>
      <c r="E7" s="22"/>
      <c r="F7" s="22"/>
      <c r="G7" s="22"/>
      <c r="H7" s="22"/>
      <c r="I7" s="22"/>
    </row>
    <row r="8" spans="1:14" x14ac:dyDescent="0.3">
      <c r="B8" s="22"/>
      <c r="C8" s="22"/>
      <c r="D8" s="22"/>
      <c r="E8" s="22"/>
      <c r="F8" s="22"/>
      <c r="G8" s="22"/>
      <c r="H8" s="22"/>
      <c r="I8" s="22"/>
    </row>
    <row r="9" spans="1:14" x14ac:dyDescent="0.3">
      <c r="A9" t="str">
        <f>+'7 F-Rev'!A7</f>
        <v>Total Sales (with 53 week fcast adj)</v>
      </c>
      <c r="B9" s="37">
        <f>VLOOKUP('7 F-ATO'!$A9,'7 F-Rev'!$A:$T,MATCH(B$3,'7 F-Rev'!3:3,0),FALSE)</f>
        <v>13525</v>
      </c>
      <c r="C9" s="37">
        <f>VLOOKUP('7 F-ATO'!$A9,'7 F-Rev'!$A:$T,MATCH(C$3,'7 F-Rev'!3:3,0),FALSE)</f>
        <v>12965</v>
      </c>
      <c r="D9" s="37">
        <f>VLOOKUP('7 F-ATO'!$A9,'7 F-Rev'!$A:$T,MATCH(D$3,'7 F-Rev'!3:3,0),FALSE)</f>
        <v>12854</v>
      </c>
      <c r="E9" s="37">
        <f>VLOOKUP('7 F-ATO'!$A9,'7 F-Rev'!$A:$T,MATCH(E$3,'7 F-Rev'!3:3,0),FALSE)</f>
        <v>13547</v>
      </c>
      <c r="F9" s="37">
        <f>VLOOKUP('7 F-ATO'!$A9,'7 F-Rev'!$A:$T,MATCH(F$3,'7 F-Rev'!3:3,0),FALSE)</f>
        <v>13740.514500000001</v>
      </c>
      <c r="G9" s="37">
        <f>VLOOKUP('7 F-ATO'!$A9,'7 F-Rev'!$A:$T,MATCH(G$3,'7 F-Rev'!3:3,0),FALSE)</f>
        <v>13956.332750712303</v>
      </c>
      <c r="H9" s="37">
        <f>VLOOKUP('7 F-ATO'!$A9,'7 F-Rev'!$A:$T,MATCH(H$3,'7 F-Rev'!3:3,0),FALSE)</f>
        <v>14195.742048123666</v>
      </c>
      <c r="I9" s="37">
        <f>VLOOKUP('7 F-ATO'!$A9,'7 F-Rev'!$A:$T,MATCH(I$3,'7 F-Rev'!3:3,0),FALSE)</f>
        <v>14437.069662941771</v>
      </c>
    </row>
    <row r="10" spans="1:14" x14ac:dyDescent="0.3">
      <c r="B10" s="22"/>
      <c r="C10" s="22"/>
      <c r="D10" s="22"/>
      <c r="E10" s="22"/>
      <c r="F10" s="22"/>
      <c r="G10" s="22"/>
      <c r="H10" s="22"/>
      <c r="I10" s="22"/>
    </row>
    <row r="11" spans="1:14" x14ac:dyDescent="0.3">
      <c r="A11" t="s">
        <v>213</v>
      </c>
      <c r="B11" s="22"/>
      <c r="C11" s="22"/>
      <c r="D11" s="22"/>
      <c r="E11" s="22"/>
      <c r="F11" s="22"/>
      <c r="G11" s="22"/>
      <c r="H11" s="22"/>
    </row>
    <row r="12" spans="1:14" x14ac:dyDescent="0.3">
      <c r="A12" t="s">
        <v>5</v>
      </c>
      <c r="B12" s="65"/>
      <c r="C12" s="65">
        <f>AVERAGE(INDEX('5 Adj NOA'!$1:$290,MATCH($A12,'5 Adj NOA'!$A:$A,0),MATCH(C$3,'5 Adj NOA'!$3:$3,0)),INDEX('5 Adj NOA'!$1:$290,MATCH($A12,'5 Adj NOA'!$A:$A,0),MATCH(B$3,'5 Adj NOA'!$3:$3,0)))/(C$9*52/C$6)</f>
        <v>1.6544543000385655E-2</v>
      </c>
      <c r="D12" s="65">
        <f>AVERAGE(INDEX('5 Adj NOA'!$1:$290,MATCH($A12,'5 Adj NOA'!$A:$A,0),MATCH(D$3,'5 Adj NOA'!$3:$3,0)),INDEX('5 Adj NOA'!$1:$290,MATCH($A12,'5 Adj NOA'!$A:$A,0),MATCH(C$3,'5 Adj NOA'!$3:$3,0)))/(D$9*52/D$6)</f>
        <v>1.3653337482495722E-2</v>
      </c>
      <c r="E12" s="65">
        <f>AVERAGE(INDEX('5 Adj NOA'!$1:$290,MATCH($A12,'5 Adj NOA'!$A:$A,0),MATCH(E$3,'5 Adj NOA'!$3:$3,0)),INDEX('5 Adj NOA'!$1:$290,MATCH($A12,'5 Adj NOA'!$A:$A,0),MATCH(D$3,'5 Adj NOA'!$3:$3,0)))/(E$9*52/E$6)</f>
        <v>1.2807263600797224E-2</v>
      </c>
      <c r="F12" s="306">
        <f>INDEX('5 Adj NOA'!$1:$288,MATCH($A12,'5 Adj NOA'!$A:$A,0),MATCH(E$3,'5 Adj NOA'!$3:$3,0))/(F$9*52/F$6)</f>
        <v>1.2663281276694551E-2</v>
      </c>
      <c r="G12" s="308">
        <f>+F12</f>
        <v>1.2663281276694551E-2</v>
      </c>
      <c r="H12" s="308">
        <f t="shared" ref="H12:I12" si="3">+G12</f>
        <v>1.2663281276694551E-2</v>
      </c>
      <c r="I12" s="308">
        <f t="shared" si="3"/>
        <v>1.2663281276694551E-2</v>
      </c>
    </row>
    <row r="13" spans="1:14" x14ac:dyDescent="0.3">
      <c r="A13" t="s">
        <v>337</v>
      </c>
      <c r="B13" s="65"/>
      <c r="C13" s="65">
        <f>AVERAGE(INDEX('5 Adj NOA'!$1:$290,MATCH($A13,'5 Adj NOA'!$A:$A,0),MATCH(C$3,'5 Adj NOA'!$3:$3,0)),INDEX('5 Adj NOA'!$1:$290,MATCH($A13,'5 Adj NOA'!$A:$A,0),MATCH(B$3,'5 Adj NOA'!$3:$3,0)))/(C$9*52/C$6)</f>
        <v>8.7736212880833012E-2</v>
      </c>
      <c r="D13" s="65">
        <f>AVERAGE(INDEX('5 Adj NOA'!$1:$290,MATCH($A13,'5 Adj NOA'!$A:$A,0),MATCH(D$3,'5 Adj NOA'!$3:$3,0)),INDEX('5 Adj NOA'!$1:$290,MATCH($A13,'5 Adj NOA'!$A:$A,0),MATCH(C$3,'5 Adj NOA'!$3:$3,0)))/(D$9*52/D$6)</f>
        <v>9.1644624241481246E-2</v>
      </c>
      <c r="E13" s="65">
        <f>AVERAGE(INDEX('5 Adj NOA'!$1:$290,MATCH($A13,'5 Adj NOA'!$A:$A,0),MATCH(E$3,'5 Adj NOA'!$3:$3,0)),INDEX('5 Adj NOA'!$1:$290,MATCH($A13,'5 Adj NOA'!$A:$A,0),MATCH(D$3,'5 Adj NOA'!$3:$3,0)))/(E$9*52/E$6)</f>
        <v>8.9060308555399717E-2</v>
      </c>
      <c r="F13" s="306">
        <f>INDEX('5 Adj NOA'!$1:$288,MATCH($A13,'5 Adj NOA'!$A:$A,0),MATCH(E$3,'5 Adj NOA'!$3:$3,0))/(F$9*52/F$6)</f>
        <v>8.4640207613768753E-2</v>
      </c>
      <c r="G13" s="308">
        <v>8.7999999999999995E-2</v>
      </c>
      <c r="H13" s="308">
        <f>+G13</f>
        <v>8.7999999999999995E-2</v>
      </c>
      <c r="I13" s="308">
        <v>0.09</v>
      </c>
    </row>
    <row r="14" spans="1:14" x14ac:dyDescent="0.3">
      <c r="A14" t="s">
        <v>338</v>
      </c>
      <c r="B14" s="65"/>
      <c r="C14" s="65">
        <f>AVERAGE(INDEX('5 Adj NOA'!$1:$290,MATCH($A14,'5 Adj NOA'!$A:$A,0),MATCH(C$3,'5 Adj NOA'!$3:$3,0)),INDEX('5 Adj NOA'!$1:$290,MATCH($A14,'5 Adj NOA'!$A:$A,0),MATCH(B$3,'5 Adj NOA'!$3:$3,0)))/(C$9*52/C$6)</f>
        <v>-6.1704589278827613E-4</v>
      </c>
      <c r="D14" s="65">
        <f>AVERAGE(INDEX('5 Adj NOA'!$1:$290,MATCH($A14,'5 Adj NOA'!$A:$A,0),MATCH(D$3,'5 Adj NOA'!$3:$3,0)),INDEX('5 Adj NOA'!$1:$290,MATCH($A14,'5 Adj NOA'!$A:$A,0),MATCH(C$3,'5 Adj NOA'!$3:$3,0)))/(D$9*52/D$6)</f>
        <v>-7.0017115294849857E-4</v>
      </c>
      <c r="E14" s="65">
        <f>AVERAGE(INDEX('5 Adj NOA'!$1:$290,MATCH($A14,'5 Adj NOA'!$A:$A,0),MATCH(E$3,'5 Adj NOA'!$3:$3,0)),INDEX('5 Adj NOA'!$1:$290,MATCH($A14,'5 Adj NOA'!$A:$A,0),MATCH(D$3,'5 Adj NOA'!$3:$3,0)))/(E$9*52/E$6)</f>
        <v>-7.3817081272606485E-4</v>
      </c>
      <c r="F14" s="306">
        <f>INDEX('5 Adj NOA'!$1:$288,MATCH($A14,'5 Adj NOA'!$A:$A,0),MATCH(E$3,'5 Adj NOA'!$3:$3,0))/(F$9*52/F$6)</f>
        <v>-7.2777478601692824E-4</v>
      </c>
      <c r="G14" s="308">
        <f>+F14</f>
        <v>-7.2777478601692824E-4</v>
      </c>
      <c r="H14" s="308">
        <f>+G14</f>
        <v>-7.2777478601692824E-4</v>
      </c>
      <c r="I14" s="308">
        <f>+H14</f>
        <v>-7.2777478601692824E-4</v>
      </c>
    </row>
    <row r="15" spans="1:14" x14ac:dyDescent="0.3">
      <c r="A15" t="s">
        <v>339</v>
      </c>
      <c r="B15" s="65"/>
      <c r="C15" s="65">
        <f>AVERAGE(INDEX('5 Adj NOA'!$1:$290,MATCH($A15,'5 Adj NOA'!$A:$A,0),MATCH(C$3,'5 Adj NOA'!$3:$3,0)),INDEX('5 Adj NOA'!$1:$290,MATCH($A15,'5 Adj NOA'!$A:$A,0),MATCH(B$3,'5 Adj NOA'!$3:$3,0)))/(C$9*52/C$6)</f>
        <v>1.96683378326263E-3</v>
      </c>
      <c r="D15" s="65">
        <f>AVERAGE(INDEX('5 Adj NOA'!$1:$290,MATCH($A15,'5 Adj NOA'!$A:$A,0),MATCH(D$3,'5 Adj NOA'!$3:$3,0)),INDEX('5 Adj NOA'!$1:$290,MATCH($A15,'5 Adj NOA'!$A:$A,0),MATCH(C$3,'5 Adj NOA'!$3:$3,0)))/(D$9*52/D$6)</f>
        <v>1.8282246771433018E-3</v>
      </c>
      <c r="E15" s="65">
        <f>AVERAGE(INDEX('5 Adj NOA'!$1:$290,MATCH($A15,'5 Adj NOA'!$A:$A,0),MATCH(E$3,'5 Adj NOA'!$3:$3,0)),INDEX('5 Adj NOA'!$1:$290,MATCH($A15,'5 Adj NOA'!$A:$A,0),MATCH(D$3,'5 Adj NOA'!$3:$3,0)))/(E$9*52/E$6)</f>
        <v>1.8823355724514653E-3</v>
      </c>
      <c r="F15" s="306">
        <f>INDEX('5 Adj NOA'!$1:$288,MATCH($A15,'5 Adj NOA'!$A:$A,0),MATCH(E$3,'5 Adj NOA'!$3:$3,0))/(F$9*52/F$6)</f>
        <v>2.0377694008473991E-3</v>
      </c>
      <c r="G15" s="308">
        <v>2E-3</v>
      </c>
      <c r="H15" s="308">
        <f>+G15</f>
        <v>2E-3</v>
      </c>
      <c r="I15" s="308">
        <f>+H15</f>
        <v>2E-3</v>
      </c>
    </row>
    <row r="16" spans="1:14" x14ac:dyDescent="0.3">
      <c r="A16" t="s">
        <v>340</v>
      </c>
      <c r="B16" s="65"/>
      <c r="C16" s="65">
        <f>AVERAGE(INDEX('5 Adj NOA'!$1:$290,MATCH($A16,'5 Adj NOA'!$A:$A,0),MATCH(C$3,'5 Adj NOA'!$3:$3,0)),INDEX('5 Adj NOA'!$1:$290,MATCH($A16,'5 Adj NOA'!$A:$A,0),MATCH(B$3,'5 Adj NOA'!$3:$3,0)))/(C$9*52/C$6)</f>
        <v>1.0219822599305824E-2</v>
      </c>
      <c r="D16" s="65">
        <f>AVERAGE(INDEX('5 Adj NOA'!$1:$290,MATCH($A16,'5 Adj NOA'!$A:$A,0),MATCH(D$3,'5 Adj NOA'!$3:$3,0)),INDEX('5 Adj NOA'!$1:$290,MATCH($A16,'5 Adj NOA'!$A:$A,0),MATCH(C$3,'5 Adj NOA'!$3:$3,0)))/(D$9*52/D$6)</f>
        <v>9.1411233857165083E-3</v>
      </c>
      <c r="E16" s="65">
        <f>AVERAGE(INDEX('5 Adj NOA'!$1:$290,MATCH($A16,'5 Adj NOA'!$A:$A,0),MATCH(E$3,'5 Adj NOA'!$3:$3,0)),INDEX('5 Adj NOA'!$1:$290,MATCH($A16,'5 Adj NOA'!$A:$A,0),MATCH(D$3,'5 Adj NOA'!$3:$3,0)))/(E$9*52/E$6)</f>
        <v>1.1810733003617038E-2</v>
      </c>
      <c r="F16" s="306">
        <f>INDEX('5 Adj NOA'!$1:$288,MATCH($A16,'5 Adj NOA'!$A:$A,0),MATCH(E$3,'5 Adj NOA'!$3:$3,0))/(F$9*52/F$6)</f>
        <v>1.4118830848728408E-2</v>
      </c>
      <c r="G16" s="308">
        <v>1.4E-2</v>
      </c>
      <c r="H16" s="308">
        <f>+G16</f>
        <v>1.4E-2</v>
      </c>
      <c r="I16" s="308">
        <v>1.4999999999999999E-2</v>
      </c>
    </row>
    <row r="17" spans="1:9" x14ac:dyDescent="0.3">
      <c r="A17" t="s">
        <v>341</v>
      </c>
      <c r="B17" s="65"/>
      <c r="C17" s="65">
        <f>AVERAGE(INDEX('5 Adj NOA'!$1:$290,MATCH($A17,'5 Adj NOA'!$A:$A,0),MATCH(C$3,'5 Adj NOA'!$3:$3,0)),INDEX('5 Adj NOA'!$1:$290,MATCH($A17,'5 Adj NOA'!$A:$A,0),MATCH(B$3,'5 Adj NOA'!$3:$3,0)))/(C$9*52/C$6)</f>
        <v>2.4296182028538373E-2</v>
      </c>
      <c r="D17" s="65">
        <f>AVERAGE(INDEX('5 Adj NOA'!$1:$290,MATCH($A17,'5 Adj NOA'!$A:$A,0),MATCH(D$3,'5 Adj NOA'!$3:$3,0)),INDEX('5 Adj NOA'!$1:$290,MATCH($A17,'5 Adj NOA'!$A:$A,0),MATCH(C$3,'5 Adj NOA'!$3:$3,0)))/(D$9*52/D$6)</f>
        <v>2.5206161506145946E-2</v>
      </c>
      <c r="E17" s="65">
        <f>AVERAGE(INDEX('5 Adj NOA'!$1:$290,MATCH($A17,'5 Adj NOA'!$A:$A,0),MATCH(E$3,'5 Adj NOA'!$3:$3,0)),INDEX('5 Adj NOA'!$1:$290,MATCH($A17,'5 Adj NOA'!$A:$A,0),MATCH(D$3,'5 Adj NOA'!$3:$3,0)))/(E$9*52/E$6)</f>
        <v>2.4802539307595777E-2</v>
      </c>
      <c r="F17" s="306">
        <f>INDEX('5 Adj NOA'!$1:$288,MATCH($A17,'5 Adj NOA'!$A:$A,0),MATCH(E$3,'5 Adj NOA'!$3:$3,0))/(F$9*52/F$6)</f>
        <v>2.4671565245973866E-2</v>
      </c>
      <c r="G17" s="308">
        <v>2.5000000000000001E-2</v>
      </c>
      <c r="H17" s="308">
        <v>2.5000000000000001E-2</v>
      </c>
      <c r="I17" s="308">
        <v>2.5999999999999999E-2</v>
      </c>
    </row>
    <row r="18" spans="1:9" x14ac:dyDescent="0.3">
      <c r="A18" t="s">
        <v>342</v>
      </c>
      <c r="B18" s="65"/>
      <c r="C18" s="65">
        <f>AVERAGE(INDEX('5 Adj NOA'!$1:$290,MATCH($A18,'5 Adj NOA'!$A:$A,0),MATCH(C$3,'5 Adj NOA'!$3:$3,0)),INDEX('5 Adj NOA'!$1:$290,MATCH($A18,'5 Adj NOA'!$A:$A,0),MATCH(B$3,'5 Adj NOA'!$3:$3,0)))/(C$9*52/C$6)</f>
        <v>7.165445430003857E-2</v>
      </c>
      <c r="D18" s="65">
        <f>AVERAGE(INDEX('5 Adj NOA'!$1:$290,MATCH($A18,'5 Adj NOA'!$A:$A,0),MATCH(D$3,'5 Adj NOA'!$3:$3,0)),INDEX('5 Adj NOA'!$1:$290,MATCH($A18,'5 Adj NOA'!$A:$A,0),MATCH(C$3,'5 Adj NOA'!$3:$3,0)))/(D$9*52/D$6)</f>
        <v>7.0289404076552042E-2</v>
      </c>
      <c r="E18" s="65">
        <f>AVERAGE(INDEX('5 Adj NOA'!$1:$290,MATCH($A18,'5 Adj NOA'!$A:$A,0),MATCH(E$3,'5 Adj NOA'!$3:$3,0)),INDEX('5 Adj NOA'!$1:$290,MATCH($A18,'5 Adj NOA'!$A:$A,0),MATCH(D$3,'5 Adj NOA'!$3:$3,0)))/(E$9*52/E$6)</f>
        <v>6.9203513693068583E-2</v>
      </c>
      <c r="F18" s="306">
        <f>INDEX('5 Adj NOA'!$1:$288,MATCH($A18,'5 Adj NOA'!$A:$A,0),MATCH(E$3,'5 Adj NOA'!$3:$3,0))/(F$9*52/F$6)</f>
        <v>7.2122481294277591E-2</v>
      </c>
      <c r="G18" s="308">
        <v>7.2999999999999995E-2</v>
      </c>
      <c r="H18" s="308">
        <f>+G18</f>
        <v>7.2999999999999995E-2</v>
      </c>
      <c r="I18" s="308">
        <v>7.4999999999999997E-2</v>
      </c>
    </row>
    <row r="19" spans="1:9" x14ac:dyDescent="0.3">
      <c r="A19" t="s">
        <v>22</v>
      </c>
      <c r="B19" s="65"/>
      <c r="C19" s="65">
        <f>AVERAGE(INDEX('5 Adj NOA'!$1:$290,MATCH($A19,'5 Adj NOA'!$A:$A,0),MATCH(C$3,'5 Adj NOA'!$3:$3,0)),INDEX('5 Adj NOA'!$1:$290,MATCH($A19,'5 Adj NOA'!$A:$A,0),MATCH(B$3,'5 Adj NOA'!$3:$3,0)))/(C$9*52/C$6)</f>
        <v>1.3690705746239876E-2</v>
      </c>
      <c r="D19" s="65">
        <f>AVERAGE(INDEX('5 Adj NOA'!$1:$290,MATCH($A19,'5 Adj NOA'!$A:$A,0),MATCH(D$3,'5 Adj NOA'!$3:$3,0)),INDEX('5 Adj NOA'!$1:$290,MATCH($A19,'5 Adj NOA'!$A:$A,0),MATCH(C$3,'5 Adj NOA'!$3:$3,0)))/(D$9*52/D$6)</f>
        <v>1.3225455111249416E-2</v>
      </c>
      <c r="E19" s="65">
        <f>AVERAGE(INDEX('5 Adj NOA'!$1:$290,MATCH($A19,'5 Adj NOA'!$A:$A,0),MATCH(E$3,'5 Adj NOA'!$3:$3,0)),INDEX('5 Adj NOA'!$1:$290,MATCH($A19,'5 Adj NOA'!$A:$A,0),MATCH(D$3,'5 Adj NOA'!$3:$3,0)))/(E$9*52/E$6)</f>
        <v>1.0334391378164907E-2</v>
      </c>
      <c r="F19" s="306">
        <f>INDEX('5 Adj NOA'!$1:$288,MATCH($A19,'5 Adj NOA'!$A:$A,0),MATCH(E$3,'5 Adj NOA'!$3:$3,0))/(F$9*52/F$6)</f>
        <v>9.5338496968217588E-3</v>
      </c>
      <c r="G19" s="308">
        <v>1.4999999999999999E-2</v>
      </c>
      <c r="H19" s="308">
        <f t="shared" ref="H19:I24" si="4">+G19</f>
        <v>1.4999999999999999E-2</v>
      </c>
      <c r="I19" s="308">
        <f t="shared" si="4"/>
        <v>1.4999999999999999E-2</v>
      </c>
    </row>
    <row r="20" spans="1:9" x14ac:dyDescent="0.3">
      <c r="A20" t="s">
        <v>343</v>
      </c>
      <c r="B20" s="65"/>
      <c r="C20" s="65">
        <f>AVERAGE(INDEX('5 Adj NOA'!$1:$290,MATCH($A20,'5 Adj NOA'!$A:$A,0),MATCH(C$3,'5 Adj NOA'!$3:$3,0)),INDEX('5 Adj NOA'!$1:$290,MATCH($A20,'5 Adj NOA'!$A:$A,0),MATCH(B$3,'5 Adj NOA'!$3:$3,0)))/(C$9*52/C$6)</f>
        <v>1.0528345545699961E-2</v>
      </c>
      <c r="D20" s="65">
        <f>AVERAGE(INDEX('5 Adj NOA'!$1:$290,MATCH($A20,'5 Adj NOA'!$A:$A,0),MATCH(D$3,'5 Adj NOA'!$3:$3,0)),INDEX('5 Adj NOA'!$1:$290,MATCH($A20,'5 Adj NOA'!$A:$A,0),MATCH(C$3,'5 Adj NOA'!$3:$3,0)))/(D$9*52/D$6)</f>
        <v>9.4134121674187016E-3</v>
      </c>
      <c r="E20" s="65">
        <f>AVERAGE(INDEX('5 Adj NOA'!$1:$290,MATCH($A20,'5 Adj NOA'!$A:$A,0),MATCH(E$3,'5 Adj NOA'!$3:$3,0)),INDEX('5 Adj NOA'!$1:$290,MATCH($A20,'5 Adj NOA'!$A:$A,0),MATCH(D$3,'5 Adj NOA'!$3:$3,0)))/(E$9*52/E$6)</f>
        <v>8.5258728869860492E-3</v>
      </c>
      <c r="F20" s="306">
        <f>INDEX('5 Adj NOA'!$1:$288,MATCH($A20,'5 Adj NOA'!$A:$A,0),MATCH(E$3,'5 Adj NOA'!$3:$3,0))/(F$9*52/F$6)</f>
        <v>8.7332974322031388E-3</v>
      </c>
      <c r="G20" s="308">
        <f>'5 Adj NOA'!$F$13/'7 F-ATO'!G9</f>
        <v>8.5982472719329118E-3</v>
      </c>
      <c r="H20" s="308">
        <f>'5 Adj NOA'!$F$13/'7 F-ATO'!H9</f>
        <v>8.4532389778004674E-3</v>
      </c>
      <c r="I20" s="308">
        <f>'5 Adj NOA'!$F$13/'7 F-ATO'!I9</f>
        <v>8.3119360647005563E-3</v>
      </c>
    </row>
    <row r="21" spans="1:9" x14ac:dyDescent="0.3">
      <c r="A21" t="s">
        <v>344</v>
      </c>
      <c r="B21" s="65"/>
      <c r="C21" s="65">
        <f>AVERAGE(INDEX('5 Adj NOA'!$1:$290,MATCH($A21,'5 Adj NOA'!$A:$A,0),MATCH(C$3,'5 Adj NOA'!$3:$3,0)),INDEX('5 Adj NOA'!$1:$290,MATCH($A21,'5 Adj NOA'!$A:$A,0),MATCH(B$3,'5 Adj NOA'!$3:$3,0)))/(C$9*52/C$6)</f>
        <v>0.15796374855379869</v>
      </c>
      <c r="D21" s="65">
        <f>AVERAGE(INDEX('5 Adj NOA'!$1:$290,MATCH($A21,'5 Adj NOA'!$A:$A,0),MATCH(D$3,'5 Adj NOA'!$3:$3,0)),INDEX('5 Adj NOA'!$1:$290,MATCH($A21,'5 Adj NOA'!$A:$A,0),MATCH(C$3,'5 Adj NOA'!$3:$3,0)))/(D$9*52/D$6)</f>
        <v>0.16415123696903688</v>
      </c>
      <c r="E21" s="65">
        <f>AVERAGE(INDEX('5 Adj NOA'!$1:$290,MATCH($A21,'5 Adj NOA'!$A:$A,0),MATCH(E$3,'5 Adj NOA'!$3:$3,0)),INDEX('5 Adj NOA'!$1:$290,MATCH($A21,'5 Adj NOA'!$A:$A,0),MATCH(D$3,'5 Adj NOA'!$3:$3,0)))/(E$9*52/E$6)</f>
        <v>0.15726729165128811</v>
      </c>
      <c r="F21" s="306">
        <f>INDEX('5 Adj NOA'!$1:$288,MATCH($A21,'5 Adj NOA'!$A:$A,0),MATCH(E$3,'5 Adj NOA'!$3:$3,0))/(F$9*52/F$6)</f>
        <v>0.1499943833980889</v>
      </c>
      <c r="G21" s="308">
        <v>0.16</v>
      </c>
      <c r="H21" s="308">
        <f t="shared" si="4"/>
        <v>0.16</v>
      </c>
      <c r="I21" s="308">
        <f t="shared" si="4"/>
        <v>0.16</v>
      </c>
    </row>
    <row r="22" spans="1:9" x14ac:dyDescent="0.3">
      <c r="A22" t="s">
        <v>345</v>
      </c>
      <c r="B22" s="65"/>
      <c r="C22" s="65">
        <f>AVERAGE(INDEX('5 Adj NOA'!$1:$290,MATCH($A22,'5 Adj NOA'!$A:$A,0),MATCH(C$3,'5 Adj NOA'!$3:$3,0)),INDEX('5 Adj NOA'!$1:$290,MATCH($A22,'5 Adj NOA'!$A:$A,0),MATCH(B$3,'5 Adj NOA'!$3:$3,0)))/(C$9*52/C$6)</f>
        <v>0.43436174315464715</v>
      </c>
      <c r="D22" s="65">
        <f>AVERAGE(INDEX('5 Adj NOA'!$1:$290,MATCH($A22,'5 Adj NOA'!$A:$A,0),MATCH(D$3,'5 Adj NOA'!$3:$3,0)),INDEX('5 Adj NOA'!$1:$290,MATCH($A22,'5 Adj NOA'!$A:$A,0),MATCH(C$3,'5 Adj NOA'!$3:$3,0)))/(D$9*52/D$6)</f>
        <v>0.45371090711062706</v>
      </c>
      <c r="E22" s="65">
        <f>AVERAGE(INDEX('5 Adj NOA'!$1:$290,MATCH($A22,'5 Adj NOA'!$A:$A,0),MATCH(E$3,'5 Adj NOA'!$3:$3,0)),INDEX('5 Adj NOA'!$1:$290,MATCH($A22,'5 Adj NOA'!$A:$A,0),MATCH(D$3,'5 Adj NOA'!$3:$3,0)))/(E$9*52/E$6)</f>
        <v>0.44249649368863953</v>
      </c>
      <c r="F22" s="306">
        <f>INDEX('5 Adj NOA'!$1:$288,MATCH($A22,'5 Adj NOA'!$A:$A,0),MATCH(E$3,'5 Adj NOA'!$3:$3,0))/(F$9*52/F$6)</f>
        <v>0.43455432473070782</v>
      </c>
      <c r="G22" s="308">
        <v>0.45</v>
      </c>
      <c r="H22" s="308">
        <f t="shared" si="4"/>
        <v>0.45</v>
      </c>
      <c r="I22" s="308">
        <f t="shared" si="4"/>
        <v>0.45</v>
      </c>
    </row>
    <row r="23" spans="1:9" x14ac:dyDescent="0.3">
      <c r="A23" t="s">
        <v>346</v>
      </c>
      <c r="B23" s="65"/>
      <c r="C23" s="65">
        <f>AVERAGE(INDEX('5 Adj NOA'!$1:$290,MATCH($A23,'5 Adj NOA'!$A:$A,0),MATCH(C$3,'5 Adj NOA'!$3:$3,0)),INDEX('5 Adj NOA'!$1:$290,MATCH($A23,'5 Adj NOA'!$A:$A,0),MATCH(B$3,'5 Adj NOA'!$3:$3,0)))/(C$9*52/C$6)</f>
        <v>2.6764365599691475E-2</v>
      </c>
      <c r="D23" s="65">
        <f>AVERAGE(INDEX('5 Adj NOA'!$1:$290,MATCH($A23,'5 Adj NOA'!$A:$A,0),MATCH(D$3,'5 Adj NOA'!$3:$3,0)),INDEX('5 Adj NOA'!$1:$290,MATCH($A23,'5 Adj NOA'!$A:$A,0),MATCH(C$3,'5 Adj NOA'!$3:$3,0)))/(D$9*52/D$6)</f>
        <v>2.9912867589855299E-2</v>
      </c>
      <c r="E23" s="65">
        <f>AVERAGE(INDEX('5 Adj NOA'!$1:$290,MATCH($A23,'5 Adj NOA'!$A:$A,0),MATCH(E$3,'5 Adj NOA'!$3:$3,0)),INDEX('5 Adj NOA'!$1:$290,MATCH($A23,'5 Adj NOA'!$A:$A,0),MATCH(D$3,'5 Adj NOA'!$3:$3,0)))/(E$9*52/E$6)</f>
        <v>3.1040082675131024E-2</v>
      </c>
      <c r="F23" s="306">
        <f>INDEX('5 Adj NOA'!$1:$288,MATCH($A23,'5 Adj NOA'!$A:$A,0),MATCH(E$3,'5 Adj NOA'!$3:$3,0))/(F$9*52/F$6)</f>
        <v>3.1876535627541454E-2</v>
      </c>
      <c r="G23" s="308">
        <v>3.3000000000000002E-2</v>
      </c>
      <c r="H23" s="308">
        <f t="shared" si="4"/>
        <v>3.3000000000000002E-2</v>
      </c>
      <c r="I23" s="308">
        <f t="shared" si="4"/>
        <v>3.3000000000000002E-2</v>
      </c>
    </row>
    <row r="24" spans="1:9" x14ac:dyDescent="0.3">
      <c r="A24" t="s">
        <v>347</v>
      </c>
      <c r="B24" s="65"/>
      <c r="C24" s="65">
        <f>AVERAGE(INDEX('5 Adj NOA'!$1:$290,MATCH($A24,'5 Adj NOA'!$A:$A,0),MATCH(C$3,'5 Adj NOA'!$3:$3,0)),INDEX('5 Adj NOA'!$1:$290,MATCH($A24,'5 Adj NOA'!$A:$A,0),MATCH(B$3,'5 Adj NOA'!$3:$3,0)))/(C$9*52/C$6)</f>
        <v>5.3220208252988815E-2</v>
      </c>
      <c r="D24" s="65">
        <f>AVERAGE(INDEX('5 Adj NOA'!$1:$290,MATCH($A24,'5 Adj NOA'!$A:$A,0),MATCH(D$3,'5 Adj NOA'!$3:$3,0)),INDEX('5 Adj NOA'!$1:$290,MATCH($A24,'5 Adj NOA'!$A:$A,0),MATCH(C$3,'5 Adj NOA'!$3:$3,0)))/(D$9*52/D$6)</f>
        <v>5.1345884549556561E-2</v>
      </c>
      <c r="E24" s="65">
        <f>AVERAGE(INDEX('5 Adj NOA'!$1:$290,MATCH($A24,'5 Adj NOA'!$A:$A,0),MATCH(E$3,'5 Adj NOA'!$3:$3,0)),INDEX('5 Adj NOA'!$1:$290,MATCH($A24,'5 Adj NOA'!$A:$A,0),MATCH(D$3,'5 Adj NOA'!$3:$3,0)))/(E$9*52/E$6)</f>
        <v>4.4917693954381041E-2</v>
      </c>
      <c r="F24" s="306">
        <f>INDEX('5 Adj NOA'!$1:$288,MATCH($A24,'5 Adj NOA'!$A:$A,0),MATCH(E$3,'5 Adj NOA'!$3:$3,0))/(F$9*52/F$6)</f>
        <v>4.2429270024786914E-2</v>
      </c>
      <c r="G24" s="308">
        <v>0.05</v>
      </c>
      <c r="H24" s="308">
        <f t="shared" si="4"/>
        <v>0.05</v>
      </c>
      <c r="I24" s="308">
        <f t="shared" si="4"/>
        <v>0.05</v>
      </c>
    </row>
    <row r="25" spans="1:9" x14ac:dyDescent="0.3">
      <c r="A25" t="s">
        <v>348</v>
      </c>
      <c r="B25" s="65"/>
      <c r="C25" s="65">
        <f>AVERAGE(INDEX('5 Adj NOA'!$1:$290,MATCH($A25,'5 Adj NOA'!$A:$A,0),MATCH(C$3,'5 Adj NOA'!$3:$3,0)),INDEX('5 Adj NOA'!$1:$290,MATCH($A25,'5 Adj NOA'!$A:$A,0),MATCH(B$3,'5 Adj NOA'!$3:$3,0)))/(C$9*52/C$6)</f>
        <v>-0.40555341303509451</v>
      </c>
      <c r="D25" s="65">
        <f>AVERAGE(INDEX('5 Adj NOA'!$1:$290,MATCH($A25,'5 Adj NOA'!$A:$A,0),MATCH(D$3,'5 Adj NOA'!$3:$3,0)),INDEX('5 Adj NOA'!$1:$290,MATCH($A25,'5 Adj NOA'!$A:$A,0),MATCH(C$3,'5 Adj NOA'!$3:$3,0)))/(D$9*52/D$6)</f>
        <v>-0.42515948342928273</v>
      </c>
      <c r="E25" s="65">
        <f>AVERAGE(INDEX('5 Adj NOA'!$1:$290,MATCH($A25,'5 Adj NOA'!$A:$A,0),MATCH(E$3,'5 Adj NOA'!$3:$3,0)),INDEX('5 Adj NOA'!$1:$290,MATCH($A25,'5 Adj NOA'!$A:$A,0),MATCH(D$3,'5 Adj NOA'!$3:$3,0)))/(E$9*52/E$6)</f>
        <v>-0.40938953273787554</v>
      </c>
      <c r="F25" s="306">
        <f>INDEX('5 Adj NOA'!$1:$288,MATCH($A25,'5 Adj NOA'!$A:$A,0),MATCH(E$3,'5 Adj NOA'!$3:$3,0))/(F$9*52/F$6)</f>
        <v>-0.39605503855041235</v>
      </c>
      <c r="G25" s="308">
        <v>-0.4</v>
      </c>
      <c r="H25" s="308">
        <f>+G25</f>
        <v>-0.4</v>
      </c>
      <c r="I25" s="308">
        <f t="shared" ref="I25" si="5">+H25</f>
        <v>-0.4</v>
      </c>
    </row>
    <row r="26" spans="1:9" x14ac:dyDescent="0.3">
      <c r="A26" t="s">
        <v>77</v>
      </c>
      <c r="B26" s="65"/>
      <c r="C26" s="65">
        <f>AVERAGE(INDEX('5 Adj NOA'!$1:$290,MATCH($A26,'5 Adj NOA'!$A:$A,0),MATCH(C$3,'5 Adj NOA'!$3:$3,0)),INDEX('5 Adj NOA'!$1:$290,MATCH($A26,'5 Adj NOA'!$A:$A,0),MATCH(B$3,'5 Adj NOA'!$3:$3,0)))/(C$9*52/C$6)</f>
        <v>4.0570767450829152E-2</v>
      </c>
      <c r="D26" s="65">
        <f>AVERAGE(INDEX('5 Adj NOA'!$1:$290,MATCH($A26,'5 Adj NOA'!$A:$A,0),MATCH(D$3,'5 Adj NOA'!$3:$3,0)),INDEX('5 Adj NOA'!$1:$290,MATCH($A26,'5 Adj NOA'!$A:$A,0),MATCH(C$3,'5 Adj NOA'!$3:$3,0)))/(D$9*52/D$6)</f>
        <v>3.7925937451377005E-2</v>
      </c>
      <c r="E26" s="65">
        <f>AVERAGE(INDEX('5 Adj NOA'!$1:$290,MATCH($A26,'5 Adj NOA'!$A:$A,0),MATCH(E$3,'5 Adj NOA'!$3:$3,0)),INDEX('5 Adj NOA'!$1:$290,MATCH($A26,'5 Adj NOA'!$A:$A,0),MATCH(D$3,'5 Adj NOA'!$3:$3,0)))/(E$9*52/E$6)</f>
        <v>3.3143869491400309E-2</v>
      </c>
      <c r="F26" s="306">
        <f>INDEX('5 Adj NOA'!$1:$288,MATCH($A26,'5 Adj NOA'!$A:$A,0),MATCH(E$3,'5 Adj NOA'!$3:$3,0))/(F$9*52/F$6)</f>
        <v>3.478763477160917E-2</v>
      </c>
      <c r="G26" s="308">
        <v>3.6999999999999998E-2</v>
      </c>
      <c r="H26" s="308">
        <f>+G26</f>
        <v>3.6999999999999998E-2</v>
      </c>
      <c r="I26" s="308">
        <f>+H26</f>
        <v>3.6999999999999998E-2</v>
      </c>
    </row>
    <row r="27" spans="1:9" x14ac:dyDescent="0.3">
      <c r="A27" t="s">
        <v>349</v>
      </c>
      <c r="B27" s="65"/>
      <c r="C27" s="65">
        <f>AVERAGE(INDEX('5 Adj NOA'!$1:$290,MATCH($A27,'5 Adj NOA'!$A:$A,0),MATCH(C$3,'5 Adj NOA'!$3:$3,0)),INDEX('5 Adj NOA'!$1:$290,MATCH($A27,'5 Adj NOA'!$A:$A,0),MATCH(B$3,'5 Adj NOA'!$3:$3,0)))/(C$9*52/C$6)</f>
        <v>1.0104126494408021E-2</v>
      </c>
      <c r="D27" s="65">
        <f>AVERAGE(INDEX('5 Adj NOA'!$1:$290,MATCH($A27,'5 Adj NOA'!$A:$A,0),MATCH(D$3,'5 Adj NOA'!$3:$3,0)),INDEX('5 Adj NOA'!$1:$290,MATCH($A27,'5 Adj NOA'!$A:$A,0),MATCH(C$3,'5 Adj NOA'!$3:$3,0)))/(D$9*52/D$6)</f>
        <v>1.0191380115139256E-2</v>
      </c>
      <c r="E27" s="65">
        <f>AVERAGE(INDEX('5 Adj NOA'!$1:$290,MATCH($A27,'5 Adj NOA'!$A:$A,0),MATCH(E$3,'5 Adj NOA'!$3:$3,0)),INDEX('5 Adj NOA'!$1:$290,MATCH($A27,'5 Adj NOA'!$A:$A,0),MATCH(D$3,'5 Adj NOA'!$3:$3,0)))/(E$9*52/E$6)</f>
        <v>9.6700376467114494E-3</v>
      </c>
      <c r="F27" s="306">
        <f>INDEX('5 Adj NOA'!$1:$288,MATCH($A27,'5 Adj NOA'!$A:$A,0),MATCH(E$3,'5 Adj NOA'!$3:$3,0))/(F$9*52/F$6)</f>
        <v>9.5338496968217588E-3</v>
      </c>
      <c r="G27" s="308">
        <v>0.01</v>
      </c>
      <c r="H27" s="308">
        <f>+G27</f>
        <v>0.01</v>
      </c>
      <c r="I27" s="308">
        <f t="shared" ref="I27" si="6">+H27</f>
        <v>0.01</v>
      </c>
    </row>
    <row r="28" spans="1:9" x14ac:dyDescent="0.3">
      <c r="A28" t="s">
        <v>350</v>
      </c>
      <c r="B28" s="65"/>
      <c r="C28" s="65">
        <f>AVERAGE(INDEX('5 Adj NOA'!$1:$290,MATCH($A28,'5 Adj NOA'!$A:$A,0),MATCH(C$3,'5 Adj NOA'!$3:$3,0)),INDEX('5 Adj NOA'!$1:$290,MATCH($A28,'5 Adj NOA'!$A:$A,0),MATCH(B$3,'5 Adj NOA'!$3:$3,0)))/(C$9*52/C$6)</f>
        <v>0.27520246818357114</v>
      </c>
      <c r="D28" s="65">
        <f>AVERAGE(INDEX('5 Adj NOA'!$1:$290,MATCH($A28,'5 Adj NOA'!$A:$A,0),MATCH(D$3,'5 Adj NOA'!$3:$3,0)),INDEX('5 Adj NOA'!$1:$290,MATCH($A28,'5 Adj NOA'!$A:$A,0),MATCH(C$3,'5 Adj NOA'!$3:$3,0)))/(D$9*52/D$6)</f>
        <v>0.27757896374669366</v>
      </c>
      <c r="E28" s="65">
        <f>AVERAGE(INDEX('5 Adj NOA'!$1:$290,MATCH($A28,'5 Adj NOA'!$A:$A,0),MATCH(E$3,'5 Adj NOA'!$3:$3,0)),INDEX('5 Adj NOA'!$1:$290,MATCH($A28,'5 Adj NOA'!$A:$A,0),MATCH(D$3,'5 Adj NOA'!$3:$3,0)))/(E$9*52/E$6)</f>
        <v>0.26337934598065993</v>
      </c>
      <c r="F28" s="306">
        <f>INDEX('5 Adj NOA'!$1:$288,MATCH($A28,'5 Adj NOA'!$A:$A,0),MATCH(E$3,'5 Adj NOA'!$3:$3,0))/(F$9*52/F$6)</f>
        <v>0.25967004365083995</v>
      </c>
      <c r="G28" s="308">
        <v>0.27</v>
      </c>
      <c r="H28" s="308">
        <f>+G28</f>
        <v>0.27</v>
      </c>
      <c r="I28" s="308">
        <f t="shared" ref="I28" si="7">+H28</f>
        <v>0.27</v>
      </c>
    </row>
    <row r="29" spans="1:9" x14ac:dyDescent="0.3">
      <c r="A29" t="s">
        <v>351</v>
      </c>
      <c r="B29" s="65"/>
      <c r="C29" s="65">
        <f>AVERAGE(INDEX('5 Adj NOA'!$1:$290,MATCH($A29,'5 Adj NOA'!$A:$A,0),MATCH(C$3,'5 Adj NOA'!$3:$3,0)),INDEX('5 Adj NOA'!$1:$290,MATCH($A29,'5 Adj NOA'!$A:$A,0),MATCH(B$3,'5 Adj NOA'!$3:$3,0)))/(C$9*52/C$6)</f>
        <v>6.3247204010798306E-3</v>
      </c>
      <c r="D29" s="65">
        <f>AVERAGE(INDEX('5 Adj NOA'!$1:$290,MATCH($A29,'5 Adj NOA'!$A:$A,0),MATCH(D$3,'5 Adj NOA'!$3:$3,0)),INDEX('5 Adj NOA'!$1:$290,MATCH($A29,'5 Adj NOA'!$A:$A,0),MATCH(C$3,'5 Adj NOA'!$3:$3,0)))/(D$9*52/D$6)</f>
        <v>6.3793371713085417E-3</v>
      </c>
      <c r="E29" s="65">
        <f>AVERAGE(INDEX('5 Adj NOA'!$1:$290,MATCH($A29,'5 Adj NOA'!$A:$A,0),MATCH(E$3,'5 Adj NOA'!$3:$3,0)),INDEX('5 Adj NOA'!$1:$290,MATCH($A29,'5 Adj NOA'!$A:$A,0),MATCH(D$3,'5 Adj NOA'!$3:$3,0)))/(E$9*52/E$6)</f>
        <v>6.0530006643537311E-3</v>
      </c>
      <c r="F29" s="306">
        <f>INDEX('5 Adj NOA'!$1:$288,MATCH($A29,'5 Adj NOA'!$A:$A,0),MATCH(E$3,'5 Adj NOA'!$3:$3,0))/(F$9*52/F$6)</f>
        <v>5.967753245338811E-3</v>
      </c>
      <c r="G29" s="308">
        <v>6.0000000000000001E-3</v>
      </c>
      <c r="H29" s="308">
        <f>+G29</f>
        <v>6.0000000000000001E-3</v>
      </c>
      <c r="I29" s="308">
        <f t="shared" ref="I29" si="8">+H29</f>
        <v>6.0000000000000001E-3</v>
      </c>
    </row>
    <row r="30" spans="1:9" x14ac:dyDescent="0.3">
      <c r="A30" t="s">
        <v>352</v>
      </c>
      <c r="B30" s="65"/>
      <c r="C30" s="65">
        <f>AVERAGE(INDEX('5 Adj NOA'!$1:$290,MATCH($A30,'5 Adj NOA'!$A:$A,0),MATCH(C$3,'5 Adj NOA'!$3:$3,0)),INDEX('5 Adj NOA'!$1:$290,MATCH($A30,'5 Adj NOA'!$A:$A,0),MATCH(B$3,'5 Adj NOA'!$3:$3,0)))/(C$9*52/C$6)</f>
        <v>3.5210181257231007E-2</v>
      </c>
      <c r="D30" s="65">
        <f>AVERAGE(INDEX('5 Adj NOA'!$1:$290,MATCH($A30,'5 Adj NOA'!$A:$A,0),MATCH(D$3,'5 Adj NOA'!$3:$3,0)),INDEX('5 Adj NOA'!$1:$290,MATCH($A30,'5 Adj NOA'!$A:$A,0),MATCH(C$3,'5 Adj NOA'!$3:$3,0)))/(D$9*52/D$6)</f>
        <v>5.0295627820133811E-2</v>
      </c>
      <c r="E30" s="65">
        <f>AVERAGE(INDEX('5 Adj NOA'!$1:$290,MATCH($A30,'5 Adj NOA'!$A:$A,0),MATCH(E$3,'5 Adj NOA'!$3:$3,0)),INDEX('5 Adj NOA'!$1:$290,MATCH($A30,'5 Adj NOA'!$A:$A,0),MATCH(D$3,'5 Adj NOA'!$3:$3,0)))/(E$9*52/E$6)</f>
        <v>6.1489628700081199E-2</v>
      </c>
      <c r="F30" s="306">
        <f>INDEX('5 Adj NOA'!$1:$288,MATCH($A30,'5 Adj NOA'!$A:$A,0),MATCH(E$3,'5 Adj NOA'!$3:$3,0))/(F$9*52/F$6)</f>
        <v>6.0405307239405043E-2</v>
      </c>
      <c r="G30" s="308">
        <v>6.5000000000000002E-2</v>
      </c>
      <c r="H30" s="308">
        <v>7.0000000000000007E-2</v>
      </c>
      <c r="I30" s="308">
        <f>+H30</f>
        <v>7.0000000000000007E-2</v>
      </c>
    </row>
    <row r="31" spans="1:9" x14ac:dyDescent="0.3">
      <c r="A31" t="s">
        <v>353</v>
      </c>
      <c r="B31" s="65"/>
      <c r="C31" s="65">
        <f>AVERAGE(INDEX('5 Adj NOA'!$1:$290,MATCH($A31,'5 Adj NOA'!$A:$A,0),MATCH(C$3,'5 Adj NOA'!$3:$3,0)),INDEX('5 Adj NOA'!$1:$290,MATCH($A31,'5 Adj NOA'!$A:$A,0),MATCH(B$3,'5 Adj NOA'!$3:$3,0)))/(C$9*52/C$6)</f>
        <v>3.1122252217508677E-2</v>
      </c>
      <c r="D31" s="65">
        <f>AVERAGE(INDEX('5 Adj NOA'!$1:$290,MATCH($A31,'5 Adj NOA'!$A:$A,0),MATCH(D$3,'5 Adj NOA'!$3:$3,0)),INDEX('5 Adj NOA'!$1:$290,MATCH($A31,'5 Adj NOA'!$A:$A,0),MATCH(C$3,'5 Adj NOA'!$3:$3,0)))/(D$9*52/D$6)</f>
        <v>3.0729733934961881E-2</v>
      </c>
      <c r="E31" s="65">
        <f>AVERAGE(INDEX('5 Adj NOA'!$1:$290,MATCH($A31,'5 Adj NOA'!$A:$A,0),MATCH(E$3,'5 Adj NOA'!$3:$3,0)),INDEX('5 Adj NOA'!$1:$290,MATCH($A31,'5 Adj NOA'!$A:$A,0),MATCH(D$3,'5 Adj NOA'!$3:$3,0)))/(E$9*52/E$6)</f>
        <v>2.9748283752860413E-2</v>
      </c>
      <c r="F31" s="306">
        <f>INDEX('5 Adj NOA'!$1:$288,MATCH($A31,'5 Adj NOA'!$A:$A,0),MATCH(E$3,'5 Adj NOA'!$3:$3,0))/(F$9*52/F$6)</f>
        <v>2.8528771611863585E-2</v>
      </c>
      <c r="G31" s="308">
        <v>3.2000000000000001E-2</v>
      </c>
      <c r="H31" s="308">
        <f t="shared" ref="H31:I31" si="9">+G31</f>
        <v>3.2000000000000001E-2</v>
      </c>
      <c r="I31" s="308">
        <f t="shared" si="9"/>
        <v>3.2000000000000001E-2</v>
      </c>
    </row>
    <row r="32" spans="1:9" x14ac:dyDescent="0.3">
      <c r="A32" t="s">
        <v>354</v>
      </c>
      <c r="B32" s="65"/>
      <c r="C32" s="65">
        <f>AVERAGE(INDEX('5 Adj NOA'!$1:$290,MATCH($A32,'5 Adj NOA'!$A:$A,0),MATCH(C$3,'5 Adj NOA'!$3:$3,0)),INDEX('5 Adj NOA'!$1:$290,MATCH($A32,'5 Adj NOA'!$A:$A,0),MATCH(B$3,'5 Adj NOA'!$3:$3,0)))/(C$9*52/C$6)</f>
        <v>1.5580408792903972E-2</v>
      </c>
      <c r="D32" s="65">
        <f>AVERAGE(INDEX('5 Adj NOA'!$1:$290,MATCH($A32,'5 Adj NOA'!$A:$A,0),MATCH(D$3,'5 Adj NOA'!$3:$3,0)),INDEX('5 Adj NOA'!$1:$290,MATCH($A32,'5 Adj NOA'!$A:$A,0),MATCH(C$3,'5 Adj NOA'!$3:$3,0)))/(D$9*52/D$6)</f>
        <v>2.224988330480784E-2</v>
      </c>
      <c r="E32" s="65">
        <f>AVERAGE(INDEX('5 Adj NOA'!$1:$290,MATCH($A32,'5 Adj NOA'!$A:$A,0),MATCH(E$3,'5 Adj NOA'!$3:$3,0)),INDEX('5 Adj NOA'!$1:$290,MATCH($A32,'5 Adj NOA'!$A:$A,0),MATCH(D$3,'5 Adj NOA'!$3:$3,0)))/(E$9*52/E$6)</f>
        <v>1.7051745773972098E-2</v>
      </c>
      <c r="F32" s="306">
        <f>INDEX('5 Adj NOA'!$1:$288,MATCH($A32,'5 Adj NOA'!$A:$A,0),MATCH(E$3,'5 Adj NOA'!$3:$3,0))/(F$9*52/F$6)</f>
        <v>1.5865490335169034E-2</v>
      </c>
      <c r="G32" s="308">
        <v>1.7999999999999999E-2</v>
      </c>
      <c r="H32" s="308">
        <v>0.02</v>
      </c>
      <c r="I32" s="308">
        <f>+H32</f>
        <v>0.02</v>
      </c>
    </row>
    <row r="33" spans="1:9" x14ac:dyDescent="0.3">
      <c r="A33" t="s">
        <v>355</v>
      </c>
      <c r="B33" s="65"/>
      <c r="C33" s="65">
        <f>AVERAGE(INDEX('5 Adj NOA'!$1:$290,MATCH($A33,'5 Adj NOA'!$A:$A,0),MATCH(C$3,'5 Adj NOA'!$3:$3,0)),INDEX('5 Adj NOA'!$1:$290,MATCH($A33,'5 Adj NOA'!$A:$A,0),MATCH(B$3,'5 Adj NOA'!$3:$3,0)))/(C$9*52/C$6)</f>
        <v>1.7277284998071733E-2</v>
      </c>
      <c r="D33" s="65">
        <f>AVERAGE(INDEX('5 Adj NOA'!$1:$290,MATCH($A33,'5 Adj NOA'!$A:$A,0),MATCH(D$3,'5 Adj NOA'!$3:$3,0)),INDEX('5 Adj NOA'!$1:$290,MATCH($A33,'5 Adj NOA'!$A:$A,0),MATCH(C$3,'5 Adj NOA'!$3:$3,0)))/(D$9*52/D$6)</f>
        <v>1.7620974015870546E-2</v>
      </c>
      <c r="E33" s="65">
        <f>AVERAGE(INDEX('5 Adj NOA'!$1:$290,MATCH($A33,'5 Adj NOA'!$A:$A,0),MATCH(E$3,'5 Adj NOA'!$3:$3,0)),INDEX('5 Adj NOA'!$1:$290,MATCH($A33,'5 Adj NOA'!$A:$A,0),MATCH(D$3,'5 Adj NOA'!$3:$3,0)))/(E$9*52/E$6)</f>
        <v>3.9049235993208829E-2</v>
      </c>
      <c r="F33" s="306">
        <f>INDEX('5 Adj NOA'!$1:$288,MATCH($A33,'5 Adj NOA'!$A:$A,0),MATCH(E$3,'5 Adj NOA'!$3:$3,0))/(F$9*52/F$6)</f>
        <v>6.0332529760803347E-2</v>
      </c>
      <c r="G33" s="308">
        <v>0.06</v>
      </c>
      <c r="H33" s="308">
        <f>+G33</f>
        <v>0.06</v>
      </c>
      <c r="I33" s="308">
        <v>6.5000000000000002E-2</v>
      </c>
    </row>
    <row r="34" spans="1:9" x14ac:dyDescent="0.3">
      <c r="A34" t="s">
        <v>356</v>
      </c>
      <c r="B34" s="65"/>
      <c r="C34" s="65">
        <f>AVERAGE(INDEX('5 Adj NOA'!$1:$290,MATCH($A34,'5 Adj NOA'!$A:$A,0),MATCH(C$3,'5 Adj NOA'!$3:$3,0)),INDEX('5 Adj NOA'!$1:$290,MATCH($A34,'5 Adj NOA'!$A:$A,0),MATCH(B$3,'5 Adj NOA'!$3:$3,0)))/(C$9*52/C$6)</f>
        <v>6.1704589278827613E-4</v>
      </c>
      <c r="D34" s="65">
        <f>AVERAGE(INDEX('5 Adj NOA'!$1:$290,MATCH($A34,'5 Adj NOA'!$A:$A,0),MATCH(D$3,'5 Adj NOA'!$3:$3,0)),INDEX('5 Adj NOA'!$1:$290,MATCH($A34,'5 Adj NOA'!$A:$A,0),MATCH(C$3,'5 Adj NOA'!$3:$3,0)))/(D$9*52/D$6)</f>
        <v>6.2237435817644312E-4</v>
      </c>
      <c r="E34" s="65">
        <f>AVERAGE(INDEX('5 Adj NOA'!$1:$290,MATCH($A34,'5 Adj NOA'!$A:$A,0),MATCH(E$3,'5 Adj NOA'!$3:$3,0)),INDEX('5 Adj NOA'!$1:$290,MATCH($A34,'5 Adj NOA'!$A:$A,0),MATCH(D$3,'5 Adj NOA'!$3:$3,0)))/(E$9*52/E$6)</f>
        <v>5.9053665018085188E-4</v>
      </c>
      <c r="F34" s="306">
        <f>INDEX('5 Adj NOA'!$1:$288,MATCH($A34,'5 Adj NOA'!$A:$A,0),MATCH(E$3,'5 Adj NOA'!$3:$3,0))/(F$9*52/F$6)</f>
        <v>5.8221982881354257E-4</v>
      </c>
      <c r="G34" s="308">
        <v>1E-3</v>
      </c>
      <c r="H34" s="308">
        <f t="shared" ref="H34" si="10">+G34</f>
        <v>1E-3</v>
      </c>
      <c r="I34" s="308">
        <f>+H34</f>
        <v>1E-3</v>
      </c>
    </row>
    <row r="35" spans="1:9" x14ac:dyDescent="0.3">
      <c r="A35" t="s">
        <v>357</v>
      </c>
      <c r="B35" s="65"/>
      <c r="C35" s="65">
        <f>AVERAGE(INDEX('5 Adj NOA'!$1:$290,MATCH($A35,'5 Adj NOA'!$A:$A,0),MATCH(C$3,'5 Adj NOA'!$3:$3,0)),INDEX('5 Adj NOA'!$1:$290,MATCH($A35,'5 Adj NOA'!$A:$A,0),MATCH(B$3,'5 Adj NOA'!$3:$3,0)))/(C$9*52/C$6)</f>
        <v>3.2394909371384496E-3</v>
      </c>
      <c r="D35" s="65">
        <f>AVERAGE(INDEX('5 Adj NOA'!$1:$290,MATCH($A35,'5 Adj NOA'!$A:$A,0),MATCH(D$3,'5 Adj NOA'!$3:$3,0)),INDEX('5 Adj NOA'!$1:$290,MATCH($A35,'5 Adj NOA'!$A:$A,0),MATCH(C$3,'5 Adj NOA'!$3:$3,0)))/(D$9*52/D$6)</f>
        <v>3.2674653804263265E-3</v>
      </c>
      <c r="E35" s="65">
        <f>AVERAGE(INDEX('5 Adj NOA'!$1:$290,MATCH($A35,'5 Adj NOA'!$A:$A,0),MATCH(E$3,'5 Adj NOA'!$3:$3,0)),INDEX('5 Adj NOA'!$1:$290,MATCH($A35,'5 Adj NOA'!$A:$A,0),MATCH(D$3,'5 Adj NOA'!$3:$3,0)))/(E$9*52/E$6)</f>
        <v>3.1003174134494721E-3</v>
      </c>
      <c r="F35" s="306">
        <f>INDEX('5 Adj NOA'!$1:$288,MATCH($A35,'5 Adj NOA'!$A:$A,0),MATCH(E$3,'5 Adj NOA'!$3:$3,0))/(F$9*52/F$6)</f>
        <v>3.0566541012710985E-3</v>
      </c>
      <c r="G35" s="308">
        <v>4.0000000000000001E-3</v>
      </c>
      <c r="H35" s="308">
        <f>+G35</f>
        <v>4.0000000000000001E-3</v>
      </c>
      <c r="I35" s="308">
        <f>+H35</f>
        <v>4.0000000000000001E-3</v>
      </c>
    </row>
    <row r="36" spans="1:9" x14ac:dyDescent="0.3">
      <c r="A36" t="s">
        <v>358</v>
      </c>
      <c r="B36" s="65"/>
      <c r="C36" s="65">
        <f>AVERAGE(INDEX('5 Adj NOA'!$1:$290,MATCH($A36,'5 Adj NOA'!$A:$A,0),MATCH(C$3,'5 Adj NOA'!$3:$3,0)),INDEX('5 Adj NOA'!$1:$290,MATCH($A36,'5 Adj NOA'!$A:$A,0),MATCH(B$3,'5 Adj NOA'!$3:$3,0)))/(C$9*52/C$6)</f>
        <v>3.8565368299267258E-4</v>
      </c>
      <c r="D36" s="65">
        <f>AVERAGE(INDEX('5 Adj NOA'!$1:$290,MATCH($A36,'5 Adj NOA'!$A:$A,0),MATCH(D$3,'5 Adj NOA'!$3:$3,0)),INDEX('5 Adj NOA'!$1:$290,MATCH($A36,'5 Adj NOA'!$A:$A,0),MATCH(C$3,'5 Adj NOA'!$3:$3,0)))/(D$9*52/D$6)</f>
        <v>1.0502567294227477E-3</v>
      </c>
      <c r="E36" s="65">
        <f>AVERAGE(INDEX('5 Adj NOA'!$1:$290,MATCH($A36,'5 Adj NOA'!$A:$A,0),MATCH(E$3,'5 Adj NOA'!$3:$3,0)),INDEX('5 Adj NOA'!$1:$290,MATCH($A36,'5 Adj NOA'!$A:$A,0),MATCH(D$3,'5 Adj NOA'!$3:$3,0)))/(E$9*52/E$6)</f>
        <v>1.697792869269949E-3</v>
      </c>
      <c r="F36" s="306">
        <f>INDEX('5 Adj NOA'!$1:$288,MATCH($A36,'5 Adj NOA'!$A:$A,0),MATCH(E$3,'5 Adj NOA'!$3:$3,0))/(F$9*52/F$6)</f>
        <v>1.7466594864406276E-3</v>
      </c>
      <c r="G36" s="308">
        <v>2E-3</v>
      </c>
      <c r="H36" s="308">
        <f t="shared" ref="H36:I36" si="11">+G36</f>
        <v>2E-3</v>
      </c>
      <c r="I36" s="308">
        <f t="shared" si="11"/>
        <v>2E-3</v>
      </c>
    </row>
    <row r="37" spans="1:9" x14ac:dyDescent="0.3">
      <c r="A37" t="s">
        <v>359</v>
      </c>
      <c r="B37" s="65"/>
      <c r="C37" s="65">
        <f>AVERAGE(INDEX('5 Adj NOA'!$1:$290,MATCH($A37,'5 Adj NOA'!$A:$A,0),MATCH(C$3,'5 Adj NOA'!$3:$3,0)),INDEX('5 Adj NOA'!$1:$290,MATCH($A37,'5 Adj NOA'!$A:$A,0),MATCH(B$3,'5 Adj NOA'!$3:$3,0)))/(C$9*52/C$6)</f>
        <v>3.2780563054377169E-3</v>
      </c>
      <c r="D37" s="65">
        <f>AVERAGE(INDEX('5 Adj NOA'!$1:$290,MATCH($A37,'5 Adj NOA'!$A:$A,0),MATCH(D$3,'5 Adj NOA'!$3:$3,0)),INDEX('5 Adj NOA'!$1:$290,MATCH($A37,'5 Adj NOA'!$A:$A,0),MATCH(C$3,'5 Adj NOA'!$3:$3,0)))/(D$9*52/D$6)</f>
        <v>3.3063637778123541E-3</v>
      </c>
      <c r="E37" s="65">
        <f>AVERAGE(INDEX('5 Adj NOA'!$1:$290,MATCH($A37,'5 Adj NOA'!$A:$A,0),MATCH(E$3,'5 Adj NOA'!$3:$3,0)),INDEX('5 Adj NOA'!$1:$290,MATCH($A37,'5 Adj NOA'!$A:$A,0),MATCH(D$3,'5 Adj NOA'!$3:$3,0)))/(E$9*52/E$6)</f>
        <v>3.2479515759946853E-3</v>
      </c>
      <c r="F37" s="306">
        <f>INDEX('5 Adj NOA'!$1:$288,MATCH($A37,'5 Adj NOA'!$A:$A,0),MATCH(E$3,'5 Adj NOA'!$3:$3,0))/(F$9*52/F$6)</f>
        <v>3.1294315798727911E-3</v>
      </c>
      <c r="G37" s="308">
        <v>3.0000000000000001E-3</v>
      </c>
      <c r="H37" s="308">
        <f t="shared" ref="H37" si="12">+G37</f>
        <v>3.0000000000000001E-3</v>
      </c>
      <c r="I37" s="308">
        <f>+H37</f>
        <v>3.0000000000000001E-3</v>
      </c>
    </row>
    <row r="38" spans="1:9" x14ac:dyDescent="0.3">
      <c r="A38" t="s">
        <v>360</v>
      </c>
      <c r="B38" s="65"/>
      <c r="C38" s="65">
        <f>AVERAGE(INDEX('5 Adj NOA'!$1:$290,MATCH($A38,'5 Adj NOA'!$A:$A,0),MATCH(C$3,'5 Adj NOA'!$3:$3,0)),INDEX('5 Adj NOA'!$1:$290,MATCH($A38,'5 Adj NOA'!$A:$A,0),MATCH(B$3,'5 Adj NOA'!$3:$3,0)))/(C$9*52/C$6)</f>
        <v>1.6197454685692248E-3</v>
      </c>
      <c r="D38" s="65">
        <f>AVERAGE(INDEX('5 Adj NOA'!$1:$290,MATCH($A38,'5 Adj NOA'!$A:$A,0),MATCH(D$3,'5 Adj NOA'!$3:$3,0)),INDEX('5 Adj NOA'!$1:$290,MATCH($A38,'5 Adj NOA'!$A:$A,0),MATCH(C$3,'5 Adj NOA'!$3:$3,0)))/(D$9*52/D$6)</f>
        <v>4.2788237124630462E-3</v>
      </c>
      <c r="E38" s="65">
        <f>AVERAGE(INDEX('5 Adj NOA'!$1:$290,MATCH($A38,'5 Adj NOA'!$A:$A,0),MATCH(E$3,'5 Adj NOA'!$3:$3,0)),INDEX('5 Adj NOA'!$1:$290,MATCH($A38,'5 Adj NOA'!$A:$A,0),MATCH(D$3,'5 Adj NOA'!$3:$3,0)))/(E$9*52/E$6)</f>
        <v>5.056470067173544E-3</v>
      </c>
      <c r="F38" s="306">
        <f>INDEX('5 Adj NOA'!$1:$288,MATCH($A38,'5 Adj NOA'!$A:$A,0),MATCH(E$3,'5 Adj NOA'!$3:$3,0))/(F$9*52/F$6)</f>
        <v>4.584981151906648E-3</v>
      </c>
      <c r="G38" s="308">
        <v>5.0000000000000001E-3</v>
      </c>
      <c r="H38" s="308">
        <f>+G38</f>
        <v>5.0000000000000001E-3</v>
      </c>
      <c r="I38" s="308">
        <f>+H38</f>
        <v>5.0000000000000001E-3</v>
      </c>
    </row>
    <row r="39" spans="1:9" x14ac:dyDescent="0.3">
      <c r="A39" t="s">
        <v>361</v>
      </c>
      <c r="B39" s="65"/>
      <c r="C39" s="65">
        <f>AVERAGE(INDEX('5 Adj NOA'!$1:$290,MATCH($A39,'5 Adj NOA'!$A:$A,0),MATCH(C$3,'5 Adj NOA'!$3:$3,0)),INDEX('5 Adj NOA'!$1:$290,MATCH($A39,'5 Adj NOA'!$A:$A,0),MATCH(B$3,'5 Adj NOA'!$3:$3,0)))/(C$9*52/C$6)</f>
        <v>7.7130736598534516E-4</v>
      </c>
      <c r="D39" s="65">
        <f>AVERAGE(INDEX('5 Adj NOA'!$1:$290,MATCH($A39,'5 Adj NOA'!$A:$A,0),MATCH(D$3,'5 Adj NOA'!$3:$3,0)),INDEX('5 Adj NOA'!$1:$290,MATCH($A39,'5 Adj NOA'!$A:$A,0),MATCH(C$3,'5 Adj NOA'!$3:$3,0)))/(D$9*52/D$6)</f>
        <v>7.779679477205539E-4</v>
      </c>
      <c r="E39" s="65">
        <f>AVERAGE(INDEX('5 Adj NOA'!$1:$290,MATCH($A39,'5 Adj NOA'!$A:$A,0),MATCH(E$3,'5 Adj NOA'!$3:$3,0)),INDEX('5 Adj NOA'!$1:$290,MATCH($A39,'5 Adj NOA'!$A:$A,0),MATCH(D$3,'5 Adj NOA'!$3:$3,0)))/(E$9*52/E$6)</f>
        <v>1.6165940798700821E-2</v>
      </c>
      <c r="F39" s="306">
        <f>INDEX('5 Adj NOA'!$1:$288,MATCH($A39,'5 Adj NOA'!$A:$A,0),MATCH(E$3,'5 Adj NOA'!$3:$3,0))/(F$9*52/F$6)</f>
        <v>3.1148760841524528E-2</v>
      </c>
      <c r="G39" s="308">
        <v>3.5000000000000003E-2</v>
      </c>
      <c r="H39" s="308">
        <f t="shared" ref="H39:I41" si="13">+G39</f>
        <v>3.5000000000000003E-2</v>
      </c>
      <c r="I39" s="308">
        <f t="shared" si="13"/>
        <v>3.5000000000000003E-2</v>
      </c>
    </row>
    <row r="40" spans="1:9" x14ac:dyDescent="0.3">
      <c r="A40" t="s">
        <v>362</v>
      </c>
      <c r="B40" s="90"/>
      <c r="C40" s="65">
        <f>AVERAGE(INDEX('5 Adj NOA'!$1:$290,MATCH($A40,'5 Adj NOA'!$A:$A,0),MATCH(C$3,'5 Adj NOA'!$3:$3,0)),INDEX('5 Adj NOA'!$1:$290,MATCH($A40,'5 Adj NOA'!$A:$A,0),MATCH(B$3,'5 Adj NOA'!$3:$3,0)))/(C$9*52/C$6)</f>
        <v>-6.1704589278827613E-4</v>
      </c>
      <c r="D40" s="65">
        <f>AVERAGE(INDEX('5 Adj NOA'!$1:$290,MATCH($A40,'5 Adj NOA'!$A:$A,0),MATCH(D$3,'5 Adj NOA'!$3:$3,0)),INDEX('5 Adj NOA'!$1:$290,MATCH($A40,'5 Adj NOA'!$A:$A,0),MATCH(C$3,'5 Adj NOA'!$3:$3,0)))/(D$9*52/D$6)</f>
        <v>-6.2237435817644312E-4</v>
      </c>
      <c r="E40" s="65">
        <f>AVERAGE(INDEX('5 Adj NOA'!$1:$290,MATCH($A40,'5 Adj NOA'!$A:$A,0),MATCH(E$3,'5 Adj NOA'!$3:$3,0)),INDEX('5 Adj NOA'!$1:$290,MATCH($A40,'5 Adj NOA'!$A:$A,0),MATCH(D$3,'5 Adj NOA'!$3:$3,0)))/(E$9*52/E$6)</f>
        <v>-5.9053665018085188E-4</v>
      </c>
      <c r="F40" s="306">
        <f>INDEX('5 Adj NOA'!$1:$288,MATCH($A40,'5 Adj NOA'!$A:$A,0),MATCH(E$3,'5 Adj NOA'!$3:$3,0))/(F$9*52/F$6)</f>
        <v>-5.8221982881354257E-4</v>
      </c>
      <c r="G40" s="308">
        <v>-1E-3</v>
      </c>
      <c r="H40" s="308">
        <f t="shared" si="13"/>
        <v>-1E-3</v>
      </c>
      <c r="I40" s="308">
        <f t="shared" si="13"/>
        <v>-1E-3</v>
      </c>
    </row>
    <row r="41" spans="1:9" x14ac:dyDescent="0.3">
      <c r="A41" t="s">
        <v>363</v>
      </c>
      <c r="B41" s="91"/>
      <c r="C41" s="65">
        <f>AVERAGE(INDEX('5 Adj NOA'!$1:$290,MATCH($A41,'5 Adj NOA'!$A:$A,0),MATCH(C$3,'5 Adj NOA'!$3:$3,0)),INDEX('5 Adj NOA'!$1:$290,MATCH($A41,'5 Adj NOA'!$A:$A,0),MATCH(B$3,'5 Adj NOA'!$3:$3,0)))/(C$9*52/C$6)</f>
        <v>-1.3497878904743541E-3</v>
      </c>
      <c r="D41" s="65">
        <f>AVERAGE(INDEX('5 Adj NOA'!$1:$290,MATCH($A41,'5 Adj NOA'!$A:$A,0),MATCH(D$3,'5 Adj NOA'!$3:$3,0)),INDEX('5 Adj NOA'!$1:$290,MATCH($A41,'5 Adj NOA'!$A:$A,0),MATCH(C$3,'5 Adj NOA'!$3:$3,0)))/(D$9*52/D$6)</f>
        <v>-1.5948342928271354E-3</v>
      </c>
      <c r="E41" s="65">
        <f>AVERAGE(INDEX('5 Adj NOA'!$1:$290,MATCH($A41,'5 Adj NOA'!$A:$A,0),MATCH(E$3,'5 Adj NOA'!$3:$3,0)),INDEX('5 Adj NOA'!$1:$290,MATCH($A41,'5 Adj NOA'!$A:$A,0),MATCH(D$3,'5 Adj NOA'!$3:$3,0)))/(E$9*52/E$6)</f>
        <v>-1.7347014099062523E-3</v>
      </c>
      <c r="F41" s="306">
        <f>INDEX('5 Adj NOA'!$1:$288,MATCH($A41,'5 Adj NOA'!$A:$A,0),MATCH(E$3,'5 Adj NOA'!$3:$3,0))/(F$9*52/F$6)</f>
        <v>-1.8194369650423206E-3</v>
      </c>
      <c r="G41" s="308">
        <v>-2E-3</v>
      </c>
      <c r="H41" s="308">
        <f t="shared" si="13"/>
        <v>-2E-3</v>
      </c>
      <c r="I41" s="308">
        <f t="shared" si="13"/>
        <v>-2E-3</v>
      </c>
    </row>
    <row r="42" spans="1:9" x14ac:dyDescent="0.3">
      <c r="A42" t="s">
        <v>364</v>
      </c>
      <c r="B42" s="91"/>
      <c r="C42" s="65">
        <f>AVERAGE(INDEX('5 Adj NOA'!$1:$290,MATCH($A42,'5 Adj NOA'!$A:$A,0),MATCH(C$3,'5 Adj NOA'!$3:$3,0)),INDEX('5 Adj NOA'!$1:$290,MATCH($A42,'5 Adj NOA'!$A:$A,0),MATCH(B$3,'5 Adj NOA'!$3:$3,0)))/(C$9*52/C$6)</f>
        <v>-3.0852294639413806E-4</v>
      </c>
      <c r="D42" s="65">
        <f>AVERAGE(INDEX('5 Adj NOA'!$1:$290,MATCH($A42,'5 Adj NOA'!$A:$A,0),MATCH(D$3,'5 Adj NOA'!$3:$3,0)),INDEX('5 Adj NOA'!$1:$290,MATCH($A42,'5 Adj NOA'!$A:$A,0),MATCH(C$3,'5 Adj NOA'!$3:$3,0)))/(D$9*52/D$6)</f>
        <v>-3.5008557647424928E-4</v>
      </c>
      <c r="E42" s="65">
        <f>AVERAGE(INDEX('5 Adj NOA'!$1:$290,MATCH($A42,'5 Adj NOA'!$A:$A,0),MATCH(E$3,'5 Adj NOA'!$3:$3,0)),INDEX('5 Adj NOA'!$1:$290,MATCH($A42,'5 Adj NOA'!$A:$A,0),MATCH(D$3,'5 Adj NOA'!$3:$3,0)))/(E$9*52/E$6)</f>
        <v>-4.0599394699933567E-4</v>
      </c>
      <c r="F42" s="306">
        <f>INDEX('5 Adj NOA'!$1:$288,MATCH($A42,'5 Adj NOA'!$A:$A,0),MATCH(E$3,'5 Adj NOA'!$3:$3,0))/(F$9*52/F$6)</f>
        <v>-4.366648716101569E-4</v>
      </c>
      <c r="G42" s="308">
        <v>0</v>
      </c>
      <c r="H42" s="308">
        <f t="shared" ref="H42:I42" si="14">+G42</f>
        <v>0</v>
      </c>
      <c r="I42" s="308">
        <f t="shared" si="14"/>
        <v>0</v>
      </c>
    </row>
    <row r="43" spans="1:9" x14ac:dyDescent="0.3">
      <c r="A43" t="s">
        <v>365</v>
      </c>
      <c r="B43" s="91"/>
      <c r="C43" s="65">
        <f>AVERAGE(INDEX('5 Adj NOA'!$1:$290,MATCH($A43,'5 Adj NOA'!$A:$A,0),MATCH(C$3,'5 Adj NOA'!$3:$3,0)),INDEX('5 Adj NOA'!$1:$290,MATCH($A43,'5 Adj NOA'!$A:$A,0),MATCH(B$3,'5 Adj NOA'!$3:$3,0)))/(C$9*52/C$6)</f>
        <v>-9.6413420748168142E-4</v>
      </c>
      <c r="D43" s="65">
        <f>AVERAGE(INDEX('5 Adj NOA'!$1:$290,MATCH($A43,'5 Adj NOA'!$A:$A,0),MATCH(D$3,'5 Adj NOA'!$3:$3,0)),INDEX('5 Adj NOA'!$1:$290,MATCH($A43,'5 Adj NOA'!$A:$A,0),MATCH(C$3,'5 Adj NOA'!$3:$3,0)))/(D$9*52/D$6)</f>
        <v>-1.2447487163528862E-3</v>
      </c>
      <c r="E43" s="65">
        <f>AVERAGE(INDEX('5 Adj NOA'!$1:$290,MATCH($A43,'5 Adj NOA'!$A:$A,0),MATCH(E$3,'5 Adj NOA'!$3:$3,0)),INDEX('5 Adj NOA'!$1:$290,MATCH($A43,'5 Adj NOA'!$A:$A,0),MATCH(D$3,'5 Adj NOA'!$3:$3,0)))/(E$9*52/E$6)</f>
        <v>-1.4025245441795231E-3</v>
      </c>
      <c r="F43" s="306">
        <f>INDEX('5 Adj NOA'!$1:$288,MATCH($A43,'5 Adj NOA'!$A:$A,0),MATCH(E$3,'5 Adj NOA'!$3:$3,0))/(F$9*52/F$6)</f>
        <v>-1.4555495720338565E-3</v>
      </c>
      <c r="G43" s="308">
        <v>-1E-3</v>
      </c>
      <c r="H43" s="308">
        <f t="shared" ref="H43:I43" si="15">+G43</f>
        <v>-1E-3</v>
      </c>
      <c r="I43" s="308">
        <f t="shared" si="15"/>
        <v>-1E-3</v>
      </c>
    </row>
    <row r="44" spans="1:9" x14ac:dyDescent="0.3">
      <c r="A44" t="s">
        <v>366</v>
      </c>
      <c r="B44" s="65"/>
      <c r="C44" s="65">
        <f>AVERAGE(INDEX('5 Adj NOA'!$1:$290,MATCH($A44,'5 Adj NOA'!$A:$A,0),MATCH(C$3,'5 Adj NOA'!$3:$3,0)),INDEX('5 Adj NOA'!$1:$290,MATCH($A44,'5 Adj NOA'!$A:$A,0),MATCH(B$3,'5 Adj NOA'!$3:$3,0)))/(C$9*52/C$6)</f>
        <v>-4.627844195912071E-4</v>
      </c>
      <c r="D44" s="65">
        <f>AVERAGE(INDEX('5 Adj NOA'!$1:$290,MATCH($A44,'5 Adj NOA'!$A:$A,0),MATCH(D$3,'5 Adj NOA'!$3:$3,0)),INDEX('5 Adj NOA'!$1:$290,MATCH($A44,'5 Adj NOA'!$A:$A,0),MATCH(C$3,'5 Adj NOA'!$3:$3,0)))/(D$9*52/D$6)</f>
        <v>-6.2237435817644312E-4</v>
      </c>
      <c r="E44" s="65">
        <f>AVERAGE(INDEX('5 Adj NOA'!$1:$290,MATCH($A44,'5 Adj NOA'!$A:$A,0),MATCH(E$3,'5 Adj NOA'!$3:$3,0)),INDEX('5 Adj NOA'!$1:$290,MATCH($A44,'5 Adj NOA'!$A:$A,0),MATCH(D$3,'5 Adj NOA'!$3:$3,0)))/(E$9*52/E$6)</f>
        <v>-8.1198789399867133E-4</v>
      </c>
      <c r="F44" s="306">
        <f>INDEX('5 Adj NOA'!$1:$288,MATCH($A44,'5 Adj NOA'!$A:$A,0),MATCH(E$3,'5 Adj NOA'!$3:$3,0))/(F$9*52/F$6)</f>
        <v>-8.733297432203138E-4</v>
      </c>
      <c r="G44" s="308">
        <v>-1E-3</v>
      </c>
      <c r="H44" s="308">
        <f t="shared" ref="H44:I44" si="16">+G44</f>
        <v>-1E-3</v>
      </c>
      <c r="I44" s="308">
        <f t="shared" si="16"/>
        <v>-1E-3</v>
      </c>
    </row>
    <row r="45" spans="1:9" x14ac:dyDescent="0.3">
      <c r="A45" t="s">
        <v>367</v>
      </c>
      <c r="B45" s="65"/>
      <c r="C45" s="65">
        <f>AVERAGE(INDEX('5 Adj NOA'!$1:$290,MATCH($A45,'5 Adj NOA'!$A:$A,0),MATCH(C$3,'5 Adj NOA'!$3:$3,0)),INDEX('5 Adj NOA'!$1:$290,MATCH($A45,'5 Adj NOA'!$A:$A,0),MATCH(B$3,'5 Adj NOA'!$3:$3,0)))/(C$9*52/C$6)</f>
        <v>-1.9282684149633629E-4</v>
      </c>
      <c r="D45" s="65">
        <f>AVERAGE(INDEX('5 Adj NOA'!$1:$290,MATCH($A45,'5 Adj NOA'!$A:$A,0),MATCH(D$3,'5 Adj NOA'!$3:$3,0)),INDEX('5 Adj NOA'!$1:$290,MATCH($A45,'5 Adj NOA'!$A:$A,0),MATCH(C$3,'5 Adj NOA'!$3:$3,0)))/(D$9*52/D$6)</f>
        <v>-2.7228878170219389E-4</v>
      </c>
      <c r="E45" s="65">
        <f>AVERAGE(INDEX('5 Adj NOA'!$1:$290,MATCH($A45,'5 Adj NOA'!$A:$A,0),MATCH(E$3,'5 Adj NOA'!$3:$3,0)),INDEX('5 Adj NOA'!$1:$290,MATCH($A45,'5 Adj NOA'!$A:$A,0),MATCH(D$3,'5 Adj NOA'!$3:$3,0)))/(E$9*52/E$6)</f>
        <v>-7.3817081272606485E-4</v>
      </c>
      <c r="F45" s="306">
        <f>INDEX('5 Adj NOA'!$1:$288,MATCH($A45,'5 Adj NOA'!$A:$A,0),MATCH(E$3,'5 Adj NOA'!$3:$3,0))/(F$9*52/F$6)</f>
        <v>-1.1644396576270851E-3</v>
      </c>
      <c r="G45" s="308">
        <v>-1E-3</v>
      </c>
      <c r="H45" s="308">
        <f t="shared" ref="H45:I45" si="17">+G45</f>
        <v>-1E-3</v>
      </c>
      <c r="I45" s="308">
        <f t="shared" si="17"/>
        <v>-1E-3</v>
      </c>
    </row>
    <row r="46" spans="1:9" x14ac:dyDescent="0.3">
      <c r="A46" t="s">
        <v>368</v>
      </c>
      <c r="B46" s="65"/>
      <c r="C46" s="65">
        <f>AVERAGE(INDEX('5 Adj NOA'!$1:$290,MATCH($A46,'5 Adj NOA'!$A:$A,0),MATCH(C$3,'5 Adj NOA'!$3:$3,0)),INDEX('5 Adj NOA'!$1:$290,MATCH($A46,'5 Adj NOA'!$A:$A,0),MATCH(B$3,'5 Adj NOA'!$3:$3,0)))/(C$9*52/C$6)</f>
        <v>0.12533744697261859</v>
      </c>
      <c r="D46" s="65">
        <f>AVERAGE(INDEX('5 Adj NOA'!$1:$290,MATCH($A46,'5 Adj NOA'!$A:$A,0),MATCH(D$3,'5 Adj NOA'!$3:$3,0)),INDEX('5 Adj NOA'!$1:$290,MATCH($A46,'5 Adj NOA'!$A:$A,0),MATCH(C$3,'5 Adj NOA'!$3:$3,0)))/(D$9*52/D$6)</f>
        <v>0.12641979150459001</v>
      </c>
      <c r="E46" s="65">
        <f>AVERAGE(INDEX('5 Adj NOA'!$1:$290,MATCH($A46,'5 Adj NOA'!$A:$A,0),MATCH(E$3,'5 Adj NOA'!$3:$3,0)),INDEX('5 Adj NOA'!$1:$290,MATCH($A46,'5 Adj NOA'!$A:$A,0),MATCH(D$3,'5 Adj NOA'!$3:$3,0)))/(E$9*52/E$6)</f>
        <v>0.11995275706798553</v>
      </c>
      <c r="F46" s="306">
        <f>INDEX('5 Adj NOA'!$1:$288,MATCH($A46,'5 Adj NOA'!$A:$A,0),MATCH(E$3,'5 Adj NOA'!$3:$3,0))/(F$9*52/F$6)</f>
        <v>0.11826340272775084</v>
      </c>
      <c r="G46" s="308">
        <v>0.125</v>
      </c>
      <c r="H46" s="308">
        <v>0.126</v>
      </c>
      <c r="I46" s="308">
        <f t="shared" ref="I46" si="18">+H46</f>
        <v>0.126</v>
      </c>
    </row>
    <row r="47" spans="1:9" x14ac:dyDescent="0.3">
      <c r="A47" t="s">
        <v>369</v>
      </c>
      <c r="B47" s="65"/>
      <c r="C47" s="65">
        <f>AVERAGE(INDEX('5 Adj NOA'!$1:$290,MATCH($A47,'5 Adj NOA'!$A:$A,0),MATCH(C$3,'5 Adj NOA'!$3:$3,0)),INDEX('5 Adj NOA'!$1:$290,MATCH($A47,'5 Adj NOA'!$A:$A,0),MATCH(B$3,'5 Adj NOA'!$3:$3,0)))/(C$9*52/C$6)</f>
        <v>1.2880833011955264E-2</v>
      </c>
      <c r="D47" s="65">
        <f>AVERAGE(INDEX('5 Adj NOA'!$1:$290,MATCH($A47,'5 Adj NOA'!$A:$A,0),MATCH(D$3,'5 Adj NOA'!$3:$3,0)),INDEX('5 Adj NOA'!$1:$290,MATCH($A47,'5 Adj NOA'!$A:$A,0),MATCH(C$3,'5 Adj NOA'!$3:$3,0)))/(D$9*52/D$6)</f>
        <v>2.0849540998910846E-2</v>
      </c>
      <c r="E47" s="65">
        <f>AVERAGE(INDEX('5 Adj NOA'!$1:$290,MATCH($A47,'5 Adj NOA'!$A:$A,0),MATCH(E$3,'5 Adj NOA'!$3:$3,0)),INDEX('5 Adj NOA'!$1:$290,MATCH($A47,'5 Adj NOA'!$A:$A,0),MATCH(D$3,'5 Adj NOA'!$3:$3,0)))/(E$9*52/E$6)</f>
        <v>2.6574149258138332E-2</v>
      </c>
      <c r="F47" s="306">
        <f>INDEX('5 Adj NOA'!$1:$288,MATCH($A47,'5 Adj NOA'!$A:$A,0),MATCH(E$3,'5 Adj NOA'!$3:$3,0))/(F$9*52/F$6)</f>
        <v>2.6199892296609417E-2</v>
      </c>
      <c r="G47" s="308">
        <v>2.8000000000000001E-2</v>
      </c>
      <c r="H47" s="308">
        <v>0.03</v>
      </c>
      <c r="I47" s="308">
        <f t="shared" ref="I47" si="19">+H47</f>
        <v>0.03</v>
      </c>
    </row>
    <row r="48" spans="1:9" x14ac:dyDescent="0.3">
      <c r="A48" t="s">
        <v>370</v>
      </c>
      <c r="B48" s="65"/>
      <c r="C48" s="65">
        <f>AVERAGE(INDEX('5 Adj NOA'!$1:$290,MATCH($A48,'5 Adj NOA'!$A:$A,0),MATCH(C$3,'5 Adj NOA'!$3:$3,0)),INDEX('5 Adj NOA'!$1:$290,MATCH($A48,'5 Adj NOA'!$A:$A,0),MATCH(B$3,'5 Adj NOA'!$3:$3,0)))/(C$9*52/C$6)</f>
        <v>3.0813729271114539E-2</v>
      </c>
      <c r="D48" s="65">
        <f>AVERAGE(INDEX('5 Adj NOA'!$1:$290,MATCH($A48,'5 Adj NOA'!$A:$A,0),MATCH(D$3,'5 Adj NOA'!$3:$3,0)),INDEX('5 Adj NOA'!$1:$290,MATCH($A48,'5 Adj NOA'!$A:$A,0),MATCH(C$3,'5 Adj NOA'!$3:$3,0)))/(D$9*52/D$6)</f>
        <v>3.1779990664384625E-2</v>
      </c>
      <c r="E48" s="65">
        <f>AVERAGE(INDEX('5 Adj NOA'!$1:$290,MATCH($A48,'5 Adj NOA'!$A:$A,0),MATCH(E$3,'5 Adj NOA'!$3:$3,0)),INDEX('5 Adj NOA'!$1:$290,MATCH($A48,'5 Adj NOA'!$A:$A,0),MATCH(D$3,'5 Adj NOA'!$3:$3,0)))/(E$9*52/E$6)</f>
        <v>3.1335351000221452E-2</v>
      </c>
      <c r="F48" s="306">
        <f>INDEX('5 Adj NOA'!$1:$288,MATCH($A48,'5 Adj NOA'!$A:$A,0),MATCH(E$3,'5 Adj NOA'!$3:$3,0))/(F$9*52/F$6)</f>
        <v>3.0202653619702521E-2</v>
      </c>
      <c r="G48" s="308">
        <v>3.3000000000000002E-2</v>
      </c>
      <c r="H48" s="308">
        <f t="shared" ref="H48:I48" si="20">+G48</f>
        <v>3.3000000000000002E-2</v>
      </c>
      <c r="I48" s="308">
        <f t="shared" si="20"/>
        <v>3.3000000000000002E-2</v>
      </c>
    </row>
    <row r="49" spans="1:9" x14ac:dyDescent="0.3">
      <c r="A49" t="s">
        <v>371</v>
      </c>
      <c r="B49" s="65"/>
      <c r="C49" s="65">
        <f>AVERAGE(INDEX('5 Adj NOA'!$1:$290,MATCH($A49,'5 Adj NOA'!$A:$A,0),MATCH(C$3,'5 Adj NOA'!$3:$3,0)),INDEX('5 Adj NOA'!$1:$290,MATCH($A49,'5 Adj NOA'!$A:$A,0),MATCH(B$3,'5 Adj NOA'!$3:$3,0)))/(C$9*52/C$6)</f>
        <v>3.7794060933281914E-3</v>
      </c>
      <c r="D49" s="65">
        <f>AVERAGE(INDEX('5 Adj NOA'!$1:$290,MATCH($A49,'5 Adj NOA'!$A:$A,0),MATCH(D$3,'5 Adj NOA'!$3:$3,0)),INDEX('5 Adj NOA'!$1:$290,MATCH($A49,'5 Adj NOA'!$A:$A,0),MATCH(C$3,'5 Adj NOA'!$3:$3,0)))/(D$9*52/D$6)</f>
        <v>7.1573051190290957E-3</v>
      </c>
      <c r="E49" s="65">
        <f>AVERAGE(INDEX('5 Adj NOA'!$1:$290,MATCH($A49,'5 Adj NOA'!$A:$A,0),MATCH(E$3,'5 Adj NOA'!$3:$3,0)),INDEX('5 Adj NOA'!$1:$290,MATCH($A49,'5 Adj NOA'!$A:$A,0),MATCH(D$3,'5 Adj NOA'!$3:$3,0)))/(E$9*52/E$6)</f>
        <v>5.8684579611722153E-3</v>
      </c>
      <c r="F49" s="306">
        <f>INDEX('5 Adj NOA'!$1:$288,MATCH($A49,'5 Adj NOA'!$A:$A,0),MATCH(E$3,'5 Adj NOA'!$3:$3,0))/(F$9*52/F$6)</f>
        <v>5.3127559379235762E-3</v>
      </c>
      <c r="G49" s="308">
        <v>5.0000000000000001E-3</v>
      </c>
      <c r="H49" s="308">
        <f>+G49</f>
        <v>5.0000000000000001E-3</v>
      </c>
      <c r="I49" s="308">
        <v>7.0000000000000001E-3</v>
      </c>
    </row>
    <row r="50" spans="1:9" x14ac:dyDescent="0.3">
      <c r="A50" t="s">
        <v>454</v>
      </c>
      <c r="B50" s="65"/>
      <c r="C50" s="65">
        <f>AVERAGE(INDEX('5 Adj NOA'!$1:$290,MATCH($A50,'5 Adj NOA'!$A:$A,0),MATCH(C$3,'5 Adj NOA'!$3:$3,0)),INDEX('5 Adj NOA'!$1:$290,MATCH($A50,'5 Adj NOA'!$A:$A,0),MATCH(B$3,'5 Adj NOA'!$3:$3,0)))/(C$9*52/C$6)</f>
        <v>0</v>
      </c>
      <c r="D50" s="65">
        <f>AVERAGE(INDEX('5 Adj NOA'!$1:$290,MATCH($A50,'5 Adj NOA'!$A:$A,0),MATCH(D$3,'5 Adj NOA'!$3:$3,0)),INDEX('5 Adj NOA'!$1:$290,MATCH($A50,'5 Adj NOA'!$A:$A,0),MATCH(C$3,'5 Adj NOA'!$3:$3,0)))/(D$9*52/D$6)</f>
        <v>0</v>
      </c>
      <c r="E50" s="65">
        <f>AVERAGE(INDEX('5 Adj NOA'!$1:$290,MATCH($A50,'5 Adj NOA'!$A:$A,0),MATCH(E$3,'5 Adj NOA'!$3:$3,0)),INDEX('5 Adj NOA'!$1:$290,MATCH($A50,'5 Adj NOA'!$A:$A,0),MATCH(D$3,'5 Adj NOA'!$3:$3,0)))/(E$9*52/E$6)</f>
        <v>1.3545434413523289E-2</v>
      </c>
      <c r="F50" s="306">
        <f>INDEX('5 Adj NOA'!$1:$288,MATCH($A50,'5 Adj NOA'!$A:$A,0),MATCH(E$3,'5 Adj NOA'!$3:$3,0))/(F$9*52/F$6)</f>
        <v>2.6709334646821264E-2</v>
      </c>
      <c r="G50" s="308">
        <v>2.7E-2</v>
      </c>
      <c r="H50" s="308">
        <f>+G50</f>
        <v>2.7E-2</v>
      </c>
      <c r="I50" s="308">
        <f>+H50</f>
        <v>2.7E-2</v>
      </c>
    </row>
    <row r="51" spans="1:9" x14ac:dyDescent="0.3">
      <c r="A51" t="s">
        <v>232</v>
      </c>
      <c r="B51" s="65"/>
      <c r="C51" s="65">
        <f>AVERAGE(INDEX('5 Adj NOA'!$1:$290,MATCH($A51,'5 Adj NOA'!$A:$A,0),MATCH(C$3,'5 Adj NOA'!$3:$3,0)),INDEX('5 Adj NOA'!$1:$290,MATCH($A51,'5 Adj NOA'!$A:$A,0),MATCH(B$3,'5 Adj NOA'!$3:$3,0)))/(C$9*52/C$6)</f>
        <v>3.4477439259544926E-2</v>
      </c>
      <c r="D51" s="65">
        <f>AVERAGE(INDEX('5 Adj NOA'!$1:$290,MATCH($A51,'5 Adj NOA'!$A:$A,0),MATCH(D$3,'5 Adj NOA'!$3:$3,0)),INDEX('5 Adj NOA'!$1:$290,MATCH($A51,'5 Adj NOA'!$A:$A,0),MATCH(C$3,'5 Adj NOA'!$3:$3,0)))/(D$9*52/D$6)</f>
        <v>3.3724910533686009E-2</v>
      </c>
      <c r="E51" s="65">
        <f>AVERAGE(INDEX('5 Adj NOA'!$1:$290,MATCH($A51,'5 Adj NOA'!$A:$A,0),MATCH(E$3,'5 Adj NOA'!$3:$3,0)),INDEX('5 Adj NOA'!$1:$290,MATCH($A51,'5 Adj NOA'!$A:$A,0),MATCH(D$3,'5 Adj NOA'!$3:$3,0)))/(E$9*52/E$6)</f>
        <v>3.1076991215767329E-2</v>
      </c>
      <c r="F51" s="306">
        <f>INDEX('5 Adj NOA'!$1:$288,MATCH($A51,'5 Adj NOA'!$A:$A,0),MATCH(E$3,'5 Adj NOA'!$3:$3,0))/(F$9*52/F$6)</f>
        <v>3.0057098662499136E-2</v>
      </c>
      <c r="G51" s="308">
        <v>3.1E-2</v>
      </c>
      <c r="H51" s="308">
        <f t="shared" ref="H51:I51" si="21">+G51</f>
        <v>3.1E-2</v>
      </c>
      <c r="I51" s="308">
        <f t="shared" si="21"/>
        <v>3.1E-2</v>
      </c>
    </row>
    <row r="52" spans="1:9" x14ac:dyDescent="0.3">
      <c r="A52" t="s">
        <v>372</v>
      </c>
      <c r="B52" s="65"/>
      <c r="C52" s="65">
        <f>AVERAGE(INDEX('5 Adj NOA'!$1:$290,MATCH($A52,'5 Adj NOA'!$A:$A,0),MATCH(C$3,'5 Adj NOA'!$3:$3,0)),INDEX('5 Adj NOA'!$1:$290,MATCH($A52,'5 Adj NOA'!$A:$A,0),MATCH(B$3,'5 Adj NOA'!$3:$3,0)))/(C$9*52/C$6)</f>
        <v>5.0134978789047433E-4</v>
      </c>
      <c r="D52" s="65">
        <f>AVERAGE(INDEX('5 Adj NOA'!$1:$290,MATCH($A52,'5 Adj NOA'!$A:$A,0),MATCH(D$3,'5 Adj NOA'!$3:$3,0)),INDEX('5 Adj NOA'!$1:$290,MATCH($A52,'5 Adj NOA'!$A:$A,0),MATCH(C$3,'5 Adj NOA'!$3:$3,0)))/(D$9*52/D$6)</f>
        <v>0</v>
      </c>
      <c r="E52" s="65">
        <f>AVERAGE(INDEX('5 Adj NOA'!$1:$290,MATCH($A52,'5 Adj NOA'!$A:$A,0),MATCH(E$3,'5 Adj NOA'!$3:$3,0)),INDEX('5 Adj NOA'!$1:$290,MATCH($A52,'5 Adj NOA'!$A:$A,0),MATCH(D$3,'5 Adj NOA'!$3:$3,0)))/(E$9*52/E$6)</f>
        <v>0</v>
      </c>
      <c r="F52" s="306">
        <f>INDEX('5 Adj NOA'!$1:$288,MATCH($A52,'5 Adj NOA'!$A:$A,0),MATCH(E$3,'5 Adj NOA'!$3:$3,0))/(F$9*52/F$6)</f>
        <v>0</v>
      </c>
      <c r="G52" s="308">
        <v>0</v>
      </c>
      <c r="H52" s="308">
        <f t="shared" ref="H52:I52" si="22">+G52</f>
        <v>0</v>
      </c>
      <c r="I52" s="308">
        <f t="shared" si="22"/>
        <v>0</v>
      </c>
    </row>
    <row r="53" spans="1:9" x14ac:dyDescent="0.3">
      <c r="A53" t="s">
        <v>373</v>
      </c>
      <c r="B53" s="65"/>
      <c r="C53" s="65">
        <f>AVERAGE(INDEX('5 Adj NOA'!$1:$290,MATCH($A53,'5 Adj NOA'!$A:$A,0),MATCH(C$3,'5 Adj NOA'!$3:$3,0)),INDEX('5 Adj NOA'!$1:$290,MATCH($A53,'5 Adj NOA'!$A:$A,0),MATCH(B$3,'5 Adj NOA'!$3:$3,0)))/(C$9*52/C$6)</f>
        <v>1.2340917855765523E-3</v>
      </c>
      <c r="D53" s="65">
        <f>AVERAGE(INDEX('5 Adj NOA'!$1:$290,MATCH($A53,'5 Adj NOA'!$A:$A,0),MATCH(D$3,'5 Adj NOA'!$3:$3,0)),INDEX('5 Adj NOA'!$1:$290,MATCH($A53,'5 Adj NOA'!$A:$A,0),MATCH(C$3,'5 Adj NOA'!$3:$3,0)))/(D$9*52/D$6)</f>
        <v>1.5170374980550802E-3</v>
      </c>
      <c r="E53" s="65">
        <f>AVERAGE(INDEX('5 Adj NOA'!$1:$290,MATCH($A53,'5 Adj NOA'!$A:$A,0),MATCH(E$3,'5 Adj NOA'!$3:$3,0)),INDEX('5 Adj NOA'!$1:$290,MATCH($A53,'5 Adj NOA'!$A:$A,0),MATCH(D$3,'5 Adj NOA'!$3:$3,0)))/(E$9*52/E$6)</f>
        <v>1.2179818409980068E-3</v>
      </c>
      <c r="F53" s="306">
        <f>INDEX('5 Adj NOA'!$1:$288,MATCH($A53,'5 Adj NOA'!$A:$A,0),MATCH(E$3,'5 Adj NOA'!$3:$3,0))/(F$9*52/F$6)</f>
        <v>8.0055226461862102E-4</v>
      </c>
      <c r="G53" s="308">
        <v>1E-3</v>
      </c>
      <c r="H53" s="308">
        <f t="shared" ref="H53:I53" si="23">+G53</f>
        <v>1E-3</v>
      </c>
      <c r="I53" s="308">
        <f t="shared" si="23"/>
        <v>1E-3</v>
      </c>
    </row>
    <row r="54" spans="1:9" x14ac:dyDescent="0.3">
      <c r="A54" t="s">
        <v>374</v>
      </c>
      <c r="B54" s="65"/>
      <c r="C54" s="65">
        <f>AVERAGE(INDEX('5 Adj NOA'!$1:$290,MATCH($A54,'5 Adj NOA'!$A:$A,0),MATCH(C$3,'5 Adj NOA'!$3:$3,0)),INDEX('5 Adj NOA'!$1:$290,MATCH($A54,'5 Adj NOA'!$A:$A,0),MATCH(B$3,'5 Adj NOA'!$3:$3,0)))/(C$9*52/C$6)</f>
        <v>2.4296182028538372E-3</v>
      </c>
      <c r="D54" s="65">
        <f>AVERAGE(INDEX('5 Adj NOA'!$1:$290,MATCH($A54,'5 Adj NOA'!$A:$A,0),MATCH(D$3,'5 Adj NOA'!$3:$3,0)),INDEX('5 Adj NOA'!$1:$290,MATCH($A54,'5 Adj NOA'!$A:$A,0),MATCH(C$3,'5 Adj NOA'!$3:$3,0)))/(D$9*52/D$6)</f>
        <v>2.6450910222498834E-3</v>
      </c>
      <c r="E54" s="65">
        <f>AVERAGE(INDEX('5 Adj NOA'!$1:$290,MATCH($A54,'5 Adj NOA'!$A:$A,0),MATCH(E$3,'5 Adj NOA'!$3:$3,0)),INDEX('5 Adj NOA'!$1:$290,MATCH($A54,'5 Adj NOA'!$A:$A,0),MATCH(D$3,'5 Adj NOA'!$3:$3,0)))/(E$9*52/E$6)</f>
        <v>1.697792869269949E-3</v>
      </c>
      <c r="F54" s="306">
        <f>INDEX('5 Adj NOA'!$1:$288,MATCH($A54,'5 Adj NOA'!$A:$A,0),MATCH(E$3,'5 Adj NOA'!$3:$3,0))/(F$9*52/F$6)</f>
        <v>1.4555495720338565E-3</v>
      </c>
      <c r="G54" s="308">
        <v>2E-3</v>
      </c>
      <c r="H54" s="308">
        <f t="shared" ref="H54:I54" si="24">+G54</f>
        <v>2E-3</v>
      </c>
      <c r="I54" s="308">
        <f t="shared" si="24"/>
        <v>2E-3</v>
      </c>
    </row>
    <row r="55" spans="1:9" x14ac:dyDescent="0.3">
      <c r="A55" t="s">
        <v>375</v>
      </c>
      <c r="B55" s="65"/>
      <c r="C55" s="65">
        <f>AVERAGE(INDEX('5 Adj NOA'!$1:$290,MATCH($A55,'5 Adj NOA'!$A:$A,0),MATCH(C$3,'5 Adj NOA'!$3:$3,0)),INDEX('5 Adj NOA'!$1:$290,MATCH($A55,'5 Adj NOA'!$A:$A,0),MATCH(B$3,'5 Adj NOA'!$3:$3,0)))/(C$9*52/C$6)</f>
        <v>2.2753567296567682E-3</v>
      </c>
      <c r="D55" s="65">
        <f>AVERAGE(INDEX('5 Adj NOA'!$1:$290,MATCH($A55,'5 Adj NOA'!$A:$A,0),MATCH(D$3,'5 Adj NOA'!$3:$3,0)),INDEX('5 Adj NOA'!$1:$290,MATCH($A55,'5 Adj NOA'!$A:$A,0),MATCH(C$3,'5 Adj NOA'!$3:$3,0)))/(D$9*52/D$6)</f>
        <v>1.8671230745293294E-3</v>
      </c>
      <c r="E55" s="65">
        <f>AVERAGE(INDEX('5 Adj NOA'!$1:$290,MATCH($A55,'5 Adj NOA'!$A:$A,0),MATCH(E$3,'5 Adj NOA'!$3:$3,0)),INDEX('5 Adj NOA'!$1:$290,MATCH($A55,'5 Adj NOA'!$A:$A,0),MATCH(D$3,'5 Adj NOA'!$3:$3,0)))/(E$9*52/E$6)</f>
        <v>1.2548903816343101E-3</v>
      </c>
      <c r="F55" s="306">
        <f>INDEX('5 Adj NOA'!$1:$288,MATCH($A55,'5 Adj NOA'!$A:$A,0),MATCH(E$3,'5 Adj NOA'!$3:$3,0))/(F$9*52/F$6)</f>
        <v>1.0188847004236996E-3</v>
      </c>
      <c r="G55" s="308">
        <v>1E-3</v>
      </c>
      <c r="H55" s="308">
        <f t="shared" ref="H55:I55" si="25">+G55</f>
        <v>1E-3</v>
      </c>
      <c r="I55" s="308">
        <f t="shared" si="25"/>
        <v>1E-3</v>
      </c>
    </row>
    <row r="56" spans="1:9" x14ac:dyDescent="0.3">
      <c r="A56" t="s">
        <v>377</v>
      </c>
      <c r="B56" s="65"/>
      <c r="C56" s="65">
        <f>AVERAGE(INDEX('5 Adj NOA'!$1:$290,MATCH($A56,'5 Adj NOA'!$A:$A,0),MATCH(C$3,'5 Adj NOA'!$3:$3,0)),INDEX('5 Adj NOA'!$1:$290,MATCH($A56,'5 Adj NOA'!$A:$A,0),MATCH(B$3,'5 Adj NOA'!$3:$3,0)))/(C$9*52/C$6)</f>
        <v>9.101426918627073E-3</v>
      </c>
      <c r="D56" s="65">
        <f>AVERAGE(INDEX('5 Adj NOA'!$1:$290,MATCH($A56,'5 Adj NOA'!$A:$A,0),MATCH(D$3,'5 Adj NOA'!$3:$3,0)),INDEX('5 Adj NOA'!$1:$290,MATCH($A56,'5 Adj NOA'!$A:$A,0),MATCH(C$3,'5 Adj NOA'!$3:$3,0)))/(D$9*52/D$6)</f>
        <v>1.6337326902131633E-2</v>
      </c>
      <c r="E56" s="65">
        <f>AVERAGE(INDEX('5 Adj NOA'!$1:$290,MATCH($A56,'5 Adj NOA'!$A:$A,0),MATCH(E$3,'5 Adj NOA'!$3:$3,0)),INDEX('5 Adj NOA'!$1:$290,MATCH($A56,'5 Adj NOA'!$A:$A,0),MATCH(D$3,'5 Adj NOA'!$3:$3,0)))/(E$9*52/E$6)</f>
        <v>1.8786447183878348E-2</v>
      </c>
      <c r="F56" s="306">
        <f>INDEX('5 Adj NOA'!$1:$288,MATCH($A56,'5 Adj NOA'!$A:$A,0),MATCH(E$3,'5 Adj NOA'!$3:$3,0))/(F$9*52/F$6)</f>
        <v>1.9649919222457062E-2</v>
      </c>
      <c r="G56" s="308">
        <v>0.02</v>
      </c>
      <c r="H56" s="308">
        <f t="shared" ref="H56:I56" si="26">+G56</f>
        <v>0.02</v>
      </c>
      <c r="I56" s="308">
        <f t="shared" si="26"/>
        <v>0.02</v>
      </c>
    </row>
    <row r="57" spans="1:9" x14ac:dyDescent="0.3">
      <c r="A57" t="s">
        <v>378</v>
      </c>
      <c r="B57" s="65"/>
      <c r="C57" s="65">
        <f>AVERAGE(INDEX('5 Adj NOA'!$1:$290,MATCH($A57,'5 Adj NOA'!$A:$A,0),MATCH(C$3,'5 Adj NOA'!$3:$3,0)),INDEX('5 Adj NOA'!$1:$290,MATCH($A57,'5 Adj NOA'!$A:$A,0),MATCH(B$3,'5 Adj NOA'!$3:$3,0)))/(C$9*52/C$6)</f>
        <v>1.6583108368684921E-3</v>
      </c>
      <c r="D57" s="65">
        <f>AVERAGE(INDEX('5 Adj NOA'!$1:$290,MATCH($A57,'5 Adj NOA'!$A:$A,0),MATCH(D$3,'5 Adj NOA'!$3:$3,0)),INDEX('5 Adj NOA'!$1:$290,MATCH($A57,'5 Adj NOA'!$A:$A,0),MATCH(C$3,'5 Adj NOA'!$3:$3,0)))/(D$9*52/D$6)</f>
        <v>1.6337326902131633E-3</v>
      </c>
      <c r="E57" s="65">
        <f>AVERAGE(INDEX('5 Adj NOA'!$1:$290,MATCH($A57,'5 Adj NOA'!$A:$A,0),MATCH(E$3,'5 Adj NOA'!$3:$3,0)),INDEX('5 Adj NOA'!$1:$290,MATCH($A57,'5 Adj NOA'!$A:$A,0),MATCH(D$3,'5 Adj NOA'!$3:$3,0)))/(E$9*52/E$6)</f>
        <v>1.9192441130877686E-3</v>
      </c>
      <c r="F57" s="306">
        <f>INDEX('5 Adj NOA'!$1:$288,MATCH($A57,'5 Adj NOA'!$A:$A,0),MATCH(E$3,'5 Adj NOA'!$3:$3,0))/(F$9*52/F$6)</f>
        <v>7.2777478601692824E-4</v>
      </c>
      <c r="G57" s="308">
        <v>2E-3</v>
      </c>
      <c r="H57" s="308">
        <f t="shared" ref="H57:I57" si="27">+G57</f>
        <v>2E-3</v>
      </c>
      <c r="I57" s="308">
        <f t="shared" si="27"/>
        <v>2E-3</v>
      </c>
    </row>
    <row r="58" spans="1:9" x14ac:dyDescent="0.3">
      <c r="A58" t="s">
        <v>381</v>
      </c>
      <c r="B58" s="65"/>
      <c r="C58" s="65">
        <f>AVERAGE(INDEX('5 Adj NOA'!$1:$290,MATCH($A58,'5 Adj NOA'!$A:$A,0),MATCH(C$3,'5 Adj NOA'!$3:$3,0)),INDEX('5 Adj NOA'!$1:$290,MATCH($A58,'5 Adj NOA'!$A:$A,0),MATCH(B$3,'5 Adj NOA'!$3:$3,0)))/(C$9*52/C$6)</f>
        <v>4.5121480910142696E-3</v>
      </c>
      <c r="D58" s="65">
        <f>AVERAGE(INDEX('5 Adj NOA'!$1:$290,MATCH($A58,'5 Adj NOA'!$A:$A,0),MATCH(D$3,'5 Adj NOA'!$3:$3,0)),INDEX('5 Adj NOA'!$1:$290,MATCH($A58,'5 Adj NOA'!$A:$A,0),MATCH(C$3,'5 Adj NOA'!$3:$3,0)))/(D$9*52/D$6)</f>
        <v>3.9676365333748253E-3</v>
      </c>
      <c r="E58" s="65">
        <f>AVERAGE(INDEX('5 Adj NOA'!$1:$290,MATCH($A58,'5 Adj NOA'!$A:$A,0),MATCH(E$3,'5 Adj NOA'!$3:$3,0)),INDEX('5 Adj NOA'!$1:$290,MATCH($A58,'5 Adj NOA'!$A:$A,0),MATCH(D$3,'5 Adj NOA'!$3:$3,0)))/(E$9*52/E$6)</f>
        <v>3.5801284417214144E-3</v>
      </c>
      <c r="F58" s="306">
        <f>INDEX('5 Adj NOA'!$1:$288,MATCH($A58,'5 Adj NOA'!$A:$A,0),MATCH(E$3,'5 Adj NOA'!$3:$3,0))/(F$9*52/F$6)</f>
        <v>1.8922144436440134E-3</v>
      </c>
      <c r="G58" s="308">
        <v>3.0000000000000001E-3</v>
      </c>
      <c r="H58" s="308">
        <f>+G58</f>
        <v>3.0000000000000001E-3</v>
      </c>
      <c r="I58" s="308">
        <f t="shared" ref="I58" si="28">+H58</f>
        <v>3.0000000000000001E-3</v>
      </c>
    </row>
    <row r="59" spans="1:9" x14ac:dyDescent="0.3">
      <c r="A59" t="s">
        <v>382</v>
      </c>
      <c r="B59" s="65"/>
      <c r="C59" s="65">
        <f>AVERAGE(INDEX('5 Adj NOA'!$1:$290,MATCH($A59,'5 Adj NOA'!$A:$A,0),MATCH(C$3,'5 Adj NOA'!$3:$3,0)),INDEX('5 Adj NOA'!$1:$290,MATCH($A59,'5 Adj NOA'!$A:$A,0),MATCH(B$3,'5 Adj NOA'!$3:$3,0)))/(C$9*52/C$6)</f>
        <v>-7.4816814500578482E-3</v>
      </c>
      <c r="D59" s="65">
        <f>AVERAGE(INDEX('5 Adj NOA'!$1:$290,MATCH($A59,'5 Adj NOA'!$A:$A,0),MATCH(D$3,'5 Adj NOA'!$3:$3,0)),INDEX('5 Adj NOA'!$1:$290,MATCH($A59,'5 Adj NOA'!$A:$A,0),MATCH(C$3,'5 Adj NOA'!$3:$3,0)))/(D$9*52/D$6)</f>
        <v>-1.1047144857631865E-2</v>
      </c>
      <c r="E59" s="65">
        <f>AVERAGE(INDEX('5 Adj NOA'!$1:$290,MATCH($A59,'5 Adj NOA'!$A:$A,0),MATCH(E$3,'5 Adj NOA'!$3:$3,0)),INDEX('5 Adj NOA'!$1:$290,MATCH($A59,'5 Adj NOA'!$A:$A,0),MATCH(D$3,'5 Adj NOA'!$3:$3,0)))/(E$9*52/E$6)</f>
        <v>-1.1773824462980734E-2</v>
      </c>
      <c r="F59" s="306">
        <f>INDEX('5 Adj NOA'!$1:$288,MATCH($A59,'5 Adj NOA'!$A:$A,0),MATCH(E$3,'5 Adj NOA'!$3:$3,0))/(F$9*52/F$6)</f>
        <v>-1.2081061447881009E-2</v>
      </c>
      <c r="G59" s="308">
        <v>-1.2E-2</v>
      </c>
      <c r="H59" s="308">
        <f>+G59</f>
        <v>-1.2E-2</v>
      </c>
      <c r="I59" s="308">
        <f>+H59</f>
        <v>-1.2E-2</v>
      </c>
    </row>
    <row r="60" spans="1:9" x14ac:dyDescent="0.3">
      <c r="A60" t="s">
        <v>164</v>
      </c>
      <c r="B60" s="65"/>
      <c r="C60" s="65">
        <f>AVERAGE(INDEX('5 Adj NOA'!$1:$290,MATCH($A60,'5 Adj NOA'!$A:$A,0),MATCH(C$3,'5 Adj NOA'!$3:$3,0)),INDEX('5 Adj NOA'!$1:$290,MATCH($A60,'5 Adj NOA'!$A:$A,0),MATCH(B$3,'5 Adj NOA'!$3:$3,0)))/(C$9*52/C$6)</f>
        <v>2.7535672965676824E-2</v>
      </c>
      <c r="D60" s="65">
        <f>AVERAGE(INDEX('5 Adj NOA'!$1:$290,MATCH($A60,'5 Adj NOA'!$A:$A,0),MATCH(D$3,'5 Adj NOA'!$3:$3,0)),INDEX('5 Adj NOA'!$1:$290,MATCH($A60,'5 Adj NOA'!$A:$A,0),MATCH(C$3,'5 Adj NOA'!$3:$3,0)))/(D$9*52/D$6)</f>
        <v>2.9601680410767075E-2</v>
      </c>
      <c r="E60" s="65">
        <f>AVERAGE(INDEX('5 Adj NOA'!$1:$290,MATCH($A60,'5 Adj NOA'!$A:$A,0),MATCH(E$3,'5 Adj NOA'!$3:$3,0)),INDEX('5 Adj NOA'!$1:$290,MATCH($A60,'5 Adj NOA'!$A:$A,0),MATCH(D$3,'5 Adj NOA'!$3:$3,0)))/(E$9*52/E$6)</f>
        <v>3.2184247434856428E-2</v>
      </c>
      <c r="F60" s="306">
        <f>INDEX('5 Adj NOA'!$1:$288,MATCH($A60,'5 Adj NOA'!$A:$A,0),MATCH(E$3,'5 Adj NOA'!$3:$3,0))/(F$9*52/F$6)</f>
        <v>3.5442632079024407E-2</v>
      </c>
      <c r="G60" s="308">
        <v>3.5999999999999997E-2</v>
      </c>
      <c r="H60" s="308">
        <v>3.7999999999999999E-2</v>
      </c>
      <c r="I60" s="308">
        <f>+H60</f>
        <v>3.7999999999999999E-2</v>
      </c>
    </row>
    <row r="61" spans="1:9" x14ac:dyDescent="0.3">
      <c r="A61" t="s">
        <v>234</v>
      </c>
      <c r="B61" s="65"/>
      <c r="C61" s="65">
        <f>AVERAGE(INDEX('5 Adj NOA'!$1:$290,MATCH($A61,'5 Adj NOA'!$A:$A,0),MATCH(C$3,'5 Adj NOA'!$3:$3,0)),INDEX('5 Adj NOA'!$1:$290,MATCH($A61,'5 Adj NOA'!$A:$A,0),MATCH(B$3,'5 Adj NOA'!$3:$3,0)))/(C$9*52/C$6)</f>
        <v>-0.15121480910142693</v>
      </c>
      <c r="D61" s="65">
        <f>AVERAGE(INDEX('5 Adj NOA'!$1:$290,MATCH($A61,'5 Adj NOA'!$A:$A,0),MATCH(D$3,'5 Adj NOA'!$3:$3,0)),INDEX('5 Adj NOA'!$1:$290,MATCH($A61,'5 Adj NOA'!$A:$A,0),MATCH(C$3,'5 Adj NOA'!$3:$3,0)))/(D$9*52/D$6)</f>
        <v>-0.16660183600435663</v>
      </c>
      <c r="E61" s="65">
        <f>AVERAGE(INDEX('5 Adj NOA'!$1:$290,MATCH($A61,'5 Adj NOA'!$A:$A,0),MATCH(E$3,'5 Adj NOA'!$3:$3,0)),INDEX('5 Adj NOA'!$1:$290,MATCH($A61,'5 Adj NOA'!$A:$A,0),MATCH(D$3,'5 Adj NOA'!$3:$3,0)))/(E$9*52/E$6)</f>
        <v>-0.17332250682808001</v>
      </c>
      <c r="F61" s="306">
        <f>INDEX('5 Adj NOA'!$1:$288,MATCH($A61,'5 Adj NOA'!$A:$A,0),MATCH(E$3,'5 Adj NOA'!$3:$3,0))/(F$9*52/F$6)</f>
        <v>-0.17663094056630849</v>
      </c>
      <c r="G61" s="308">
        <v>-0.18</v>
      </c>
      <c r="H61" s="308">
        <f t="shared" ref="H61:I61" si="29">+G61</f>
        <v>-0.18</v>
      </c>
      <c r="I61" s="308">
        <f t="shared" si="29"/>
        <v>-0.18</v>
      </c>
    </row>
    <row r="62" spans="1:9" x14ac:dyDescent="0.3">
      <c r="A62" t="s">
        <v>388</v>
      </c>
      <c r="B62" s="65"/>
      <c r="C62" s="65">
        <f>AVERAGE(INDEX('5 Adj NOA'!$1:$290,MATCH($A62,'5 Adj NOA'!$A:$A,0),MATCH(C$3,'5 Adj NOA'!$3:$3,0)),INDEX('5 Adj NOA'!$1:$290,MATCH($A62,'5 Adj NOA'!$A:$A,0),MATCH(B$3,'5 Adj NOA'!$3:$3,0)))/(C$9*52/C$6)</f>
        <v>-3.4323177786347858E-3</v>
      </c>
      <c r="D62" s="65">
        <f>AVERAGE(INDEX('5 Adj NOA'!$1:$290,MATCH($A62,'5 Adj NOA'!$A:$A,0),MATCH(D$3,'5 Adj NOA'!$3:$3,0)),INDEX('5 Adj NOA'!$1:$290,MATCH($A62,'5 Adj NOA'!$A:$A,0),MATCH(C$3,'5 Adj NOA'!$3:$3,0)))/(D$9*52/D$6)</f>
        <v>-2.9951765987241328E-3</v>
      </c>
      <c r="E62" s="65">
        <f>AVERAGE(INDEX('5 Adj NOA'!$1:$290,MATCH($A62,'5 Adj NOA'!$A:$A,0),MATCH(E$3,'5 Adj NOA'!$3:$3,0)),INDEX('5 Adj NOA'!$1:$290,MATCH($A62,'5 Adj NOA'!$A:$A,0),MATCH(D$3,'5 Adj NOA'!$3:$3,0)))/(E$9*52/E$6)</f>
        <v>-2.8788661696316528E-3</v>
      </c>
      <c r="F62" s="306">
        <f>INDEX('5 Adj NOA'!$1:$288,MATCH($A62,'5 Adj NOA'!$A:$A,0),MATCH(E$3,'5 Adj NOA'!$3:$3,0))/(F$9*52/F$6)</f>
        <v>-3.4933189728812552E-3</v>
      </c>
      <c r="G62" s="308">
        <v>-3.0000000000000001E-3</v>
      </c>
      <c r="H62" s="308">
        <f t="shared" ref="H62:I62" si="30">+G62</f>
        <v>-3.0000000000000001E-3</v>
      </c>
      <c r="I62" s="308">
        <f t="shared" si="30"/>
        <v>-3.0000000000000001E-3</v>
      </c>
    </row>
    <row r="63" spans="1:9" x14ac:dyDescent="0.3">
      <c r="A63" t="s">
        <v>389</v>
      </c>
      <c r="B63" s="65"/>
      <c r="C63" s="65">
        <f>AVERAGE(INDEX('5 Adj NOA'!$1:$290,MATCH($A63,'5 Adj NOA'!$A:$A,0),MATCH(C$3,'5 Adj NOA'!$3:$3,0)),INDEX('5 Adj NOA'!$1:$290,MATCH($A63,'5 Adj NOA'!$A:$A,0),MATCH(B$3,'5 Adj NOA'!$3:$3,0)))/(C$9*52/C$6)</f>
        <v>-2.4797531816428846E-2</v>
      </c>
      <c r="D63" s="65">
        <f>AVERAGE(INDEX('5 Adj NOA'!$1:$290,MATCH($A63,'5 Adj NOA'!$A:$A,0),MATCH(D$3,'5 Adj NOA'!$3:$3,0)),INDEX('5 Adj NOA'!$1:$290,MATCH($A63,'5 Adj NOA'!$A:$A,0),MATCH(C$3,'5 Adj NOA'!$3:$3,0)))/(D$9*52/D$6)</f>
        <v>-2.4467091955811419E-2</v>
      </c>
      <c r="E63" s="65">
        <f>AVERAGE(INDEX('5 Adj NOA'!$1:$290,MATCH($A63,'5 Adj NOA'!$A:$A,0),MATCH(E$3,'5 Adj NOA'!$3:$3,0)),INDEX('5 Adj NOA'!$1:$290,MATCH($A63,'5 Adj NOA'!$A:$A,0),MATCH(D$3,'5 Adj NOA'!$3:$3,0)))/(E$9*52/E$6)</f>
        <v>-2.2883295194508008E-2</v>
      </c>
      <c r="F63" s="306">
        <f>INDEX('5 Adj NOA'!$1:$288,MATCH($A63,'5 Adj NOA'!$A:$A,0),MATCH(E$3,'5 Adj NOA'!$3:$3,0))/(F$9*52/F$6)</f>
        <v>-2.2488240887923082E-2</v>
      </c>
      <c r="G63" s="308">
        <v>-2.3E-2</v>
      </c>
      <c r="H63" s="308">
        <f t="shared" ref="H63:I63" si="31">+G63</f>
        <v>-2.3E-2</v>
      </c>
      <c r="I63" s="308">
        <f t="shared" si="31"/>
        <v>-2.3E-2</v>
      </c>
    </row>
    <row r="64" spans="1:9" x14ac:dyDescent="0.3">
      <c r="A64" t="s">
        <v>390</v>
      </c>
      <c r="B64" s="65"/>
      <c r="C64" s="65">
        <f>AVERAGE(INDEX('5 Adj NOA'!$1:$290,MATCH($A64,'5 Adj NOA'!$A:$A,0),MATCH(C$3,'5 Adj NOA'!$3:$3,0)),INDEX('5 Adj NOA'!$1:$290,MATCH($A64,'5 Adj NOA'!$A:$A,0),MATCH(B$3,'5 Adj NOA'!$3:$3,0)))/(C$9*52/C$6)</f>
        <v>-3.4053220208252986E-2</v>
      </c>
      <c r="D64" s="65">
        <f>AVERAGE(INDEX('5 Adj NOA'!$1:$290,MATCH($A64,'5 Adj NOA'!$A:$A,0),MATCH(D$3,'5 Adj NOA'!$3:$3,0)),INDEX('5 Adj NOA'!$1:$290,MATCH($A64,'5 Adj NOA'!$A:$A,0),MATCH(C$3,'5 Adj NOA'!$3:$3,0)))/(D$9*52/D$6)</f>
        <v>-3.9598568538976191E-2</v>
      </c>
      <c r="E64" s="65">
        <f>AVERAGE(INDEX('5 Adj NOA'!$1:$290,MATCH($A64,'5 Adj NOA'!$A:$A,0),MATCH(E$3,'5 Adj NOA'!$3:$3,0)),INDEX('5 Adj NOA'!$1:$290,MATCH($A64,'5 Adj NOA'!$A:$A,0),MATCH(D$3,'5 Adj NOA'!$3:$3,0)))/(E$9*52/E$6)</f>
        <v>-4.2038827784749391E-2</v>
      </c>
      <c r="F64" s="306">
        <f>INDEX('5 Adj NOA'!$1:$288,MATCH($A64,'5 Adj NOA'!$A:$A,0),MATCH(E$3,'5 Adj NOA'!$3:$3,0))/(F$9*52/F$6)</f>
        <v>-4.05370555811429E-2</v>
      </c>
      <c r="G64" s="308">
        <v>-0.04</v>
      </c>
      <c r="H64" s="308">
        <f t="shared" ref="H64:I64" si="32">+G64</f>
        <v>-0.04</v>
      </c>
      <c r="I64" s="308">
        <f t="shared" si="32"/>
        <v>-0.04</v>
      </c>
    </row>
    <row r="65" spans="1:14" x14ac:dyDescent="0.3">
      <c r="A65" t="s">
        <v>391</v>
      </c>
      <c r="B65" s="65"/>
      <c r="C65" s="65">
        <f>AVERAGE(INDEX('5 Adj NOA'!$1:$290,MATCH($A65,'5 Adj NOA'!$A:$A,0),MATCH(C$3,'5 Adj NOA'!$3:$3,0)),INDEX('5 Adj NOA'!$1:$290,MATCH($A65,'5 Adj NOA'!$A:$A,0),MATCH(B$3,'5 Adj NOA'!$3:$3,0)))/(C$9*52/C$6)</f>
        <v>-4.1689163131507903E-2</v>
      </c>
      <c r="D65" s="65">
        <f>AVERAGE(INDEX('5 Adj NOA'!$1:$290,MATCH($A65,'5 Adj NOA'!$A:$A,0),MATCH(D$3,'5 Adj NOA'!$3:$3,0)),INDEX('5 Adj NOA'!$1:$290,MATCH($A65,'5 Adj NOA'!$A:$A,0),MATCH(C$3,'5 Adj NOA'!$3:$3,0)))/(D$9*52/D$6)</f>
        <v>-4.2593745137700326E-2</v>
      </c>
      <c r="E65" s="65">
        <f>AVERAGE(INDEX('5 Adj NOA'!$1:$290,MATCH($A65,'5 Adj NOA'!$A:$A,0),MATCH(E$3,'5 Adj NOA'!$3:$3,0)),INDEX('5 Adj NOA'!$1:$290,MATCH($A65,'5 Adj NOA'!$A:$A,0),MATCH(D$3,'5 Adj NOA'!$3:$3,0)))/(E$9*52/E$6)</f>
        <v>-3.7056174798848457E-2</v>
      </c>
      <c r="F65" s="306">
        <f>INDEX('5 Adj NOA'!$1:$288,MATCH($A65,'5 Adj NOA'!$A:$A,0),MATCH(E$3,'5 Adj NOA'!$3:$3,0))/(F$9*52/F$6)</f>
        <v>-3.478763477160917E-2</v>
      </c>
      <c r="G65" s="308">
        <v>-3.9E-2</v>
      </c>
      <c r="H65" s="308">
        <f t="shared" ref="H65:I65" si="33">+G65</f>
        <v>-3.9E-2</v>
      </c>
      <c r="I65" s="308">
        <f t="shared" si="33"/>
        <v>-3.9E-2</v>
      </c>
    </row>
    <row r="66" spans="1:14" x14ac:dyDescent="0.3">
      <c r="A66" t="s">
        <v>392</v>
      </c>
      <c r="B66" s="65"/>
      <c r="C66" s="65">
        <f>AVERAGE(INDEX('5 Adj NOA'!$1:$290,MATCH($A66,'5 Adj NOA'!$A:$A,0),MATCH(C$3,'5 Adj NOA'!$3:$3,0)),INDEX('5 Adj NOA'!$1:$290,MATCH($A66,'5 Adj NOA'!$A:$A,0),MATCH(B$3,'5 Adj NOA'!$3:$3,0)))/(C$9*52/C$6)</f>
        <v>-2.9695333590435791E-3</v>
      </c>
      <c r="D66" s="65">
        <f>AVERAGE(INDEX('5 Adj NOA'!$1:$290,MATCH($A66,'5 Adj NOA'!$A:$A,0),MATCH(D$3,'5 Adj NOA'!$3:$3,0)),INDEX('5 Adj NOA'!$1:$290,MATCH($A66,'5 Adj NOA'!$A:$A,0),MATCH(C$3,'5 Adj NOA'!$3:$3,0)))/(D$9*52/D$6)</f>
        <v>-3.1896685856542708E-3</v>
      </c>
      <c r="E66" s="65">
        <f>AVERAGE(INDEX('5 Adj NOA'!$1:$290,MATCH($A66,'5 Adj NOA'!$A:$A,0),MATCH(E$3,'5 Adj NOA'!$3:$3,0)),INDEX('5 Adj NOA'!$1:$290,MATCH($A66,'5 Adj NOA'!$A:$A,0),MATCH(D$3,'5 Adj NOA'!$3:$3,0)))/(E$9*52/E$6)</f>
        <v>-2.4728722226323172E-3</v>
      </c>
      <c r="F66" s="306">
        <f>INDEX('5 Adj NOA'!$1:$288,MATCH($A66,'5 Adj NOA'!$A:$A,0),MATCH(E$3,'5 Adj NOA'!$3:$3,0))/(F$9*52/F$6)</f>
        <v>-1.3827720934321635E-3</v>
      </c>
      <c r="G66" s="308">
        <v>-1E-3</v>
      </c>
      <c r="H66" s="308">
        <f t="shared" ref="H66:I66" si="34">+G66</f>
        <v>-1E-3</v>
      </c>
      <c r="I66" s="308">
        <f t="shared" si="34"/>
        <v>-1E-3</v>
      </c>
    </row>
    <row r="67" spans="1:14" x14ac:dyDescent="0.3">
      <c r="A67" t="s">
        <v>393</v>
      </c>
      <c r="B67" s="65"/>
      <c r="C67" s="65">
        <f>AVERAGE(INDEX('5 Adj NOA'!$1:$290,MATCH($A67,'5 Adj NOA'!$A:$A,0),MATCH(C$3,'5 Adj NOA'!$3:$3,0)),INDEX('5 Adj NOA'!$1:$290,MATCH($A67,'5 Adj NOA'!$A:$A,0),MATCH(B$3,'5 Adj NOA'!$3:$3,0)))/(C$9*52/C$6)</f>
        <v>-1.96683378326263E-3</v>
      </c>
      <c r="D67" s="65">
        <f>AVERAGE(INDEX('5 Adj NOA'!$1:$290,MATCH($A67,'5 Adj NOA'!$A:$A,0),MATCH(D$3,'5 Adj NOA'!$3:$3,0)),INDEX('5 Adj NOA'!$1:$290,MATCH($A67,'5 Adj NOA'!$A:$A,0),MATCH(C$3,'5 Adj NOA'!$3:$3,0)))/(D$9*52/D$6)</f>
        <v>-1.9838182666874126E-3</v>
      </c>
      <c r="E67" s="65">
        <f>AVERAGE(INDEX('5 Adj NOA'!$1:$290,MATCH($A67,'5 Adj NOA'!$A:$A,0),MATCH(E$3,'5 Adj NOA'!$3:$3,0)),INDEX('5 Adj NOA'!$1:$290,MATCH($A67,'5 Adj NOA'!$A:$A,0),MATCH(D$3,'5 Adj NOA'!$3:$3,0)))/(E$9*52/E$6)</f>
        <v>0</v>
      </c>
      <c r="F67" s="306">
        <f>INDEX('5 Adj NOA'!$1:$288,MATCH($A67,'5 Adj NOA'!$A:$A,0),MATCH(E$3,'5 Adj NOA'!$3:$3,0))/(F$9*52/F$6)</f>
        <v>0</v>
      </c>
      <c r="G67" s="308">
        <v>0</v>
      </c>
      <c r="H67" s="308">
        <f t="shared" ref="H67:I67" si="35">+G67</f>
        <v>0</v>
      </c>
      <c r="I67" s="308">
        <f t="shared" si="35"/>
        <v>0</v>
      </c>
    </row>
    <row r="68" spans="1:14" x14ac:dyDescent="0.3">
      <c r="A68" t="s">
        <v>394</v>
      </c>
      <c r="B68" s="65"/>
      <c r="C68" s="65">
        <f>AVERAGE(INDEX('5 Adj NOA'!$1:$290,MATCH($A68,'5 Adj NOA'!$A:$A,0),MATCH(C$3,'5 Adj NOA'!$3:$3,0)),INDEX('5 Adj NOA'!$1:$290,MATCH($A68,'5 Adj NOA'!$A:$A,0),MATCH(B$3,'5 Adj NOA'!$3:$3,0)))/(C$9*52/C$6)</f>
        <v>-2.5568839182414191E-2</v>
      </c>
      <c r="D68" s="65">
        <f>AVERAGE(INDEX('5 Adj NOA'!$1:$290,MATCH($A68,'5 Adj NOA'!$A:$A,0),MATCH(D$3,'5 Adj NOA'!$3:$3,0)),INDEX('5 Adj NOA'!$1:$290,MATCH($A68,'5 Adj NOA'!$A:$A,0),MATCH(C$3,'5 Adj NOA'!$3:$3,0)))/(D$9*52/D$6)</f>
        <v>-2.0460557025050567E-2</v>
      </c>
      <c r="E68" s="65">
        <f>AVERAGE(INDEX('5 Adj NOA'!$1:$290,MATCH($A68,'5 Adj NOA'!$A:$A,0),MATCH(E$3,'5 Adj NOA'!$3:$3,0)),INDEX('5 Adj NOA'!$1:$290,MATCH($A68,'5 Adj NOA'!$A:$A,0),MATCH(D$3,'5 Adj NOA'!$3:$3,0)))/(E$9*52/E$6)</f>
        <v>-1.5796855392337786E-2</v>
      </c>
      <c r="F68" s="306">
        <f>INDEX('5 Adj NOA'!$1:$288,MATCH($A68,'5 Adj NOA'!$A:$A,0),MATCH(E$3,'5 Adj NOA'!$3:$3,0))/(F$9*52/F$6)</f>
        <v>-1.6011045292372419E-2</v>
      </c>
      <c r="G68" s="308">
        <v>-1.6E-2</v>
      </c>
      <c r="H68" s="308">
        <f t="shared" ref="H68:I68" si="36">+G68</f>
        <v>-1.6E-2</v>
      </c>
      <c r="I68" s="308">
        <f t="shared" si="36"/>
        <v>-1.6E-2</v>
      </c>
    </row>
    <row r="69" spans="1:14" x14ac:dyDescent="0.3">
      <c r="A69" t="s">
        <v>395</v>
      </c>
      <c r="B69" s="65"/>
      <c r="C69" s="65">
        <f>AVERAGE(INDEX('5 Adj NOA'!$1:$290,MATCH($A69,'5 Adj NOA'!$A:$A,0),MATCH(C$3,'5 Adj NOA'!$3:$3,0)),INDEX('5 Adj NOA'!$1:$290,MATCH($A69,'5 Adj NOA'!$A:$A,0),MATCH(B$3,'5 Adj NOA'!$3:$3,0)))/(C$9*52/C$6)</f>
        <v>-4.5430003856536831E-2</v>
      </c>
      <c r="D69" s="65">
        <f>AVERAGE(INDEX('5 Adj NOA'!$1:$290,MATCH($A69,'5 Adj NOA'!$A:$A,0),MATCH(D$3,'5 Adj NOA'!$3:$3,0)),INDEX('5 Adj NOA'!$1:$290,MATCH($A69,'5 Adj NOA'!$A:$A,0),MATCH(C$3,'5 Adj NOA'!$3:$3,0)))/(D$9*52/D$6)</f>
        <v>-3.6331103158549871E-2</v>
      </c>
      <c r="E69" s="65">
        <f>AVERAGE(INDEX('5 Adj NOA'!$1:$290,MATCH($A69,'5 Adj NOA'!$A:$A,0),MATCH(E$3,'5 Adj NOA'!$3:$3,0)),INDEX('5 Adj NOA'!$1:$290,MATCH($A69,'5 Adj NOA'!$A:$A,0),MATCH(D$3,'5 Adj NOA'!$3:$3,0)))/(E$9*52/E$6)</f>
        <v>-3.4878570901306562E-2</v>
      </c>
      <c r="F69" s="306">
        <f>INDEX('5 Adj NOA'!$1:$288,MATCH($A69,'5 Adj NOA'!$A:$A,0),MATCH(E$3,'5 Adj NOA'!$3:$3,0))/(F$9*52/F$6)</f>
        <v>-4.4612594382837698E-2</v>
      </c>
      <c r="G69" s="308">
        <v>-3.9E-2</v>
      </c>
      <c r="H69" s="308">
        <f t="shared" ref="H69:I69" si="37">+G69</f>
        <v>-3.9E-2</v>
      </c>
      <c r="I69" s="308">
        <f t="shared" si="37"/>
        <v>-3.9E-2</v>
      </c>
    </row>
    <row r="70" spans="1:14" x14ac:dyDescent="0.3">
      <c r="A70" t="s">
        <v>396</v>
      </c>
      <c r="B70" s="65"/>
      <c r="C70" s="65">
        <f>AVERAGE(INDEX('5 Adj NOA'!$1:$290,MATCH($A70,'5 Adj NOA'!$A:$A,0),MATCH(C$3,'5 Adj NOA'!$3:$3,0)),INDEX('5 Adj NOA'!$1:$290,MATCH($A70,'5 Adj NOA'!$A:$A,0),MATCH(B$3,'5 Adj NOA'!$3:$3,0)))/(C$9*52/C$6)</f>
        <v>0</v>
      </c>
      <c r="D70" s="65">
        <f>AVERAGE(INDEX('5 Adj NOA'!$1:$290,MATCH($A70,'5 Adj NOA'!$A:$A,0),MATCH(D$3,'5 Adj NOA'!$3:$3,0)),INDEX('5 Adj NOA'!$1:$290,MATCH($A70,'5 Adj NOA'!$A:$A,0),MATCH(C$3,'5 Adj NOA'!$3:$3,0)))/(D$9*52/D$6)</f>
        <v>0</v>
      </c>
      <c r="E70" s="65">
        <f>AVERAGE(INDEX('5 Adj NOA'!$1:$290,MATCH($A70,'5 Adj NOA'!$A:$A,0),MATCH(E$3,'5 Adj NOA'!$3:$3,0)),INDEX('5 Adj NOA'!$1:$290,MATCH($A70,'5 Adj NOA'!$A:$A,0),MATCH(D$3,'5 Adj NOA'!$3:$3,0)))/(E$9*52/E$6)</f>
        <v>0</v>
      </c>
      <c r="F70" s="306">
        <f>INDEX('5 Adj NOA'!$1:$288,MATCH($A70,'5 Adj NOA'!$A:$A,0),MATCH(E$3,'5 Adj NOA'!$3:$3,0))/(F$9*52/F$6)</f>
        <v>0</v>
      </c>
      <c r="G70" s="308">
        <v>0</v>
      </c>
      <c r="H70" s="308">
        <f t="shared" ref="H70:I70" si="38">+G70</f>
        <v>0</v>
      </c>
      <c r="I70" s="308">
        <f t="shared" si="38"/>
        <v>0</v>
      </c>
    </row>
    <row r="71" spans="1:14" x14ac:dyDescent="0.3">
      <c r="A71" t="s">
        <v>400</v>
      </c>
      <c r="B71" s="90"/>
      <c r="C71" s="65">
        <f>AVERAGE(INDEX('5 Adj NOA'!$1:$290,MATCH($A71,'5 Adj NOA'!$A:$A,0),MATCH(C$3,'5 Adj NOA'!$3:$3,0)),INDEX('5 Adj NOA'!$1:$290,MATCH($A71,'5 Adj NOA'!$A:$A,0),MATCH(B$3,'5 Adj NOA'!$3:$3,0)))/(C$9*52/C$6)</f>
        <v>-1.8511376783648284E-3</v>
      </c>
      <c r="D71" s="65">
        <f>AVERAGE(INDEX('5 Adj NOA'!$1:$290,MATCH($A71,'5 Adj NOA'!$A:$A,0),MATCH(D$3,'5 Adj NOA'!$3:$3,0)),INDEX('5 Adj NOA'!$1:$290,MATCH($A71,'5 Adj NOA'!$A:$A,0),MATCH(C$3,'5 Adj NOA'!$3:$3,0)))/(D$9*52/D$6)</f>
        <v>-9.3356153726466464E-3</v>
      </c>
      <c r="E71" s="65">
        <f>AVERAGE(INDEX('5 Adj NOA'!$1:$290,MATCH($A71,'5 Adj NOA'!$A:$A,0),MATCH(E$3,'5 Adj NOA'!$3:$3,0)),INDEX('5 Adj NOA'!$1:$290,MATCH($A71,'5 Adj NOA'!$A:$A,0),MATCH(D$3,'5 Adj NOA'!$3:$3,0)))/(E$9*52/E$6)</f>
        <v>-1.1330921975345095E-2</v>
      </c>
      <c r="F71" s="306">
        <f>INDEX('5 Adj NOA'!$1:$288,MATCH($A71,'5 Adj NOA'!$A:$A,0),MATCH(E$3,'5 Adj NOA'!$3:$3,0))/(F$9*52/F$6)</f>
        <v>-8.3694100391946743E-3</v>
      </c>
      <c r="G71" s="308">
        <v>-0.01</v>
      </c>
      <c r="H71" s="308">
        <f>+G71</f>
        <v>-0.01</v>
      </c>
      <c r="I71" s="308">
        <f t="shared" ref="I71" si="39">+H71</f>
        <v>-0.01</v>
      </c>
    </row>
    <row r="72" spans="1:14" x14ac:dyDescent="0.3">
      <c r="B72" s="91"/>
      <c r="C72" s="58"/>
      <c r="D72" s="58"/>
      <c r="E72" s="58"/>
      <c r="F72" s="58"/>
      <c r="G72" s="58"/>
      <c r="H72" s="58"/>
      <c r="I72" s="58"/>
    </row>
    <row r="73" spans="1:14" s="13" customFormat="1" ht="15" thickBot="1" x14ac:dyDescent="0.35">
      <c r="A73" s="13" t="s">
        <v>209</v>
      </c>
      <c r="B73" s="309"/>
      <c r="C73" s="310">
        <f t="shared" ref="C73:I73" si="40">SUM(C12:C71)</f>
        <v>0.85626687234863053</v>
      </c>
      <c r="D73" s="310">
        <f t="shared" si="40"/>
        <v>0.88812820911778434</v>
      </c>
      <c r="E73" s="310">
        <f t="shared" si="40"/>
        <v>0.91234221598877974</v>
      </c>
      <c r="F73" s="310">
        <f t="shared" si="40"/>
        <v>0.94094002084128647</v>
      </c>
      <c r="G73" s="310">
        <f t="shared" si="40"/>
        <v>1.0235337537626108</v>
      </c>
      <c r="H73" s="310">
        <f t="shared" si="40"/>
        <v>1.035388745468478</v>
      </c>
      <c r="I73" s="310">
        <f t="shared" si="40"/>
        <v>1.0482474425553781</v>
      </c>
    </row>
    <row r="74" spans="1:14" ht="15" thickTop="1" x14ac:dyDescent="0.3">
      <c r="B74" s="24"/>
    </row>
    <row r="75" spans="1:14" s="13" customFormat="1" x14ac:dyDescent="0.3">
      <c r="A75" s="13" t="s">
        <v>212</v>
      </c>
      <c r="B75" s="311"/>
      <c r="C75" s="312">
        <f t="shared" ref="C75:E75" si="41">1/C73</f>
        <v>1.167860199072198</v>
      </c>
      <c r="D75" s="312">
        <f t="shared" si="41"/>
        <v>1.1259635599159075</v>
      </c>
      <c r="E75" s="312">
        <f t="shared" si="41"/>
        <v>1.0960799385088393</v>
      </c>
      <c r="F75" s="312">
        <f t="shared" ref="F75:I75" si="42">1/F73</f>
        <v>1.0627669966741435</v>
      </c>
      <c r="G75" s="312">
        <f t="shared" si="42"/>
        <v>0.9770073496100169</v>
      </c>
      <c r="H75" s="312">
        <f t="shared" si="42"/>
        <v>0.96582081307783019</v>
      </c>
      <c r="I75" s="312">
        <f t="shared" si="42"/>
        <v>0.95397323132240397</v>
      </c>
    </row>
    <row r="76" spans="1:14" x14ac:dyDescent="0.3">
      <c r="B76" s="24"/>
    </row>
    <row r="78" spans="1:14" x14ac:dyDescent="0.3">
      <c r="A78" s="276" t="s">
        <v>511</v>
      </c>
      <c r="B78" s="313"/>
      <c r="C78" s="314">
        <f>C75-'6 Analyzing'!C26</f>
        <v>0</v>
      </c>
      <c r="D78" s="314">
        <f>D75-'6 Analyzing'!D26</f>
        <v>0</v>
      </c>
      <c r="E78" s="314">
        <f>E75-'6 Analyzing'!E26</f>
        <v>0</v>
      </c>
      <c r="F78" s="169"/>
      <c r="G78" s="169"/>
      <c r="H78" s="169"/>
      <c r="I78" s="169"/>
      <c r="J78" s="169"/>
      <c r="K78" s="169"/>
      <c r="L78" s="169"/>
      <c r="M78" s="169"/>
      <c r="N78" s="169"/>
    </row>
    <row r="79" spans="1:14" x14ac:dyDescent="0.3">
      <c r="A79" s="276" t="s">
        <v>200</v>
      </c>
      <c r="B79" s="169"/>
      <c r="C79" s="302">
        <f>C4*'7 F-PM'!B4</f>
        <v>7.3323424762419473E-2</v>
      </c>
      <c r="D79" s="302">
        <f>D4*'7 F-PM'!C4</f>
        <v>0.10213735108619486</v>
      </c>
      <c r="E79" s="302">
        <f>E4*'7 F-PM'!D4</f>
        <v>0.12880779966827122</v>
      </c>
      <c r="F79" s="302">
        <f>F4*'7 F-PM'!E4</f>
        <v>9.9581267588367245E-2</v>
      </c>
      <c r="G79" s="302">
        <f>G4*'7 F-PM'!F4</f>
        <v>9.3695004827600653E-2</v>
      </c>
      <c r="H79" s="302">
        <f>H4*'7 F-PM'!G4</f>
        <v>9.6678663389090883E-2</v>
      </c>
      <c r="I79" s="302">
        <f>I4*'7 F-PM'!H4</f>
        <v>9.7114474948620785E-2</v>
      </c>
      <c r="J79" s="302">
        <f>J4*'7 F-PM'!I4</f>
        <v>9.9263999999999991E-2</v>
      </c>
      <c r="K79" s="302">
        <f>K4*'7 F-PM'!J4</f>
        <v>9.9263999999999991E-2</v>
      </c>
      <c r="L79" s="302">
        <f>L4*'7 F-PM'!K4</f>
        <v>9.9263999999999991E-2</v>
      </c>
      <c r="M79" s="302">
        <f>M4*'7 F-PM'!L4</f>
        <v>9.9263999999999991E-2</v>
      </c>
      <c r="N79" s="302">
        <f>N4*'7 F-PM'!M4</f>
        <v>9.9263999999999991E-2</v>
      </c>
    </row>
  </sheetData>
  <pageMargins left="0.7" right="0.7" top="0.75" bottom="0.75" header="0.3" footer="0.3"/>
  <pageSetup orientation="portrait" r:id="rId1"/>
  <ignoredErrors>
    <ignoredError sqref="H20:I20" 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T46"/>
  <sheetViews>
    <sheetView workbookViewId="0">
      <pane xSplit="1" ySplit="3" topLeftCell="D4" activePane="bottomRight" state="frozen"/>
      <selection pane="topRight" activeCell="C1" sqref="C1"/>
      <selection pane="bottomLeft" activeCell="A4" sqref="A4"/>
      <selection pane="bottomRight" activeCell="E5" sqref="E5"/>
    </sheetView>
  </sheetViews>
  <sheetFormatPr defaultRowHeight="14.4" x14ac:dyDescent="0.3"/>
  <cols>
    <col min="1" max="1" width="50.44140625" bestFit="1" customWidth="1"/>
    <col min="2" max="2" width="8.77734375" bestFit="1" customWidth="1"/>
    <col min="3" max="5" width="12.5546875" bestFit="1" customWidth="1"/>
    <col min="6" max="6" width="10.77734375" bestFit="1" customWidth="1"/>
    <col min="7" max="7" width="9.5546875" bestFit="1" customWidth="1"/>
    <col min="8" max="8" width="10.77734375" bestFit="1" customWidth="1"/>
  </cols>
  <sheetData>
    <row r="3" spans="1:7" ht="15" thickBot="1" x14ac:dyDescent="0.35">
      <c r="A3" t="str">
        <f>+'3 BS Reported'!A3</f>
        <v>Amounts in millions</v>
      </c>
      <c r="B3" s="93">
        <f>+'6 Analyzing'!B3</f>
        <v>42371</v>
      </c>
      <c r="C3" s="93">
        <f>+'6 Analyzing'!C3</f>
        <v>42735</v>
      </c>
      <c r="D3" s="93">
        <f>+'6 Analyzing'!D3</f>
        <v>43099</v>
      </c>
      <c r="E3" s="93">
        <f>+'6 Analyzing'!E3</f>
        <v>43463</v>
      </c>
    </row>
    <row r="4" spans="1:7" s="13" customFormat="1" x14ac:dyDescent="0.3">
      <c r="A4" s="13" t="str">
        <f>+A46</f>
        <v>Weighted-Average Cost of Capital</v>
      </c>
      <c r="B4" s="274"/>
      <c r="C4" s="274"/>
      <c r="D4" s="274"/>
      <c r="E4" s="274">
        <f>E46</f>
        <v>4.8339354838709679E-2</v>
      </c>
      <c r="G4" s="3" t="s">
        <v>521</v>
      </c>
    </row>
    <row r="5" spans="1:7" x14ac:dyDescent="0.3">
      <c r="B5" s="22"/>
      <c r="C5" s="22"/>
      <c r="D5" s="22"/>
      <c r="E5" s="22"/>
    </row>
    <row r="6" spans="1:7" x14ac:dyDescent="0.3">
      <c r="A6" s="106" t="s">
        <v>512</v>
      </c>
      <c r="B6" s="22"/>
      <c r="C6" s="22"/>
      <c r="D6" s="22"/>
      <c r="E6" s="22"/>
    </row>
    <row r="7" spans="1:7" x14ac:dyDescent="0.3">
      <c r="A7" t="s">
        <v>139</v>
      </c>
      <c r="B7" s="36"/>
      <c r="C7" s="36">
        <f>-'3 Unadj NOPAT'!C57</f>
        <v>247</v>
      </c>
      <c r="D7" s="36">
        <f>-'3 Unadj NOPAT'!D57</f>
        <v>134</v>
      </c>
      <c r="E7" s="333">
        <f>-'3 Unadj NOPAT'!E57</f>
        <v>239</v>
      </c>
    </row>
    <row r="8" spans="1:7" x14ac:dyDescent="0.3">
      <c r="A8" t="s">
        <v>140</v>
      </c>
      <c r="B8" s="36"/>
      <c r="C8" s="36">
        <f>-'3 Unadj NOA'!C81</f>
        <v>8715</v>
      </c>
      <c r="D8" s="36">
        <f>-'3 Unadj NOA'!D81</f>
        <v>8786</v>
      </c>
      <c r="E8" s="333">
        <f>-'3 Unadj NOA'!E81</f>
        <v>9446</v>
      </c>
    </row>
    <row r="9" spans="1:7" x14ac:dyDescent="0.3">
      <c r="A9" t="s">
        <v>141</v>
      </c>
      <c r="B9" s="36">
        <f>-'3 Unadj NOA'!C81</f>
        <v>8715</v>
      </c>
      <c r="C9" s="36">
        <f>-'3 Unadj NOA'!D81</f>
        <v>8786</v>
      </c>
      <c r="D9" s="36">
        <f>-'3 Unadj NOA'!E81</f>
        <v>9446</v>
      </c>
      <c r="E9" s="333">
        <f>-'3 Unadj NOA'!F81</f>
        <v>10052</v>
      </c>
    </row>
    <row r="10" spans="1:7" x14ac:dyDescent="0.3">
      <c r="A10" t="s">
        <v>177</v>
      </c>
      <c r="B10" s="11"/>
      <c r="C10" s="11">
        <f>C7/AVERAGE(C8:C9)</f>
        <v>2.8226958459516598E-2</v>
      </c>
      <c r="D10" s="11">
        <f>D7/AVERAGE(D8:D9)</f>
        <v>1.4699429574374727E-2</v>
      </c>
      <c r="E10" s="334">
        <f>E7/AVERAGE(E8:E9)</f>
        <v>2.4515334906144218E-2</v>
      </c>
    </row>
    <row r="11" spans="1:7" x14ac:dyDescent="0.3">
      <c r="A11" t="s">
        <v>220</v>
      </c>
      <c r="B11" s="11"/>
      <c r="C11" s="11">
        <f>+C10/(1-'3 Unadj NOPAT'!C1)</f>
        <v>4.3426089937717842E-2</v>
      </c>
      <c r="D11" s="11">
        <f>+D10/(1-'3 Unadj NOPAT'!D1)</f>
        <v>2.2614507037499579E-2</v>
      </c>
      <c r="E11" s="334">
        <f>+E10/(1-'3 Unadj NOPAT'!E1)</f>
        <v>3.1032069501448375E-2</v>
      </c>
    </row>
    <row r="12" spans="1:7" x14ac:dyDescent="0.3">
      <c r="B12" s="22"/>
      <c r="C12" s="22"/>
      <c r="D12" s="22"/>
      <c r="E12" s="22"/>
    </row>
    <row r="13" spans="1:7" x14ac:dyDescent="0.3">
      <c r="A13" s="106" t="s">
        <v>96</v>
      </c>
      <c r="B13" s="22"/>
      <c r="C13" s="22"/>
      <c r="D13" s="22"/>
      <c r="E13" s="22"/>
    </row>
    <row r="14" spans="1:7" x14ac:dyDescent="0.3">
      <c r="A14" t="s">
        <v>142</v>
      </c>
      <c r="B14" s="66"/>
      <c r="C14" s="66">
        <f>-'3 IS Reported'!D9</f>
        <v>406</v>
      </c>
      <c r="D14" s="66">
        <f>-'3 IS Reported'!E9</f>
        <v>256</v>
      </c>
      <c r="E14" s="319">
        <f>-'3 IS Reported'!F9</f>
        <v>287</v>
      </c>
    </row>
    <row r="15" spans="1:7" x14ac:dyDescent="0.3">
      <c r="A15" t="s">
        <v>97</v>
      </c>
      <c r="B15" s="66">
        <f>-'3 BS Reported'!C20-'3 BS Reported'!C21-'3 BS Reported'!C25</f>
        <v>7759</v>
      </c>
      <c r="C15" s="66">
        <f>-'3 BS Reported'!D20-'3 BS Reported'!D21-'3 BS Reported'!D25</f>
        <v>7767</v>
      </c>
      <c r="D15" s="66">
        <f>-'3 BS Reported'!E20-'3 BS Reported'!E21-'3 BS Reported'!E25</f>
        <v>8615</v>
      </c>
      <c r="E15" s="319">
        <f>-'3 BS Reported'!F20-'3 BS Reported'!F21-'3 BS Reported'!F25</f>
        <v>8893</v>
      </c>
    </row>
    <row r="16" spans="1:7" x14ac:dyDescent="0.3">
      <c r="A16" t="s">
        <v>98</v>
      </c>
      <c r="B16" s="30"/>
      <c r="C16" s="30">
        <f>ROUND(+C14/AVERAGE(B15:C15),4)</f>
        <v>5.2299999999999999E-2</v>
      </c>
      <c r="D16" s="30">
        <f>ROUND(+D14/AVERAGE(C15:D15),4)</f>
        <v>3.1300000000000001E-2</v>
      </c>
      <c r="E16" s="315">
        <f>ROUND(+E14/AVERAGE(D15:E15),4)</f>
        <v>3.2800000000000003E-2</v>
      </c>
    </row>
    <row r="17" spans="1:20" x14ac:dyDescent="0.3">
      <c r="B17" s="22"/>
      <c r="C17" s="22"/>
      <c r="D17" s="22"/>
      <c r="E17" s="22"/>
    </row>
    <row r="18" spans="1:20" x14ac:dyDescent="0.3">
      <c r="A18" s="106" t="s">
        <v>99</v>
      </c>
    </row>
    <row r="19" spans="1:20" x14ac:dyDescent="0.3">
      <c r="A19" t="s">
        <v>100</v>
      </c>
      <c r="B19" s="15"/>
      <c r="C19" s="10">
        <f>ROUND('5 Adjust Info'!G66,4)</f>
        <v>3.27E-2</v>
      </c>
      <c r="D19" s="10">
        <f>ROUND('5 Adjust Info'!J66,4)</f>
        <v>3.0499999999999999E-2</v>
      </c>
      <c r="E19" s="335">
        <f>ROUND('5 Adjust Info'!M66,4)</f>
        <v>3.1600000000000003E-2</v>
      </c>
    </row>
    <row r="20" spans="1:20" x14ac:dyDescent="0.3">
      <c r="B20" s="30"/>
      <c r="C20" s="30"/>
      <c r="D20" s="30"/>
      <c r="E20" s="30"/>
    </row>
    <row r="21" spans="1:20" s="13" customFormat="1" x14ac:dyDescent="0.3">
      <c r="A21" s="13" t="s">
        <v>101</v>
      </c>
      <c r="B21" s="332"/>
      <c r="C21" s="332"/>
      <c r="D21" s="332"/>
      <c r="E21" s="336">
        <v>3.2000000000000001E-2</v>
      </c>
    </row>
    <row r="22" spans="1:20" x14ac:dyDescent="0.3">
      <c r="B22" s="11"/>
      <c r="C22" s="11"/>
      <c r="D22" s="11"/>
      <c r="E22" s="11"/>
    </row>
    <row r="23" spans="1:20" x14ac:dyDescent="0.3">
      <c r="D23" s="11"/>
    </row>
    <row r="24" spans="1:20" x14ac:dyDescent="0.3">
      <c r="A24" s="106" t="s">
        <v>102</v>
      </c>
      <c r="G24" s="185"/>
    </row>
    <row r="25" spans="1:20" x14ac:dyDescent="0.3">
      <c r="A25" t="s">
        <v>103</v>
      </c>
      <c r="B25" s="25"/>
      <c r="C25" s="25">
        <v>0.46</v>
      </c>
      <c r="D25" s="25">
        <v>0.42399999999999999</v>
      </c>
      <c r="E25" s="337">
        <v>0.58699999999999997</v>
      </c>
      <c r="F25" s="14"/>
      <c r="G25" t="s">
        <v>513</v>
      </c>
    </row>
    <row r="26" spans="1:20" x14ac:dyDescent="0.3">
      <c r="A26" t="s">
        <v>104</v>
      </c>
      <c r="B26" s="27"/>
      <c r="C26" s="27">
        <v>2.3300000000000001E-2</v>
      </c>
      <c r="D26" s="27">
        <v>2.9700000000000001E-2</v>
      </c>
      <c r="E26" s="338">
        <v>2.5000000000000001E-2</v>
      </c>
      <c r="G26" s="389"/>
      <c r="H26" s="389"/>
      <c r="I26" s="389"/>
      <c r="J26" s="389"/>
      <c r="K26" s="389"/>
      <c r="L26" s="389"/>
      <c r="M26" s="389"/>
      <c r="N26" s="389"/>
      <c r="O26" s="389"/>
      <c r="P26" s="389"/>
      <c r="Q26" s="389"/>
      <c r="R26" s="389"/>
      <c r="S26" s="389"/>
      <c r="T26" s="14"/>
    </row>
    <row r="27" spans="1:20" x14ac:dyDescent="0.3">
      <c r="A27" t="s">
        <v>105</v>
      </c>
      <c r="B27" s="10"/>
      <c r="C27" s="340">
        <v>0.06</v>
      </c>
      <c r="D27" s="340">
        <f>+C27</f>
        <v>0.06</v>
      </c>
      <c r="E27" s="341">
        <f>+D27</f>
        <v>0.06</v>
      </c>
      <c r="G27" s="14"/>
      <c r="H27" s="14"/>
      <c r="I27" s="14"/>
      <c r="J27" s="14"/>
      <c r="K27" s="14"/>
      <c r="L27" s="14"/>
      <c r="M27" s="14"/>
      <c r="N27" s="14"/>
      <c r="O27" s="14"/>
      <c r="P27" s="14"/>
      <c r="Q27" s="14"/>
      <c r="R27" s="14"/>
      <c r="S27" s="14"/>
      <c r="T27" s="14"/>
    </row>
    <row r="28" spans="1:20" s="13" customFormat="1" x14ac:dyDescent="0.3">
      <c r="A28" s="13" t="s">
        <v>514</v>
      </c>
      <c r="B28" s="332"/>
      <c r="C28" s="332">
        <f>ROUND((C26+C25*C27),3)</f>
        <v>5.0999999999999997E-2</v>
      </c>
      <c r="D28" s="332">
        <f>ROUND((D26+D25*D27),3)</f>
        <v>5.5E-2</v>
      </c>
      <c r="E28" s="339">
        <f>ROUND((E26+E25*E27),3)</f>
        <v>0.06</v>
      </c>
      <c r="G28" s="74"/>
      <c r="H28" s="74"/>
      <c r="I28" s="74"/>
      <c r="J28" s="74"/>
      <c r="K28" s="74"/>
      <c r="L28" s="74"/>
      <c r="M28" s="74"/>
      <c r="N28" s="74"/>
      <c r="O28" s="74"/>
      <c r="P28" s="74"/>
      <c r="Q28" s="74"/>
      <c r="R28" s="74"/>
      <c r="S28" s="74"/>
      <c r="T28" s="74"/>
    </row>
    <row r="29" spans="1:20" x14ac:dyDescent="0.3">
      <c r="B29" s="11"/>
      <c r="C29" s="11"/>
      <c r="D29" s="11"/>
      <c r="E29" s="11"/>
    </row>
    <row r="31" spans="1:20" x14ac:dyDescent="0.3">
      <c r="A31" t="s">
        <v>106</v>
      </c>
      <c r="B31" s="2"/>
      <c r="C31" s="2">
        <f>-'5 Adj NOA'!D196</f>
        <v>9254.2896089999995</v>
      </c>
      <c r="D31" s="2">
        <f>-'5 Adj NOA'!E196</f>
        <v>9659.9573766000012</v>
      </c>
      <c r="E31" s="235">
        <f>-'5 Adj NOA'!F196</f>
        <v>10328</v>
      </c>
    </row>
    <row r="32" spans="1:20" x14ac:dyDescent="0.3">
      <c r="A32" t="s">
        <v>178</v>
      </c>
      <c r="B32" s="2"/>
      <c r="C32" s="2">
        <v>6955</v>
      </c>
      <c r="D32" s="2">
        <v>8300</v>
      </c>
      <c r="E32" s="342">
        <v>8200</v>
      </c>
      <c r="G32" t="s">
        <v>522</v>
      </c>
    </row>
    <row r="33" spans="1:7" x14ac:dyDescent="0.3">
      <c r="A33" t="s">
        <v>179</v>
      </c>
      <c r="B33" s="7"/>
      <c r="C33" s="4">
        <v>6698</v>
      </c>
      <c r="D33" s="4">
        <v>7800</v>
      </c>
      <c r="E33" s="343">
        <v>8200</v>
      </c>
      <c r="G33" t="s">
        <v>523</v>
      </c>
    </row>
    <row r="34" spans="1:7" x14ac:dyDescent="0.3">
      <c r="A34" t="s">
        <v>107</v>
      </c>
      <c r="B34" s="7"/>
      <c r="C34" s="2">
        <f>+C32-C33</f>
        <v>257</v>
      </c>
      <c r="D34" s="2">
        <f>+D32-D33</f>
        <v>500</v>
      </c>
      <c r="E34" s="235">
        <f>+E32-E33</f>
        <v>0</v>
      </c>
    </row>
    <row r="35" spans="1:7" x14ac:dyDescent="0.3">
      <c r="A35" s="106" t="s">
        <v>515</v>
      </c>
      <c r="B35" s="7"/>
      <c r="C35" s="2">
        <f>+C34+C31</f>
        <v>9511.2896089999995</v>
      </c>
      <c r="D35" s="2">
        <f>+D34+D31</f>
        <v>10159.957376600001</v>
      </c>
      <c r="E35" s="235">
        <f>+E34+E31</f>
        <v>10328</v>
      </c>
    </row>
    <row r="36" spans="1:7" x14ac:dyDescent="0.3">
      <c r="B36" s="2"/>
      <c r="C36" s="2"/>
      <c r="D36" s="2"/>
      <c r="E36" s="2"/>
    </row>
    <row r="37" spans="1:7" x14ac:dyDescent="0.3">
      <c r="B37" s="2"/>
      <c r="C37" s="2"/>
      <c r="D37" s="2"/>
      <c r="E37" s="2"/>
    </row>
    <row r="38" spans="1:7" x14ac:dyDescent="0.3">
      <c r="A38" s="106" t="s">
        <v>180</v>
      </c>
      <c r="B38" s="2"/>
      <c r="C38" s="2"/>
      <c r="D38" s="2"/>
      <c r="E38" s="2"/>
    </row>
    <row r="39" spans="1:7" x14ac:dyDescent="0.3">
      <c r="A39" t="s">
        <v>108</v>
      </c>
      <c r="B39" s="8"/>
      <c r="C39" s="26">
        <v>351139083</v>
      </c>
      <c r="D39" s="26">
        <v>345748749</v>
      </c>
      <c r="E39" s="384">
        <v>343894654</v>
      </c>
      <c r="G39" t="s">
        <v>520</v>
      </c>
    </row>
    <row r="40" spans="1:7" x14ac:dyDescent="0.3">
      <c r="A40" t="s">
        <v>516</v>
      </c>
      <c r="B40" s="32"/>
      <c r="C40" s="32"/>
      <c r="D40" s="32"/>
      <c r="E40" s="344">
        <v>59.39</v>
      </c>
      <c r="G40" t="s">
        <v>109</v>
      </c>
    </row>
    <row r="41" spans="1:7" s="13" customFormat="1" x14ac:dyDescent="0.3">
      <c r="A41" s="13" t="s">
        <v>518</v>
      </c>
      <c r="B41" s="157"/>
      <c r="C41" s="157"/>
      <c r="D41" s="157"/>
      <c r="E41" s="345">
        <f>ROUND((+E39*E40/1000000),0)</f>
        <v>20424</v>
      </c>
    </row>
    <row r="42" spans="1:7" x14ac:dyDescent="0.3">
      <c r="B42" s="8"/>
      <c r="C42" s="8"/>
      <c r="D42" s="8"/>
      <c r="E42" s="8"/>
    </row>
    <row r="43" spans="1:7" s="13" customFormat="1" x14ac:dyDescent="0.3">
      <c r="A43" s="13" t="s">
        <v>517</v>
      </c>
      <c r="B43" s="157"/>
      <c r="C43" s="157"/>
      <c r="D43" s="157"/>
      <c r="E43" s="345">
        <f>+E41+E35</f>
        <v>30752</v>
      </c>
    </row>
    <row r="46" spans="1:7" s="13" customFormat="1" x14ac:dyDescent="0.3">
      <c r="A46" s="13" t="s">
        <v>519</v>
      </c>
      <c r="B46" s="274"/>
      <c r="C46" s="274"/>
      <c r="D46" s="274"/>
      <c r="E46" s="318">
        <f>+E28*E41/E43+E21*(1-'3 Unadj NOPAT'!E2)*E35/E43</f>
        <v>4.8339354838709679E-2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81"/>
  <sheetViews>
    <sheetView topLeftCell="B7" zoomScale="110" zoomScaleNormal="110" workbookViewId="0">
      <selection activeCell="C9" sqref="C9"/>
    </sheetView>
  </sheetViews>
  <sheetFormatPr defaultColWidth="9.109375" defaultRowHeight="14.4" x14ac:dyDescent="0.3"/>
  <cols>
    <col min="1" max="1" width="50.5546875" style="3" bestFit="1" customWidth="1"/>
    <col min="2" max="2" width="10.77734375" style="3" bestFit="1" customWidth="1"/>
    <col min="3" max="4" width="14.77734375" style="3" bestFit="1" customWidth="1"/>
    <col min="5" max="5" width="15.44140625" style="3" bestFit="1" customWidth="1"/>
    <col min="6" max="9" width="15.21875" style="3" bestFit="1" customWidth="1"/>
    <col min="10" max="10" width="15.44140625" style="3" bestFit="1" customWidth="1"/>
    <col min="11" max="11" width="15.21875" style="3" bestFit="1" customWidth="1"/>
    <col min="12" max="12" width="14.77734375" style="3" bestFit="1" customWidth="1"/>
    <col min="13" max="16384" width="9.109375" style="3"/>
  </cols>
  <sheetData>
    <row r="1" spans="1:13" x14ac:dyDescent="0.3">
      <c r="A1" s="13" t="str">
        <f>+'3 BS Reported'!A1</f>
        <v>Kellogg</v>
      </c>
    </row>
    <row r="2" spans="1:13" s="13" customFormat="1" x14ac:dyDescent="0.3">
      <c r="B2" s="92" t="s">
        <v>17</v>
      </c>
      <c r="C2" s="92" t="s">
        <v>18</v>
      </c>
    </row>
    <row r="3" spans="1:13" s="13" customFormat="1" x14ac:dyDescent="0.3">
      <c r="A3" s="367" t="s">
        <v>527</v>
      </c>
      <c r="B3" s="348">
        <f>+'7 F-Rev'!E3</f>
        <v>43463</v>
      </c>
      <c r="C3" s="348">
        <f>+'7 F-Rev'!F3</f>
        <v>43827</v>
      </c>
      <c r="D3" s="348">
        <f>+'7 F-Rev'!G3</f>
        <v>44198</v>
      </c>
      <c r="E3" s="348">
        <f>+'7 F-Rev'!H3</f>
        <v>44562</v>
      </c>
      <c r="F3" s="348">
        <f>+'7 F-Rev'!I3</f>
        <v>44926</v>
      </c>
      <c r="G3" s="348">
        <f>+'7 F-Rev'!J3</f>
        <v>45290</v>
      </c>
      <c r="H3" s="348">
        <f>+'7 F-Rev'!K3</f>
        <v>45654</v>
      </c>
      <c r="I3" s="348">
        <f>+'7 F-Rev'!L3</f>
        <v>46025</v>
      </c>
      <c r="J3" s="348">
        <f>+'7 F-Rev'!M3</f>
        <v>46389</v>
      </c>
      <c r="K3" s="348">
        <f>+'7 F-Rev'!N3</f>
        <v>46753</v>
      </c>
    </row>
    <row r="4" spans="1:13" x14ac:dyDescent="0.3">
      <c r="A4" s="13"/>
      <c r="H4" s="13"/>
    </row>
    <row r="5" spans="1:13" x14ac:dyDescent="0.3">
      <c r="A5" s="13" t="s">
        <v>14</v>
      </c>
      <c r="H5" s="13"/>
    </row>
    <row r="6" spans="1:13" x14ac:dyDescent="0.3">
      <c r="A6" s="3" t="s">
        <v>89</v>
      </c>
      <c r="B6" s="89"/>
      <c r="C6" s="108">
        <f>HLOOKUP(C3,'7 F-Rev'!3:4,2,FALSE)</f>
        <v>1.4284675573927815E-2</v>
      </c>
      <c r="D6" s="108">
        <f>HLOOKUP(D3,'7 F-Rev'!3:4,2,FALSE)</f>
        <v>1.5706708123069232E-2</v>
      </c>
      <c r="E6" s="108">
        <f>HLOOKUP(E3,'7 F-Rev'!3:4,2,FALSE)</f>
        <v>1.7154169486188472E-2</v>
      </c>
      <c r="F6" s="108">
        <f>HLOOKUP(F3,'7 F-Rev'!3:4,2,FALSE)</f>
        <v>1.7000000000000067E-2</v>
      </c>
      <c r="G6" s="108">
        <f>HLOOKUP(G3,'7 F-Rev'!3:4,2,FALSE)</f>
        <v>1.64999999999999E-2</v>
      </c>
      <c r="H6" s="108">
        <f>HLOOKUP(H3,'7 F-Rev'!3:4,2,FALSE)</f>
        <v>1.5999999999999955E-2</v>
      </c>
      <c r="I6" s="108">
        <f>HLOOKUP(I3,'7 F-Rev'!3:4,2,FALSE)</f>
        <v>1.5999999999999955E-2</v>
      </c>
      <c r="J6" s="108">
        <f>HLOOKUP(J3,'7 F-Rev'!3:4,2,FALSE)</f>
        <v>1.5999999999999955E-2</v>
      </c>
      <c r="K6" s="108">
        <f>HLOOKUP(K3,'7 F-Rev'!3:4,2,FALSE)</f>
        <v>1.5999999999999955E-2</v>
      </c>
    </row>
    <row r="7" spans="1:13" x14ac:dyDescent="0.3">
      <c r="A7" s="3" t="s">
        <v>15</v>
      </c>
      <c r="C7" s="108">
        <f>HLOOKUP(C3,'7 F-PM'!3:4,2,FALSE)</f>
        <v>9.3699999999999992E-2</v>
      </c>
      <c r="D7" s="108">
        <f>HLOOKUP(D3,'7 F-PM'!3:4,2,FALSE)</f>
        <v>9.5900000000000027E-2</v>
      </c>
      <c r="E7" s="108">
        <f>HLOOKUP(E3,'7 F-PM'!3:4,2,FALSE)</f>
        <v>0.10010000000000008</v>
      </c>
      <c r="F7" s="108">
        <f>HLOOKUP(F3,'7 F-PM'!3:4,2,FALSE)</f>
        <v>0.10180000000000006</v>
      </c>
      <c r="G7" s="108">
        <f>HLOOKUP(G3,'7 F-PM'!3:4,2,FALSE)</f>
        <v>0.1056</v>
      </c>
      <c r="H7" s="108">
        <f>HLOOKUP(H3,'7 F-PM'!3:4,2,FALSE)</f>
        <v>0.1056</v>
      </c>
      <c r="I7" s="108">
        <f>HLOOKUP(I3,'7 F-PM'!3:4,2,FALSE)</f>
        <v>0.1056</v>
      </c>
      <c r="J7" s="108">
        <f>HLOOKUP(J3,'7 F-PM'!3:4,2,FALSE)</f>
        <v>0.1056</v>
      </c>
      <c r="K7" s="108">
        <f>HLOOKUP(K3,'7 F-PM'!3:4,2,FALSE)</f>
        <v>0.1056</v>
      </c>
    </row>
    <row r="8" spans="1:13" x14ac:dyDescent="0.3">
      <c r="A8" s="3" t="s">
        <v>90</v>
      </c>
      <c r="C8" s="109">
        <f>HLOOKUP(C3,'7 F-ATO'!3:4,2,FALSE)</f>
        <v>1.0627669966741435</v>
      </c>
      <c r="D8" s="109">
        <f>HLOOKUP(D3,'7 F-ATO'!3:4,2,FALSE)</f>
        <v>0.9770073496100169</v>
      </c>
      <c r="E8" s="109">
        <f>HLOOKUP(E3,'7 F-ATO'!3:4,2,FALSE)</f>
        <v>0.96582081307783019</v>
      </c>
      <c r="F8" s="109">
        <f>HLOOKUP(F3,'7 F-ATO'!3:4,2,FALSE)</f>
        <v>0.95397323132240397</v>
      </c>
      <c r="G8" s="109">
        <f>HLOOKUP(G3,'7 F-ATO'!3:4,2,FALSE)</f>
        <v>0.94</v>
      </c>
      <c r="H8" s="109">
        <f>HLOOKUP(H3,'7 F-ATO'!3:4,2,FALSE)</f>
        <v>0.94</v>
      </c>
      <c r="I8" s="109">
        <f>HLOOKUP(I3,'7 F-ATO'!3:4,2,FALSE)</f>
        <v>0.94</v>
      </c>
      <c r="J8" s="109">
        <f>HLOOKUP(J3,'7 F-ATO'!3:4,2,FALSE)</f>
        <v>0.94</v>
      </c>
      <c r="K8" s="109">
        <f>HLOOKUP(K3,'7 F-ATO'!3:4,2,FALSE)</f>
        <v>0.94</v>
      </c>
    </row>
    <row r="9" spans="1:13" s="13" customFormat="1" x14ac:dyDescent="0.3">
      <c r="A9" s="13" t="s">
        <v>214</v>
      </c>
      <c r="C9" s="349">
        <f>'9 Cost of Capital'!E4</f>
        <v>4.8339354838709679E-2</v>
      </c>
      <c r="D9" s="332"/>
      <c r="E9" s="332"/>
      <c r="F9" s="332"/>
      <c r="G9" s="332"/>
      <c r="H9" s="332"/>
      <c r="I9" s="332"/>
      <c r="J9" s="332"/>
      <c r="K9" s="332"/>
    </row>
    <row r="10" spans="1:13" x14ac:dyDescent="0.3">
      <c r="B10" s="108"/>
      <c r="C10" s="108"/>
    </row>
    <row r="11" spans="1:13" x14ac:dyDescent="0.3">
      <c r="A11" s="3" t="str">
        <f>+'3 BS Reported'!A3</f>
        <v>Amounts in millions</v>
      </c>
      <c r="C11" s="110"/>
    </row>
    <row r="12" spans="1:13" x14ac:dyDescent="0.3">
      <c r="A12" s="111" t="s">
        <v>18</v>
      </c>
      <c r="B12" s="112"/>
      <c r="C12" s="110"/>
      <c r="H12" s="111"/>
      <c r="I12" s="112"/>
      <c r="J12" s="110"/>
    </row>
    <row r="13" spans="1:13" x14ac:dyDescent="0.3">
      <c r="A13" s="113" t="s">
        <v>30</v>
      </c>
      <c r="B13" s="114">
        <f>HLOOKUP(B3,'7 F-Rev'!3:9,7,FALSE)</f>
        <v>13547</v>
      </c>
      <c r="C13" s="115">
        <f t="shared" ref="C13:K13" si="0">B13*(1+C6)</f>
        <v>13740.514500000001</v>
      </c>
      <c r="D13" s="115">
        <f t="shared" si="0"/>
        <v>13956.332750712303</v>
      </c>
      <c r="E13" s="115">
        <f t="shared" si="0"/>
        <v>14195.742048123666</v>
      </c>
      <c r="F13" s="115">
        <f t="shared" si="0"/>
        <v>14437.069662941771</v>
      </c>
      <c r="G13" s="115">
        <f t="shared" si="0"/>
        <v>14675.28131238031</v>
      </c>
      <c r="H13" s="115">
        <f t="shared" si="0"/>
        <v>14910.085813378395</v>
      </c>
      <c r="I13" s="115">
        <f t="shared" si="0"/>
        <v>15148.647186392449</v>
      </c>
      <c r="J13" s="115">
        <f t="shared" si="0"/>
        <v>15391.025541374729</v>
      </c>
      <c r="K13" s="115">
        <f t="shared" si="0"/>
        <v>15637.281950036724</v>
      </c>
      <c r="L13" s="115"/>
      <c r="M13" s="115"/>
    </row>
    <row r="14" spans="1:13" x14ac:dyDescent="0.3">
      <c r="A14" s="116" t="s">
        <v>197</v>
      </c>
      <c r="B14" s="117"/>
      <c r="C14" s="115">
        <f t="shared" ref="C14:K14" si="1">C13*C7</f>
        <v>1287.48620865</v>
      </c>
      <c r="D14" s="115">
        <f t="shared" si="1"/>
        <v>1338.4123107933103</v>
      </c>
      <c r="E14" s="115">
        <f t="shared" si="1"/>
        <v>1420.99377901718</v>
      </c>
      <c r="F14" s="115">
        <f t="shared" si="1"/>
        <v>1469.6936916874731</v>
      </c>
      <c r="G14" s="115">
        <f t="shared" si="1"/>
        <v>1549.7097065873606</v>
      </c>
      <c r="H14" s="115">
        <f t="shared" si="1"/>
        <v>1574.5050618927585</v>
      </c>
      <c r="I14" s="115">
        <f t="shared" si="1"/>
        <v>1599.6971428830425</v>
      </c>
      <c r="J14" s="115">
        <f t="shared" si="1"/>
        <v>1625.2922971691714</v>
      </c>
      <c r="K14" s="115">
        <f t="shared" si="1"/>
        <v>1651.2969739238781</v>
      </c>
      <c r="L14" s="115"/>
      <c r="M14" s="115"/>
    </row>
    <row r="15" spans="1:13" x14ac:dyDescent="0.3">
      <c r="A15" s="116" t="s">
        <v>198</v>
      </c>
      <c r="B15" s="118">
        <f>HLOOKUP(B3,'6 Analyzing'!A3:E8,6,FALSE)</f>
        <v>12929</v>
      </c>
      <c r="C15" s="115">
        <f t="shared" ref="C15:J15" si="2">D13/D8</f>
        <v>14284.777649096626</v>
      </c>
      <c r="D15" s="115">
        <f t="shared" si="2"/>
        <v>14698.111550200885</v>
      </c>
      <c r="E15" s="115">
        <f t="shared" si="2"/>
        <v>15133.621352172544</v>
      </c>
      <c r="F15" s="115">
        <f t="shared" si="2"/>
        <v>15612.001396149266</v>
      </c>
      <c r="G15" s="115">
        <f t="shared" si="2"/>
        <v>15861.793418487656</v>
      </c>
      <c r="H15" s="115">
        <f t="shared" si="2"/>
        <v>16115.582113183456</v>
      </c>
      <c r="I15" s="115">
        <f t="shared" si="2"/>
        <v>16373.431426994393</v>
      </c>
      <c r="J15" s="115">
        <f t="shared" si="2"/>
        <v>16635.406329826303</v>
      </c>
      <c r="K15" s="115"/>
      <c r="L15" s="115"/>
      <c r="M15" s="115"/>
    </row>
    <row r="16" spans="1:13" x14ac:dyDescent="0.3">
      <c r="A16" s="111"/>
      <c r="B16" s="112"/>
      <c r="C16" s="110"/>
      <c r="H16" s="117"/>
      <c r="I16" s="26"/>
      <c r="J16" s="26"/>
      <c r="K16" s="26"/>
      <c r="L16" s="26"/>
    </row>
    <row r="17" spans="1:14" x14ac:dyDescent="0.3">
      <c r="A17" s="350" t="s">
        <v>526</v>
      </c>
      <c r="B17" s="112"/>
      <c r="C17" s="110"/>
      <c r="H17" s="117"/>
      <c r="I17" s="26"/>
      <c r="J17" s="26"/>
      <c r="K17" s="26"/>
      <c r="L17" s="26"/>
    </row>
    <row r="18" spans="1:14" x14ac:dyDescent="0.3">
      <c r="A18" s="113" t="s">
        <v>30</v>
      </c>
      <c r="B18" s="114">
        <f t="shared" ref="B18:K18" si="3">+B13</f>
        <v>13547</v>
      </c>
      <c r="C18" s="114">
        <f t="shared" si="3"/>
        <v>13740.514500000001</v>
      </c>
      <c r="D18" s="114">
        <f t="shared" si="3"/>
        <v>13956.332750712303</v>
      </c>
      <c r="E18" s="114">
        <f t="shared" si="3"/>
        <v>14195.742048123666</v>
      </c>
      <c r="F18" s="114">
        <f t="shared" si="3"/>
        <v>14437.069662941771</v>
      </c>
      <c r="G18" s="114">
        <f t="shared" si="3"/>
        <v>14675.28131238031</v>
      </c>
      <c r="H18" s="114">
        <f t="shared" si="3"/>
        <v>14910.085813378395</v>
      </c>
      <c r="I18" s="114">
        <f t="shared" si="3"/>
        <v>15148.647186392449</v>
      </c>
      <c r="J18" s="114">
        <f t="shared" si="3"/>
        <v>15391.025541374729</v>
      </c>
      <c r="K18" s="114">
        <f t="shared" si="3"/>
        <v>15637.281950036724</v>
      </c>
      <c r="L18" s="114"/>
      <c r="M18" s="89"/>
    </row>
    <row r="19" spans="1:14" x14ac:dyDescent="0.3">
      <c r="A19" s="116" t="s">
        <v>197</v>
      </c>
      <c r="B19" s="118"/>
      <c r="C19" s="89">
        <f t="shared" ref="C19:K19" si="4">+C14</f>
        <v>1287.48620865</v>
      </c>
      <c r="D19" s="89">
        <f t="shared" si="4"/>
        <v>1338.4123107933103</v>
      </c>
      <c r="E19" s="89">
        <f t="shared" si="4"/>
        <v>1420.99377901718</v>
      </c>
      <c r="F19" s="89">
        <f t="shared" si="4"/>
        <v>1469.6936916874731</v>
      </c>
      <c r="G19" s="89">
        <f t="shared" si="4"/>
        <v>1549.7097065873606</v>
      </c>
      <c r="H19" s="89">
        <f t="shared" si="4"/>
        <v>1574.5050618927585</v>
      </c>
      <c r="I19" s="89">
        <f t="shared" si="4"/>
        <v>1599.6971428830425</v>
      </c>
      <c r="J19" s="89">
        <f t="shared" si="4"/>
        <v>1625.2922971691714</v>
      </c>
      <c r="K19" s="89">
        <f t="shared" si="4"/>
        <v>1651.2969739238781</v>
      </c>
      <c r="L19" s="89"/>
      <c r="M19" s="89"/>
      <c r="N19" s="89"/>
    </row>
    <row r="20" spans="1:14" x14ac:dyDescent="0.3">
      <c r="A20" s="119" t="s">
        <v>530</v>
      </c>
      <c r="B20" s="118"/>
      <c r="C20" s="89"/>
      <c r="D20" s="89">
        <f t="shared" ref="D20:K20" si="5">D19-C19</f>
        <v>50.926102143310345</v>
      </c>
      <c r="E20" s="89">
        <f t="shared" si="5"/>
        <v>82.581468223869706</v>
      </c>
      <c r="F20" s="89">
        <f t="shared" si="5"/>
        <v>48.699912670293088</v>
      </c>
      <c r="G20" s="89">
        <f t="shared" si="5"/>
        <v>80.016014899887523</v>
      </c>
      <c r="H20" s="89">
        <f t="shared" si="5"/>
        <v>24.795355305397834</v>
      </c>
      <c r="I20" s="89">
        <f t="shared" si="5"/>
        <v>25.192080990284012</v>
      </c>
      <c r="J20" s="89">
        <f t="shared" si="5"/>
        <v>25.595154286128945</v>
      </c>
      <c r="K20" s="89">
        <f t="shared" si="5"/>
        <v>26.004676754706679</v>
      </c>
      <c r="L20" s="89"/>
      <c r="M20" s="89"/>
      <c r="N20" s="89"/>
    </row>
    <row r="21" spans="1:14" x14ac:dyDescent="0.3">
      <c r="A21" s="116" t="s">
        <v>198</v>
      </c>
      <c r="B21" s="118">
        <f t="shared" ref="B21:J21" si="6">+B15</f>
        <v>12929</v>
      </c>
      <c r="C21" s="118">
        <f t="shared" si="6"/>
        <v>14284.777649096626</v>
      </c>
      <c r="D21" s="118">
        <f t="shared" si="6"/>
        <v>14698.111550200885</v>
      </c>
      <c r="E21" s="118">
        <f t="shared" si="6"/>
        <v>15133.621352172544</v>
      </c>
      <c r="F21" s="118">
        <f t="shared" si="6"/>
        <v>15612.001396149266</v>
      </c>
      <c r="G21" s="118">
        <f t="shared" si="6"/>
        <v>15861.793418487656</v>
      </c>
      <c r="H21" s="118">
        <f t="shared" si="6"/>
        <v>16115.582113183456</v>
      </c>
      <c r="I21" s="118">
        <f t="shared" si="6"/>
        <v>16373.431426994393</v>
      </c>
      <c r="J21" s="118">
        <f t="shared" si="6"/>
        <v>16635.406329826303</v>
      </c>
      <c r="K21" s="118"/>
      <c r="L21" s="118"/>
      <c r="M21" s="89"/>
      <c r="N21" s="89"/>
    </row>
    <row r="22" spans="1:14" x14ac:dyDescent="0.3">
      <c r="A22" s="119" t="s">
        <v>460</v>
      </c>
      <c r="B22" s="118"/>
      <c r="C22" s="89">
        <f>+C21-B21</f>
        <v>1355.7776490966262</v>
      </c>
      <c r="D22" s="89">
        <f t="shared" ref="D22:H22" si="7">+D21-C21</f>
        <v>413.33390110425898</v>
      </c>
      <c r="E22" s="89">
        <f t="shared" si="7"/>
        <v>435.50980197165882</v>
      </c>
      <c r="F22" s="89">
        <f t="shared" si="7"/>
        <v>478.38004397672194</v>
      </c>
      <c r="G22" s="89">
        <f t="shared" si="7"/>
        <v>249.79202233838987</v>
      </c>
      <c r="H22" s="89">
        <f t="shared" si="7"/>
        <v>253.78869469580059</v>
      </c>
      <c r="I22" s="89">
        <f t="shared" ref="I22" si="8">+I21-H21</f>
        <v>257.84931381093702</v>
      </c>
      <c r="J22" s="89">
        <f t="shared" ref="J22" si="9">+J21-I21</f>
        <v>261.97490283190928</v>
      </c>
      <c r="K22" s="89"/>
      <c r="L22" s="89"/>
      <c r="M22" s="89"/>
    </row>
    <row r="23" spans="1:14" x14ac:dyDescent="0.3">
      <c r="A23" s="116" t="s">
        <v>215</v>
      </c>
      <c r="B23" s="118"/>
      <c r="C23" s="89">
        <f>+C19-C22</f>
        <v>-68.291440446626211</v>
      </c>
      <c r="D23" s="89">
        <f t="shared" ref="D23:H23" si="10">+D19-D22</f>
        <v>925.07840968905134</v>
      </c>
      <c r="E23" s="89">
        <f t="shared" si="10"/>
        <v>985.48397704552121</v>
      </c>
      <c r="F23" s="89">
        <f t="shared" si="10"/>
        <v>991.31364771075118</v>
      </c>
      <c r="G23" s="89">
        <f t="shared" si="10"/>
        <v>1299.9176842489708</v>
      </c>
      <c r="H23" s="89">
        <f t="shared" si="10"/>
        <v>1320.7163671969579</v>
      </c>
      <c r="I23" s="89">
        <f t="shared" ref="I23" si="11">+I19-I22</f>
        <v>1341.8478290721055</v>
      </c>
      <c r="J23" s="89">
        <f t="shared" ref="J23" si="12">+J19-J22</f>
        <v>1363.3173943372622</v>
      </c>
      <c r="K23" s="89"/>
      <c r="L23" s="89"/>
      <c r="M23" s="89"/>
    </row>
    <row r="24" spans="1:14" x14ac:dyDescent="0.3">
      <c r="A24" s="116"/>
      <c r="B24" s="117"/>
      <c r="C24" s="26"/>
      <c r="D24" s="26"/>
      <c r="E24" s="26"/>
      <c r="F24" s="26"/>
      <c r="H24" s="120"/>
    </row>
    <row r="25" spans="1:14" x14ac:dyDescent="0.3">
      <c r="A25" s="116" t="s">
        <v>525</v>
      </c>
      <c r="B25" s="117"/>
      <c r="C25" s="26"/>
      <c r="D25" s="27">
        <f>D23/C23-1</f>
        <v>-14.546037448310299</v>
      </c>
      <c r="E25" s="27">
        <f t="shared" ref="E25:J25" si="13">E23/D23-1</f>
        <v>6.5297780948940565E-2</v>
      </c>
      <c r="F25" s="27">
        <f t="shared" si="13"/>
        <v>5.9155407911424263E-3</v>
      </c>
      <c r="G25" s="27">
        <f t="shared" si="13"/>
        <v>0.31130816896436508</v>
      </c>
      <c r="H25" s="27">
        <f t="shared" si="13"/>
        <v>1.6000000000002679E-2</v>
      </c>
      <c r="I25" s="27">
        <f t="shared" si="13"/>
        <v>1.5999999999997128E-2</v>
      </c>
      <c r="J25" s="27">
        <f t="shared" si="13"/>
        <v>1.6000000000002235E-2</v>
      </c>
      <c r="K25" s="27"/>
    </row>
    <row r="26" spans="1:14" x14ac:dyDescent="0.3">
      <c r="A26" s="116"/>
      <c r="B26" s="117"/>
      <c r="C26" s="26"/>
      <c r="D26" s="26"/>
      <c r="E26" s="26"/>
      <c r="F26" s="26"/>
      <c r="H26" s="120"/>
    </row>
    <row r="27" spans="1:14" x14ac:dyDescent="0.3">
      <c r="E27" s="108"/>
      <c r="F27" s="108"/>
      <c r="G27" s="108"/>
      <c r="H27" s="120"/>
    </row>
    <row r="28" spans="1:14" x14ac:dyDescent="0.3">
      <c r="A28" s="121" t="s">
        <v>91</v>
      </c>
      <c r="F28" s="120"/>
      <c r="G28" s="120"/>
      <c r="H28" s="120"/>
    </row>
    <row r="29" spans="1:14" s="13" customFormat="1" x14ac:dyDescent="0.3">
      <c r="A29" s="369" t="s">
        <v>527</v>
      </c>
      <c r="B29" s="368">
        <f t="shared" ref="B29:K29" si="14">+B3</f>
        <v>43463</v>
      </c>
      <c r="C29" s="368">
        <f t="shared" si="14"/>
        <v>43827</v>
      </c>
      <c r="D29" s="368">
        <f t="shared" si="14"/>
        <v>44198</v>
      </c>
      <c r="E29" s="368">
        <f t="shared" si="14"/>
        <v>44562</v>
      </c>
      <c r="F29" s="368">
        <f t="shared" si="14"/>
        <v>44926</v>
      </c>
      <c r="G29" s="368">
        <f t="shared" si="14"/>
        <v>45290</v>
      </c>
      <c r="H29" s="368">
        <f t="shared" si="14"/>
        <v>45654</v>
      </c>
      <c r="I29" s="368">
        <f t="shared" si="14"/>
        <v>46025</v>
      </c>
      <c r="J29" s="368">
        <f t="shared" si="14"/>
        <v>46389</v>
      </c>
      <c r="K29" s="368">
        <f t="shared" si="14"/>
        <v>46753</v>
      </c>
    </row>
    <row r="30" spans="1:14" x14ac:dyDescent="0.3">
      <c r="A30" s="123" t="s">
        <v>221</v>
      </c>
      <c r="B30" s="124"/>
      <c r="C30" s="124">
        <f t="shared" ref="C30:K30" si="15">+C18</f>
        <v>13740.514500000001</v>
      </c>
      <c r="D30" s="124">
        <f t="shared" si="15"/>
        <v>13956.332750712303</v>
      </c>
      <c r="E30" s="124">
        <f t="shared" si="15"/>
        <v>14195.742048123666</v>
      </c>
      <c r="F30" s="124">
        <f t="shared" si="15"/>
        <v>14437.069662941771</v>
      </c>
      <c r="G30" s="124">
        <f t="shared" si="15"/>
        <v>14675.28131238031</v>
      </c>
      <c r="H30" s="124">
        <f t="shared" si="15"/>
        <v>14910.085813378395</v>
      </c>
      <c r="I30" s="124">
        <f t="shared" si="15"/>
        <v>15148.647186392449</v>
      </c>
      <c r="J30" s="124">
        <f t="shared" si="15"/>
        <v>15391.025541374729</v>
      </c>
      <c r="K30" s="124">
        <f t="shared" si="15"/>
        <v>15637.281950036724</v>
      </c>
    </row>
    <row r="31" spans="1:14" x14ac:dyDescent="0.3">
      <c r="A31" s="125" t="s">
        <v>461</v>
      </c>
      <c r="B31" s="124"/>
      <c r="C31" s="124">
        <f t="shared" ref="C31:K31" si="16">+C19</f>
        <v>1287.48620865</v>
      </c>
      <c r="D31" s="124">
        <f t="shared" si="16"/>
        <v>1338.4123107933103</v>
      </c>
      <c r="E31" s="124">
        <f t="shared" si="16"/>
        <v>1420.99377901718</v>
      </c>
      <c r="F31" s="124">
        <f t="shared" si="16"/>
        <v>1469.6936916874731</v>
      </c>
      <c r="G31" s="124">
        <f t="shared" si="16"/>
        <v>1549.7097065873606</v>
      </c>
      <c r="H31" s="124">
        <f t="shared" si="16"/>
        <v>1574.5050618927585</v>
      </c>
      <c r="I31" s="124">
        <f t="shared" si="16"/>
        <v>1599.6971428830425</v>
      </c>
      <c r="J31" s="124">
        <f t="shared" si="16"/>
        <v>1625.2922971691714</v>
      </c>
      <c r="K31" s="124">
        <f t="shared" si="16"/>
        <v>1651.2969739238781</v>
      </c>
    </row>
    <row r="32" spans="1:14" x14ac:dyDescent="0.3">
      <c r="A32" s="125" t="s">
        <v>462</v>
      </c>
      <c r="B32" s="124">
        <f t="shared" ref="B32:J32" si="17">+B21</f>
        <v>12929</v>
      </c>
      <c r="C32" s="124">
        <f t="shared" si="17"/>
        <v>14284.777649096626</v>
      </c>
      <c r="D32" s="124">
        <f t="shared" si="17"/>
        <v>14698.111550200885</v>
      </c>
      <c r="E32" s="124">
        <f t="shared" si="17"/>
        <v>15133.621352172544</v>
      </c>
      <c r="F32" s="124">
        <f t="shared" si="17"/>
        <v>15612.001396149266</v>
      </c>
      <c r="G32" s="124">
        <f t="shared" si="17"/>
        <v>15861.793418487656</v>
      </c>
      <c r="H32" s="124">
        <f t="shared" si="17"/>
        <v>16115.582113183456</v>
      </c>
      <c r="I32" s="124">
        <f t="shared" si="17"/>
        <v>16373.431426994393</v>
      </c>
      <c r="J32" s="124">
        <f t="shared" si="17"/>
        <v>16635.406329826303</v>
      </c>
      <c r="K32" s="124"/>
    </row>
    <row r="33" spans="1:11" x14ac:dyDescent="0.3">
      <c r="A33" s="123" t="s">
        <v>463</v>
      </c>
      <c r="B33" s="126"/>
      <c r="C33" s="26">
        <f>+C32-B32</f>
        <v>1355.7776490966262</v>
      </c>
      <c r="D33" s="26">
        <f t="shared" ref="D33:F33" si="18">+D32-C32</f>
        <v>413.33390110425898</v>
      </c>
      <c r="E33" s="26">
        <f t="shared" si="18"/>
        <v>435.50980197165882</v>
      </c>
      <c r="F33" s="26">
        <f t="shared" si="18"/>
        <v>478.38004397672194</v>
      </c>
      <c r="G33" s="26">
        <f t="shared" ref="G33" si="19">+G32-F32</f>
        <v>249.79202233838987</v>
      </c>
      <c r="H33" s="26">
        <f t="shared" ref="H33" si="20">+H32-G32</f>
        <v>253.78869469580059</v>
      </c>
      <c r="I33" s="26">
        <f t="shared" ref="I33" si="21">+I32-H32</f>
        <v>257.84931381093702</v>
      </c>
      <c r="J33" s="26">
        <f t="shared" ref="J33" si="22">+J32-I32</f>
        <v>261.97490283190928</v>
      </c>
      <c r="K33" s="26"/>
    </row>
    <row r="34" spans="1:11" x14ac:dyDescent="0.3">
      <c r="A34" s="125" t="s">
        <v>464</v>
      </c>
      <c r="B34" s="126"/>
      <c r="C34" s="26">
        <f>+C31-C33</f>
        <v>-68.291440446626211</v>
      </c>
      <c r="D34" s="26">
        <f t="shared" ref="D34:F34" si="23">+D31-D33</f>
        <v>925.07840968905134</v>
      </c>
      <c r="E34" s="26">
        <f t="shared" si="23"/>
        <v>985.48397704552121</v>
      </c>
      <c r="F34" s="26">
        <f t="shared" si="23"/>
        <v>991.31364771075118</v>
      </c>
      <c r="G34" s="26">
        <f t="shared" ref="G34:H34" si="24">+G31-G33</f>
        <v>1299.9176842489708</v>
      </c>
      <c r="H34" s="26">
        <f t="shared" si="24"/>
        <v>1320.7163671969579</v>
      </c>
      <c r="I34" s="26">
        <f t="shared" ref="I34:J34" si="25">+I31-I33</f>
        <v>1341.8478290721055</v>
      </c>
      <c r="J34" s="26">
        <f t="shared" si="25"/>
        <v>1363.3173943372622</v>
      </c>
      <c r="K34" s="26"/>
    </row>
    <row r="35" spans="1:11" x14ac:dyDescent="0.3">
      <c r="A35" s="125" t="s">
        <v>465</v>
      </c>
      <c r="B35" s="126"/>
      <c r="C35" s="26"/>
      <c r="D35" s="27">
        <f>+D34/C34-1</f>
        <v>-14.546037448310299</v>
      </c>
      <c r="E35" s="27">
        <f t="shared" ref="E35:F35" si="26">+E34/D34-1</f>
        <v>6.5297780948940565E-2</v>
      </c>
      <c r="F35" s="27">
        <f t="shared" si="26"/>
        <v>5.9155407911424263E-3</v>
      </c>
      <c r="G35" s="27">
        <f t="shared" ref="G35" si="27">+G34/F34-1</f>
        <v>0.31130816896436508</v>
      </c>
      <c r="H35" s="27">
        <f t="shared" ref="H35" si="28">+H34/G34-1</f>
        <v>1.6000000000002679E-2</v>
      </c>
      <c r="I35" s="27">
        <f t="shared" ref="I35" si="29">+I34/H34-1</f>
        <v>1.5999999999997128E-2</v>
      </c>
      <c r="J35" s="27">
        <f t="shared" ref="J35" si="30">+J34/I34-1</f>
        <v>1.6000000000002235E-2</v>
      </c>
      <c r="K35" s="27"/>
    </row>
    <row r="36" spans="1:11" ht="16.2" x14ac:dyDescent="0.3">
      <c r="A36" s="122" t="s">
        <v>466</v>
      </c>
      <c r="B36" s="112"/>
      <c r="C36" s="127">
        <f>(1+$C9)</f>
        <v>1.0483393548387097</v>
      </c>
      <c r="D36" s="127">
        <f t="shared" ref="D36:J36" si="31">C36*(1+$C9)</f>
        <v>1.0990154029036421</v>
      </c>
      <c r="E36" s="127">
        <f t="shared" si="31"/>
        <v>1.1521410984378087</v>
      </c>
      <c r="F36" s="127">
        <f t="shared" si="31"/>
        <v>1.2078348558194545</v>
      </c>
      <c r="G36" s="127">
        <f t="shared" si="31"/>
        <v>1.2662208135014728</v>
      </c>
      <c r="H36" s="127">
        <f t="shared" si="31"/>
        <v>1.32742911070948</v>
      </c>
      <c r="I36" s="127">
        <f t="shared" si="31"/>
        <v>1.3915961775152983</v>
      </c>
      <c r="J36" s="127">
        <f t="shared" si="31"/>
        <v>1.4588650389324023</v>
      </c>
      <c r="K36" s="128"/>
    </row>
    <row r="37" spans="1:11" x14ac:dyDescent="0.3">
      <c r="A37" s="122" t="s">
        <v>216</v>
      </c>
      <c r="B37" s="57"/>
      <c r="C37" s="129">
        <f>C34/C36</f>
        <v>-65.142494299599264</v>
      </c>
      <c r="D37" s="129">
        <f t="shared" ref="D37:F37" si="32">D34/D36</f>
        <v>841.73379849359492</v>
      </c>
      <c r="E37" s="129">
        <f t="shared" si="32"/>
        <v>855.35007681068032</v>
      </c>
      <c r="F37" s="129">
        <f t="shared" si="32"/>
        <v>820.73608236632265</v>
      </c>
      <c r="G37" s="129">
        <f t="shared" ref="G37" si="33">G34/G36</f>
        <v>1026.6121598920147</v>
      </c>
      <c r="H37" s="129">
        <f t="shared" ref="H37:J37" si="34">H34/H36</f>
        <v>994.94304934375418</v>
      </c>
      <c r="I37" s="129">
        <f t="shared" si="34"/>
        <v>964.2508730283962</v>
      </c>
      <c r="J37" s="129">
        <f t="shared" si="34"/>
        <v>934.50549430873889</v>
      </c>
      <c r="K37" s="129"/>
    </row>
    <row r="38" spans="1:11" x14ac:dyDescent="0.3">
      <c r="A38" s="122" t="s">
        <v>217</v>
      </c>
      <c r="B38" s="38">
        <f>SUM(C37:G37)</f>
        <v>3479.2896232630137</v>
      </c>
      <c r="C38" s="57"/>
      <c r="D38" s="57"/>
      <c r="E38" s="57"/>
      <c r="F38" s="57"/>
      <c r="G38" s="57"/>
      <c r="H38" s="130"/>
      <c r="I38" s="130"/>
      <c r="J38" s="112"/>
    </row>
    <row r="39" spans="1:11" x14ac:dyDescent="0.3">
      <c r="A39" s="122" t="s">
        <v>92</v>
      </c>
      <c r="B39" s="38"/>
      <c r="C39" s="57"/>
      <c r="D39" s="57"/>
      <c r="E39" s="57"/>
      <c r="F39" s="57"/>
      <c r="G39" s="57"/>
      <c r="H39" s="120"/>
      <c r="I39" s="120"/>
      <c r="J39" s="112"/>
    </row>
    <row r="40" spans="1:11" x14ac:dyDescent="0.3">
      <c r="A40" s="122" t="s">
        <v>472</v>
      </c>
      <c r="B40" s="38"/>
      <c r="C40" s="57"/>
      <c r="D40" s="57"/>
      <c r="E40" s="57"/>
      <c r="F40" s="57"/>
      <c r="G40" s="131">
        <f>H34</f>
        <v>1320.7163671969579</v>
      </c>
      <c r="H40" s="20"/>
      <c r="J40" s="131"/>
    </row>
    <row r="41" spans="1:11" x14ac:dyDescent="0.3">
      <c r="A41" s="122" t="s">
        <v>473</v>
      </c>
      <c r="B41" s="38"/>
      <c r="C41" s="57"/>
      <c r="D41" s="57"/>
      <c r="E41" s="57"/>
      <c r="F41" s="57"/>
      <c r="G41" s="131">
        <f>G40/(C9-H35)</f>
        <v>40839.292366345893</v>
      </c>
      <c r="H41" s="20"/>
      <c r="J41" s="131"/>
    </row>
    <row r="42" spans="1:11" x14ac:dyDescent="0.3">
      <c r="A42" s="122" t="s">
        <v>93</v>
      </c>
      <c r="B42" s="129">
        <f>G41/G36</f>
        <v>32252.899281771592</v>
      </c>
      <c r="C42" s="57"/>
      <c r="D42" s="57"/>
      <c r="E42" s="57"/>
      <c r="F42" s="57"/>
      <c r="G42" s="57"/>
      <c r="I42" s="112"/>
    </row>
    <row r="43" spans="1:11" ht="15" thickBot="1" x14ac:dyDescent="0.35">
      <c r="A43" s="122" t="s">
        <v>189</v>
      </c>
      <c r="B43" s="132">
        <f>SUM(B38:B42)</f>
        <v>35732.188905034607</v>
      </c>
      <c r="C43" s="57"/>
      <c r="D43" s="57"/>
      <c r="E43" s="57"/>
      <c r="F43" s="57"/>
      <c r="G43" s="26"/>
      <c r="I43" s="112"/>
    </row>
    <row r="44" spans="1:11" ht="15" thickTop="1" x14ac:dyDescent="0.3">
      <c r="A44" s="133"/>
      <c r="B44" s="133"/>
      <c r="C44" s="134"/>
      <c r="D44" s="120"/>
      <c r="E44" s="120"/>
      <c r="F44" s="120"/>
      <c r="G44" s="120"/>
      <c r="I44" s="112"/>
    </row>
    <row r="45" spans="1:11" x14ac:dyDescent="0.3">
      <c r="A45" s="133"/>
      <c r="B45" s="133"/>
      <c r="C45" s="134"/>
      <c r="D45" s="120"/>
      <c r="E45" s="120"/>
      <c r="F45" s="120"/>
      <c r="G45" s="120"/>
      <c r="I45" s="112"/>
    </row>
    <row r="46" spans="1:11" x14ac:dyDescent="0.3">
      <c r="A46" s="121" t="s">
        <v>190</v>
      </c>
      <c r="I46" s="112"/>
    </row>
    <row r="47" spans="1:11" s="13" customFormat="1" x14ac:dyDescent="0.3">
      <c r="A47" s="369" t="s">
        <v>527</v>
      </c>
      <c r="B47" s="368">
        <f t="shared" ref="B47:K47" si="35">+B29</f>
        <v>43463</v>
      </c>
      <c r="C47" s="368">
        <f t="shared" si="35"/>
        <v>43827</v>
      </c>
      <c r="D47" s="368">
        <f t="shared" si="35"/>
        <v>44198</v>
      </c>
      <c r="E47" s="368">
        <f t="shared" si="35"/>
        <v>44562</v>
      </c>
      <c r="F47" s="368">
        <f t="shared" si="35"/>
        <v>44926</v>
      </c>
      <c r="G47" s="368">
        <f t="shared" si="35"/>
        <v>45290</v>
      </c>
      <c r="H47" s="368">
        <f t="shared" si="35"/>
        <v>45654</v>
      </c>
      <c r="I47" s="368">
        <f t="shared" si="35"/>
        <v>46025</v>
      </c>
      <c r="J47" s="368">
        <f t="shared" si="35"/>
        <v>46389</v>
      </c>
      <c r="K47" s="368">
        <f t="shared" si="35"/>
        <v>46753</v>
      </c>
    </row>
    <row r="48" spans="1:11" x14ac:dyDescent="0.3">
      <c r="A48" s="123" t="s">
        <v>221</v>
      </c>
      <c r="B48" s="135">
        <f t="shared" ref="B48:K48" si="36">+B18</f>
        <v>13547</v>
      </c>
      <c r="C48" s="135">
        <f t="shared" si="36"/>
        <v>13740.514500000001</v>
      </c>
      <c r="D48" s="135">
        <f t="shared" si="36"/>
        <v>13956.332750712303</v>
      </c>
      <c r="E48" s="135">
        <f t="shared" si="36"/>
        <v>14195.742048123666</v>
      </c>
      <c r="F48" s="135">
        <f t="shared" si="36"/>
        <v>14437.069662941771</v>
      </c>
      <c r="G48" s="135">
        <f t="shared" si="36"/>
        <v>14675.28131238031</v>
      </c>
      <c r="H48" s="135">
        <f t="shared" si="36"/>
        <v>14910.085813378395</v>
      </c>
      <c r="I48" s="135">
        <f t="shared" si="36"/>
        <v>15148.647186392449</v>
      </c>
      <c r="J48" s="135">
        <f t="shared" si="36"/>
        <v>15391.025541374729</v>
      </c>
      <c r="K48" s="135">
        <f t="shared" si="36"/>
        <v>15637.281950036724</v>
      </c>
    </row>
    <row r="49" spans="1:12" x14ac:dyDescent="0.3">
      <c r="A49" s="125" t="s">
        <v>461</v>
      </c>
      <c r="B49" s="126"/>
      <c r="C49" s="135">
        <f t="shared" ref="C49:K49" si="37">+C19</f>
        <v>1287.48620865</v>
      </c>
      <c r="D49" s="135">
        <f t="shared" si="37"/>
        <v>1338.4123107933103</v>
      </c>
      <c r="E49" s="135">
        <f t="shared" si="37"/>
        <v>1420.99377901718</v>
      </c>
      <c r="F49" s="135">
        <f t="shared" si="37"/>
        <v>1469.6936916874731</v>
      </c>
      <c r="G49" s="135">
        <f t="shared" si="37"/>
        <v>1549.7097065873606</v>
      </c>
      <c r="H49" s="135">
        <f t="shared" si="37"/>
        <v>1574.5050618927585</v>
      </c>
      <c r="I49" s="135">
        <f t="shared" si="37"/>
        <v>1599.6971428830425</v>
      </c>
      <c r="J49" s="135">
        <f t="shared" si="37"/>
        <v>1625.2922971691714</v>
      </c>
      <c r="K49" s="135">
        <f t="shared" si="37"/>
        <v>1651.2969739238781</v>
      </c>
    </row>
    <row r="50" spans="1:12" x14ac:dyDescent="0.3">
      <c r="A50" s="125" t="s">
        <v>462</v>
      </c>
      <c r="B50" s="135">
        <f t="shared" ref="B50:K50" si="38">+B21</f>
        <v>12929</v>
      </c>
      <c r="C50" s="135">
        <f t="shared" si="38"/>
        <v>14284.777649096626</v>
      </c>
      <c r="D50" s="135">
        <f t="shared" si="38"/>
        <v>14698.111550200885</v>
      </c>
      <c r="E50" s="135">
        <f t="shared" si="38"/>
        <v>15133.621352172544</v>
      </c>
      <c r="F50" s="135">
        <f t="shared" si="38"/>
        <v>15612.001396149266</v>
      </c>
      <c r="G50" s="135">
        <f t="shared" si="38"/>
        <v>15861.793418487656</v>
      </c>
      <c r="H50" s="135">
        <f t="shared" si="38"/>
        <v>16115.582113183456</v>
      </c>
      <c r="I50" s="135">
        <f t="shared" si="38"/>
        <v>16373.431426994393</v>
      </c>
      <c r="J50" s="135">
        <f t="shared" si="38"/>
        <v>16635.406329826303</v>
      </c>
      <c r="K50" s="135">
        <f t="shared" si="38"/>
        <v>0</v>
      </c>
    </row>
    <row r="51" spans="1:12" ht="15.6" x14ac:dyDescent="0.3">
      <c r="A51" s="125" t="s">
        <v>467</v>
      </c>
      <c r="B51" s="126"/>
      <c r="C51" s="135">
        <f t="shared" ref="C51:K51" si="39">C49-$C9*B50</f>
        <v>662.50668994032253</v>
      </c>
      <c r="D51" s="135">
        <f t="shared" si="39"/>
        <v>647.89537522155945</v>
      </c>
      <c r="E51" s="135">
        <f t="shared" si="39"/>
        <v>710.49654933308227</v>
      </c>
      <c r="F51" s="135">
        <f t="shared" si="39"/>
        <v>738.14419915013116</v>
      </c>
      <c r="G51" s="135">
        <f t="shared" si="39"/>
        <v>795.03563135647039</v>
      </c>
      <c r="H51" s="135">
        <f t="shared" si="39"/>
        <v>807.7562014581739</v>
      </c>
      <c r="I51" s="135">
        <f t="shared" si="39"/>
        <v>820.6803006815046</v>
      </c>
      <c r="J51" s="135">
        <f t="shared" si="39"/>
        <v>833.81118549240887</v>
      </c>
      <c r="K51" s="135">
        <f t="shared" si="39"/>
        <v>847.15216446028739</v>
      </c>
    </row>
    <row r="52" spans="1:12" x14ac:dyDescent="0.3">
      <c r="A52" s="123" t="s">
        <v>468</v>
      </c>
      <c r="B52" s="126"/>
      <c r="C52" s="135"/>
      <c r="D52" s="136">
        <f>+D51/C51-1</f>
        <v>-2.2054591962051395E-2</v>
      </c>
      <c r="E52" s="136">
        <f t="shared" ref="E52:F52" si="40">+E51/D51-1</f>
        <v>9.6622350622761033E-2</v>
      </c>
      <c r="F52" s="136">
        <f t="shared" si="40"/>
        <v>3.8913137358655314E-2</v>
      </c>
      <c r="G52" s="136">
        <f t="shared" ref="G52" si="41">+G51/F51-1</f>
        <v>7.70736019762015E-2</v>
      </c>
      <c r="H52" s="136">
        <f t="shared" ref="H52" si="42">+H51/G51-1</f>
        <v>1.6000000000000014E-2</v>
      </c>
      <c r="I52" s="136">
        <f t="shared" ref="I52" si="43">+I51/H51-1</f>
        <v>1.5999999999999792E-2</v>
      </c>
      <c r="J52" s="136">
        <f t="shared" ref="J52" si="44">+J51/I51-1</f>
        <v>1.6000000000000236E-2</v>
      </c>
      <c r="K52" s="136">
        <f t="shared" ref="K52" si="45">+K51/J51-1</f>
        <v>1.6000000000000014E-2</v>
      </c>
    </row>
    <row r="53" spans="1:12" ht="16.2" x14ac:dyDescent="0.3">
      <c r="A53" s="122" t="s">
        <v>466</v>
      </c>
      <c r="C53" s="127">
        <f>(1+$C9)</f>
        <v>1.0483393548387097</v>
      </c>
      <c r="D53" s="127">
        <f t="shared" ref="D53:J53" si="46">C53*(1+$C9)</f>
        <v>1.0990154029036421</v>
      </c>
      <c r="E53" s="127">
        <f t="shared" si="46"/>
        <v>1.1521410984378087</v>
      </c>
      <c r="F53" s="127">
        <f t="shared" si="46"/>
        <v>1.2078348558194545</v>
      </c>
      <c r="G53" s="127">
        <f t="shared" si="46"/>
        <v>1.2662208135014728</v>
      </c>
      <c r="H53" s="127">
        <f t="shared" si="46"/>
        <v>1.32742911070948</v>
      </c>
      <c r="I53" s="127">
        <f t="shared" si="46"/>
        <v>1.3915961775152983</v>
      </c>
      <c r="J53" s="127">
        <f t="shared" si="46"/>
        <v>1.4588650389324023</v>
      </c>
      <c r="K53" s="128"/>
    </row>
    <row r="54" spans="1:12" ht="15.6" x14ac:dyDescent="0.3">
      <c r="A54" s="122" t="s">
        <v>469</v>
      </c>
      <c r="C54" s="137">
        <f>C51/C53</f>
        <v>631.95823650276998</v>
      </c>
      <c r="D54" s="137">
        <f t="shared" ref="D54:F54" si="47">D51/D53</f>
        <v>589.52347119957949</v>
      </c>
      <c r="E54" s="137">
        <f t="shared" si="47"/>
        <v>616.67494571320003</v>
      </c>
      <c r="F54" s="137">
        <f t="shared" si="47"/>
        <v>611.13006930847166</v>
      </c>
      <c r="G54" s="137">
        <f t="shared" ref="G54" si="48">G51/G53</f>
        <v>627.88071628515024</v>
      </c>
      <c r="H54" s="137">
        <f t="shared" ref="H54:J54" si="49">H51/H53</f>
        <v>608.51174269219314</v>
      </c>
      <c r="I54" s="137">
        <f t="shared" si="49"/>
        <v>589.74026656701028</v>
      </c>
      <c r="J54" s="137">
        <f t="shared" si="49"/>
        <v>571.54785620374594</v>
      </c>
      <c r="K54" s="138"/>
    </row>
    <row r="55" spans="1:12" ht="15.6" x14ac:dyDescent="0.3">
      <c r="A55" s="122" t="s">
        <v>470</v>
      </c>
      <c r="B55" s="139">
        <f>SUM(C54:G54)</f>
        <v>3077.1674390091716</v>
      </c>
      <c r="K55" s="112"/>
    </row>
    <row r="56" spans="1:12" x14ac:dyDescent="0.3">
      <c r="A56" s="122" t="s">
        <v>92</v>
      </c>
      <c r="B56" s="139"/>
    </row>
    <row r="57" spans="1:12" x14ac:dyDescent="0.3">
      <c r="A57" s="122" t="s">
        <v>474</v>
      </c>
      <c r="B57" s="139"/>
      <c r="C57" s="139"/>
      <c r="D57" s="139"/>
      <c r="E57" s="139"/>
      <c r="F57" s="139"/>
      <c r="G57" s="139">
        <f>H51</f>
        <v>807.7562014581739</v>
      </c>
      <c r="H57" s="139"/>
      <c r="I57" s="139"/>
      <c r="J57" s="8"/>
    </row>
    <row r="58" spans="1:12" x14ac:dyDescent="0.3">
      <c r="A58" s="122" t="s">
        <v>473</v>
      </c>
      <c r="B58" s="139"/>
      <c r="F58" s="8"/>
      <c r="G58" s="8">
        <f>G57/(C9-H52)</f>
        <v>24977.498947854805</v>
      </c>
      <c r="I58" s="8"/>
      <c r="J58" s="8"/>
    </row>
    <row r="59" spans="1:12" ht="15" thickBot="1" x14ac:dyDescent="0.35">
      <c r="A59" s="122" t="s">
        <v>93</v>
      </c>
      <c r="B59" s="137">
        <f>G58/G53</f>
        <v>19726.021466022721</v>
      </c>
    </row>
    <row r="60" spans="1:12" ht="15" thickBot="1" x14ac:dyDescent="0.35">
      <c r="A60" s="122" t="s">
        <v>189</v>
      </c>
      <c r="B60" s="140">
        <f>SUM(B50:B59)</f>
        <v>35732.188905031893</v>
      </c>
      <c r="C60" s="139"/>
    </row>
    <row r="61" spans="1:12" ht="15" thickTop="1" x14ac:dyDescent="0.3">
      <c r="D61" s="139"/>
      <c r="E61" s="139"/>
      <c r="F61" s="139"/>
      <c r="G61" s="139"/>
      <c r="H61" s="139"/>
    </row>
    <row r="63" spans="1:12" x14ac:dyDescent="0.3">
      <c r="A63" s="351" t="s">
        <v>191</v>
      </c>
      <c r="B63" s="352"/>
      <c r="C63" s="353"/>
      <c r="D63" s="353"/>
      <c r="E63" s="353"/>
      <c r="F63" s="353"/>
      <c r="G63" s="133"/>
      <c r="H63" s="133"/>
      <c r="I63" s="133"/>
      <c r="J63" s="133"/>
      <c r="K63" s="133"/>
    </row>
    <row r="64" spans="1:12" s="13" customFormat="1" x14ac:dyDescent="0.3">
      <c r="A64" s="370" t="s">
        <v>527</v>
      </c>
      <c r="B64" s="371">
        <f t="shared" ref="B64:K64" si="50">+B3</f>
        <v>43463</v>
      </c>
      <c r="C64" s="371">
        <f t="shared" si="50"/>
        <v>43827</v>
      </c>
      <c r="D64" s="371">
        <f t="shared" si="50"/>
        <v>44198</v>
      </c>
      <c r="E64" s="371">
        <f t="shared" si="50"/>
        <v>44562</v>
      </c>
      <c r="F64" s="371">
        <f t="shared" si="50"/>
        <v>44926</v>
      </c>
      <c r="G64" s="371">
        <f t="shared" si="50"/>
        <v>45290</v>
      </c>
      <c r="H64" s="371">
        <f t="shared" si="50"/>
        <v>45654</v>
      </c>
      <c r="I64" s="371">
        <f t="shared" si="50"/>
        <v>46025</v>
      </c>
      <c r="J64" s="371">
        <f t="shared" si="50"/>
        <v>46389</v>
      </c>
      <c r="K64" s="371">
        <f t="shared" si="50"/>
        <v>46753</v>
      </c>
      <c r="L64" s="348"/>
    </row>
    <row r="65" spans="1:12" x14ac:dyDescent="0.3">
      <c r="A65" s="354" t="s">
        <v>221</v>
      </c>
      <c r="B65" s="355">
        <f t="shared" ref="B65:K65" si="51">+B18</f>
        <v>13547</v>
      </c>
      <c r="C65" s="355">
        <f t="shared" si="51"/>
        <v>13740.514500000001</v>
      </c>
      <c r="D65" s="355">
        <f t="shared" si="51"/>
        <v>13956.332750712303</v>
      </c>
      <c r="E65" s="355">
        <f t="shared" si="51"/>
        <v>14195.742048123666</v>
      </c>
      <c r="F65" s="355">
        <f t="shared" si="51"/>
        <v>14437.069662941771</v>
      </c>
      <c r="G65" s="355">
        <f t="shared" si="51"/>
        <v>14675.28131238031</v>
      </c>
      <c r="H65" s="355">
        <f t="shared" si="51"/>
        <v>14910.085813378395</v>
      </c>
      <c r="I65" s="355">
        <f t="shared" si="51"/>
        <v>15148.647186392449</v>
      </c>
      <c r="J65" s="355">
        <f t="shared" si="51"/>
        <v>15391.025541374729</v>
      </c>
      <c r="K65" s="355">
        <f t="shared" si="51"/>
        <v>15637.281950036724</v>
      </c>
      <c r="L65" s="135"/>
    </row>
    <row r="66" spans="1:12" x14ac:dyDescent="0.3">
      <c r="A66" s="356" t="s">
        <v>461</v>
      </c>
      <c r="B66" s="357"/>
      <c r="C66" s="355">
        <f t="shared" ref="C66:K66" si="52">+C19</f>
        <v>1287.48620865</v>
      </c>
      <c r="D66" s="355">
        <f t="shared" si="52"/>
        <v>1338.4123107933103</v>
      </c>
      <c r="E66" s="355">
        <f t="shared" si="52"/>
        <v>1420.99377901718</v>
      </c>
      <c r="F66" s="355">
        <f t="shared" si="52"/>
        <v>1469.6936916874731</v>
      </c>
      <c r="G66" s="355">
        <f t="shared" si="52"/>
        <v>1549.7097065873606</v>
      </c>
      <c r="H66" s="355">
        <f t="shared" si="52"/>
        <v>1574.5050618927585</v>
      </c>
      <c r="I66" s="355">
        <f t="shared" si="52"/>
        <v>1599.6971428830425</v>
      </c>
      <c r="J66" s="355">
        <f t="shared" si="52"/>
        <v>1625.2922971691714</v>
      </c>
      <c r="K66" s="355">
        <f t="shared" si="52"/>
        <v>1651.2969739238781</v>
      </c>
      <c r="L66" s="135"/>
    </row>
    <row r="67" spans="1:12" x14ac:dyDescent="0.3">
      <c r="A67" s="354" t="s">
        <v>528</v>
      </c>
      <c r="B67" s="357"/>
      <c r="C67" s="355"/>
      <c r="D67" s="355">
        <f>D66-C66</f>
        <v>50.926102143310345</v>
      </c>
      <c r="E67" s="355">
        <f t="shared" ref="E67:K67" si="53">E66-D66</f>
        <v>82.581468223869706</v>
      </c>
      <c r="F67" s="355">
        <f t="shared" si="53"/>
        <v>48.699912670293088</v>
      </c>
      <c r="G67" s="355">
        <f t="shared" si="53"/>
        <v>80.016014899887523</v>
      </c>
      <c r="H67" s="355">
        <f t="shared" si="53"/>
        <v>24.795355305397834</v>
      </c>
      <c r="I67" s="355">
        <f t="shared" si="53"/>
        <v>25.192080990284012</v>
      </c>
      <c r="J67" s="355">
        <f t="shared" si="53"/>
        <v>25.595154286128945</v>
      </c>
      <c r="K67" s="355">
        <f t="shared" si="53"/>
        <v>26.004676754706679</v>
      </c>
      <c r="L67" s="135"/>
    </row>
    <row r="68" spans="1:12" x14ac:dyDescent="0.3">
      <c r="A68" s="356" t="s">
        <v>462</v>
      </c>
      <c r="B68" s="355">
        <f t="shared" ref="B68:G68" si="54">+B21</f>
        <v>12929</v>
      </c>
      <c r="C68" s="355">
        <f t="shared" si="54"/>
        <v>14284.777649096626</v>
      </c>
      <c r="D68" s="355">
        <f t="shared" si="54"/>
        <v>14698.111550200885</v>
      </c>
      <c r="E68" s="355">
        <f t="shared" si="54"/>
        <v>15133.621352172544</v>
      </c>
      <c r="F68" s="355">
        <f t="shared" si="54"/>
        <v>15612.001396149266</v>
      </c>
      <c r="G68" s="355">
        <f t="shared" si="54"/>
        <v>15861.793418487656</v>
      </c>
      <c r="H68" s="355">
        <f>+H21</f>
        <v>16115.582113183456</v>
      </c>
      <c r="I68" s="355">
        <f>+I21</f>
        <v>16373.431426994393</v>
      </c>
      <c r="J68" s="355">
        <f>+J21</f>
        <v>16635.406329826303</v>
      </c>
      <c r="K68" s="355">
        <f>+K21</f>
        <v>0</v>
      </c>
      <c r="L68" s="135"/>
    </row>
    <row r="69" spans="1:12" x14ac:dyDescent="0.3">
      <c r="A69" s="354" t="s">
        <v>463</v>
      </c>
      <c r="B69" s="358"/>
      <c r="C69" s="359">
        <f>+C68-B68</f>
        <v>1355.7776490966262</v>
      </c>
      <c r="D69" s="355">
        <f t="shared" ref="D69:G69" si="55">+D68-C68</f>
        <v>413.33390110425898</v>
      </c>
      <c r="E69" s="355">
        <f t="shared" si="55"/>
        <v>435.50980197165882</v>
      </c>
      <c r="F69" s="355">
        <f t="shared" si="55"/>
        <v>478.38004397672194</v>
      </c>
      <c r="G69" s="355">
        <f t="shared" si="55"/>
        <v>249.79202233838987</v>
      </c>
      <c r="H69" s="355">
        <f t="shared" ref="H69" si="56">+H68-G68</f>
        <v>253.78869469580059</v>
      </c>
      <c r="I69" s="355">
        <f t="shared" ref="I69" si="57">+I68-H68</f>
        <v>257.84931381093702</v>
      </c>
      <c r="J69" s="355">
        <f t="shared" ref="J69" si="58">+J68-I68</f>
        <v>261.97490283190928</v>
      </c>
      <c r="K69" s="355">
        <f t="shared" ref="K69" si="59">+K68-J68</f>
        <v>-16635.406329826303</v>
      </c>
      <c r="L69" s="135"/>
    </row>
    <row r="70" spans="1:12" ht="15.6" x14ac:dyDescent="0.3">
      <c r="A70" s="353" t="s">
        <v>529</v>
      </c>
      <c r="B70" s="133"/>
      <c r="C70" s="355"/>
      <c r="D70" s="355">
        <f t="shared" ref="D70:K70" si="60">D67-$C9*C69</f>
        <v>-14.611314718763083</v>
      </c>
      <c r="E70" s="355">
        <f t="shared" si="60"/>
        <v>62.601174111522795</v>
      </c>
      <c r="F70" s="355">
        <f t="shared" si="60"/>
        <v>27.647649817048887</v>
      </c>
      <c r="G70" s="355">
        <f t="shared" si="60"/>
        <v>56.891432206339218</v>
      </c>
      <c r="H70" s="355">
        <f t="shared" si="60"/>
        <v>12.720570101703512</v>
      </c>
      <c r="I70" s="355">
        <f t="shared" si="60"/>
        <v>12.924099223330751</v>
      </c>
      <c r="J70" s="355">
        <f t="shared" si="60"/>
        <v>13.130884810904256</v>
      </c>
      <c r="K70" s="355">
        <f t="shared" si="60"/>
        <v>13.340978967878527</v>
      </c>
      <c r="L70" s="135"/>
    </row>
    <row r="71" spans="1:12" x14ac:dyDescent="0.3">
      <c r="A71" s="353" t="s">
        <v>471</v>
      </c>
      <c r="B71" s="133"/>
      <c r="C71" s="355"/>
      <c r="D71" s="355"/>
      <c r="E71" s="360">
        <f>+E70/D70-1</f>
        <v>-5.2844312997470144</v>
      </c>
      <c r="F71" s="360">
        <f t="shared" ref="F71:G71" si="61">+F70/E70-1</f>
        <v>-0.55835253556434705</v>
      </c>
      <c r="G71" s="360">
        <f t="shared" si="61"/>
        <v>1.0577312206572143</v>
      </c>
      <c r="H71" s="360">
        <f t="shared" ref="H71" si="62">+H70/G70-1</f>
        <v>-0.7764062248324608</v>
      </c>
      <c r="I71" s="360">
        <f t="shared" ref="I71" si="63">+I70/H70-1</f>
        <v>1.5999999999998682E-2</v>
      </c>
      <c r="J71" s="360">
        <f t="shared" ref="J71" si="64">+J70/I70-1</f>
        <v>1.6000000000016446E-2</v>
      </c>
      <c r="K71" s="360">
        <f t="shared" ref="K71" si="65">+K70/J70-1</f>
        <v>1.5999999999985137E-2</v>
      </c>
      <c r="L71" s="136"/>
    </row>
    <row r="72" spans="1:12" ht="16.2" x14ac:dyDescent="0.3">
      <c r="A72" s="385" t="s">
        <v>466</v>
      </c>
      <c r="B72" s="133"/>
      <c r="C72" s="352"/>
      <c r="D72" s="361">
        <f>(1+$C9)</f>
        <v>1.0483393548387097</v>
      </c>
      <c r="E72" s="361">
        <f t="shared" ref="E72:K72" si="66">D72*(1+$C9)</f>
        <v>1.0990154029036421</v>
      </c>
      <c r="F72" s="361">
        <f t="shared" si="66"/>
        <v>1.1521410984378087</v>
      </c>
      <c r="G72" s="361">
        <f t="shared" si="66"/>
        <v>1.2078348558194545</v>
      </c>
      <c r="H72" s="361">
        <f t="shared" si="66"/>
        <v>1.2662208135014728</v>
      </c>
      <c r="I72" s="361">
        <f t="shared" si="66"/>
        <v>1.32742911070948</v>
      </c>
      <c r="J72" s="361">
        <f t="shared" si="66"/>
        <v>1.3915961775152983</v>
      </c>
      <c r="K72" s="361">
        <f t="shared" si="66"/>
        <v>1.4588650389324023</v>
      </c>
      <c r="L72" s="128"/>
    </row>
    <row r="73" spans="1:12" ht="15.6" x14ac:dyDescent="0.3">
      <c r="A73" s="353" t="s">
        <v>548</v>
      </c>
      <c r="B73" s="133"/>
      <c r="C73" s="352"/>
      <c r="D73" s="355">
        <f>D70/D72</f>
        <v>-13.937581043126135</v>
      </c>
      <c r="E73" s="355">
        <f t="shared" ref="E73:G73" si="67">E70/E72</f>
        <v>56.961143534592892</v>
      </c>
      <c r="F73" s="355">
        <f t="shared" si="67"/>
        <v>23.996756868179091</v>
      </c>
      <c r="G73" s="355">
        <f t="shared" si="67"/>
        <v>47.101995717569579</v>
      </c>
      <c r="H73" s="355">
        <f t="shared" ref="H73:I73" si="68">H70/H72</f>
        <v>10.046091460562392</v>
      </c>
      <c r="I73" s="355">
        <f t="shared" si="68"/>
        <v>9.7361878830750666</v>
      </c>
      <c r="J73" s="355">
        <f t="shared" ref="J73:K73" si="69">J70/J72</f>
        <v>9.435844265072296</v>
      </c>
      <c r="K73" s="355">
        <f t="shared" si="69"/>
        <v>9.1447656992599242</v>
      </c>
      <c r="L73" s="141"/>
    </row>
    <row r="74" spans="1:12" ht="15.6" x14ac:dyDescent="0.3">
      <c r="A74" s="353" t="s">
        <v>549</v>
      </c>
      <c r="B74" s="352"/>
      <c r="C74" s="26">
        <f>SUM(D73:H73)</f>
        <v>124.16840653777781</v>
      </c>
      <c r="D74" s="353"/>
      <c r="E74" s="353"/>
      <c r="F74" s="353"/>
      <c r="G74" s="133"/>
      <c r="H74" s="353"/>
      <c r="I74" s="133"/>
      <c r="J74" s="133"/>
      <c r="K74" s="133"/>
      <c r="L74" s="112"/>
    </row>
    <row r="75" spans="1:12" x14ac:dyDescent="0.3">
      <c r="A75" s="353" t="s">
        <v>92</v>
      </c>
      <c r="B75" s="352"/>
      <c r="C75" s="362"/>
      <c r="D75" s="353"/>
      <c r="E75" s="353"/>
      <c r="F75" s="353"/>
      <c r="G75" s="133"/>
      <c r="H75" s="353"/>
      <c r="I75" s="133"/>
      <c r="J75" s="133"/>
      <c r="K75" s="133"/>
    </row>
    <row r="76" spans="1:12" x14ac:dyDescent="0.3">
      <c r="A76" s="353" t="s">
        <v>475</v>
      </c>
      <c r="B76" s="352"/>
      <c r="C76" s="362"/>
      <c r="D76" s="353"/>
      <c r="E76" s="353"/>
      <c r="F76" s="363"/>
      <c r="G76" s="363"/>
      <c r="H76" s="363">
        <f>I70</f>
        <v>12.924099223330751</v>
      </c>
      <c r="I76" s="363"/>
      <c r="J76" s="363"/>
      <c r="K76" s="363"/>
    </row>
    <row r="77" spans="1:12" x14ac:dyDescent="0.3">
      <c r="A77" s="353" t="s">
        <v>473</v>
      </c>
      <c r="B77" s="352"/>
      <c r="C77" s="133"/>
      <c r="D77" s="353"/>
      <c r="E77" s="353"/>
      <c r="F77" s="363"/>
      <c r="G77" s="363"/>
      <c r="H77" s="363">
        <f>H76/(C9-I71)</f>
        <v>399.63998316565949</v>
      </c>
      <c r="I77" s="363"/>
      <c r="J77" s="363"/>
      <c r="K77" s="363"/>
    </row>
    <row r="78" spans="1:12" ht="15" thickBot="1" x14ac:dyDescent="0.35">
      <c r="A78" s="353" t="s">
        <v>93</v>
      </c>
      <c r="B78" s="352"/>
      <c r="C78" s="364">
        <f>H77/H72</f>
        <v>315.6163434563498</v>
      </c>
      <c r="D78" s="353"/>
      <c r="E78" s="353"/>
      <c r="F78" s="353"/>
      <c r="G78" s="133"/>
      <c r="H78" s="133"/>
      <c r="I78" s="133"/>
      <c r="J78" s="133"/>
      <c r="K78" s="133"/>
    </row>
    <row r="79" spans="1:12" x14ac:dyDescent="0.3">
      <c r="A79" s="353" t="s">
        <v>94</v>
      </c>
      <c r="B79" s="352"/>
      <c r="C79" s="365">
        <f>SUM(C74:C78)+C66</f>
        <v>1727.2709586441276</v>
      </c>
      <c r="D79" s="133"/>
      <c r="E79" s="133"/>
      <c r="F79" s="133"/>
      <c r="G79" s="133"/>
      <c r="H79" s="133"/>
      <c r="I79" s="133"/>
      <c r="J79" s="133"/>
      <c r="K79" s="133"/>
    </row>
    <row r="80" spans="1:12" ht="15" thickBot="1" x14ac:dyDescent="0.35">
      <c r="A80" s="353" t="s">
        <v>189</v>
      </c>
      <c r="B80" s="366">
        <f>C79/C9</f>
        <v>35732.188905031602</v>
      </c>
      <c r="C80" s="133"/>
      <c r="D80" s="133"/>
      <c r="E80" s="133"/>
      <c r="F80" s="133"/>
      <c r="G80" s="133"/>
      <c r="H80" s="133"/>
      <c r="I80" s="133"/>
      <c r="J80" s="133"/>
      <c r="K80" s="133"/>
    </row>
    <row r="81" ht="15" thickTop="1" x14ac:dyDescent="0.3"/>
  </sheetData>
  <pageMargins left="0.7" right="0.7" top="0.75" bottom="0.75" header="0.3" footer="0.3"/>
  <pageSetup orientation="portrait" horizontalDpi="300" verticalDpi="300" r:id="rId1"/>
  <ignoredErrors>
    <ignoredError sqref="D67:K6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G44"/>
  <sheetViews>
    <sheetView tabSelected="1" topLeftCell="A34" zoomScale="110" zoomScaleNormal="110" workbookViewId="0">
      <selection activeCell="F40" activeCellId="1" sqref="D54 F40"/>
    </sheetView>
  </sheetViews>
  <sheetFormatPr defaultRowHeight="14.4" x14ac:dyDescent="0.3"/>
  <cols>
    <col min="1" max="1" width="50.109375" bestFit="1" customWidth="1"/>
    <col min="2" max="2" width="12.5546875" bestFit="1" customWidth="1"/>
    <col min="3" max="3" width="11" bestFit="1" customWidth="1"/>
    <col min="4" max="4" width="9.44140625" customWidth="1"/>
    <col min="6" max="6" width="17.44140625" bestFit="1" customWidth="1"/>
  </cols>
  <sheetData>
    <row r="1" spans="1:6" x14ac:dyDescent="0.3">
      <c r="A1" s="185" t="s">
        <v>531</v>
      </c>
    </row>
    <row r="3" spans="1:6" x14ac:dyDescent="0.3">
      <c r="A3" t="s">
        <v>557</v>
      </c>
      <c r="B3" s="8">
        <f>+'10-12 Valuation'!B43</f>
        <v>35732.188905034607</v>
      </c>
    </row>
    <row r="4" spans="1:6" x14ac:dyDescent="0.3">
      <c r="A4" t="s">
        <v>558</v>
      </c>
      <c r="B4" s="380">
        <f>(1+'9 Cost of Capital'!E4)^(1/2)</f>
        <v>1.0238844440847363</v>
      </c>
    </row>
    <row r="5" spans="1:6" x14ac:dyDescent="0.3">
      <c r="B5" s="8">
        <f>+B3*B4</f>
        <v>36585.632372962144</v>
      </c>
    </row>
    <row r="6" spans="1:6" x14ac:dyDescent="0.3">
      <c r="A6" t="s">
        <v>559</v>
      </c>
      <c r="B6" s="380">
        <f>(1+'9 Cost of Capital'!E4)^(4/12)</f>
        <v>1.0158602411631354</v>
      </c>
    </row>
    <row r="7" spans="1:6" x14ac:dyDescent="0.3">
      <c r="A7" t="s">
        <v>560</v>
      </c>
      <c r="D7" s="26">
        <f>+B5*B6</f>
        <v>37165.889325503136</v>
      </c>
    </row>
    <row r="10" spans="1:6" x14ac:dyDescent="0.3">
      <c r="A10" t="s">
        <v>181</v>
      </c>
      <c r="B10" s="92" t="s">
        <v>532</v>
      </c>
      <c r="C10" s="372" t="s">
        <v>533</v>
      </c>
      <c r="E10" s="185" t="s">
        <v>534</v>
      </c>
    </row>
    <row r="11" spans="1:6" x14ac:dyDescent="0.3">
      <c r="A11" t="s">
        <v>5</v>
      </c>
      <c r="B11" s="19">
        <f>+'5 Adj NOA'!F103</f>
        <v>147</v>
      </c>
      <c r="C11" s="8">
        <f>+B11</f>
        <v>147</v>
      </c>
      <c r="F11" t="s">
        <v>182</v>
      </c>
    </row>
    <row r="12" spans="1:6" x14ac:dyDescent="0.3">
      <c r="A12" t="s">
        <v>376</v>
      </c>
      <c r="B12" s="19">
        <f>+'5 Adj NOA'!F147</f>
        <v>132</v>
      </c>
      <c r="C12" s="8">
        <f t="shared" ref="C12:C28" si="0">+B12</f>
        <v>132</v>
      </c>
      <c r="F12" t="s">
        <v>182</v>
      </c>
    </row>
    <row r="13" spans="1:6" x14ac:dyDescent="0.3">
      <c r="A13" s="14" t="s">
        <v>379</v>
      </c>
      <c r="B13" s="19">
        <f>'5 Adj NOA'!F150</f>
        <v>20</v>
      </c>
      <c r="C13" s="8">
        <f t="shared" si="0"/>
        <v>20</v>
      </c>
      <c r="F13" t="s">
        <v>182</v>
      </c>
    </row>
    <row r="14" spans="1:6" x14ac:dyDescent="0.3">
      <c r="A14" t="s">
        <v>380</v>
      </c>
      <c r="B14" s="19">
        <f>+'5 Adj NOA'!F151</f>
        <v>31</v>
      </c>
      <c r="C14" s="8">
        <f t="shared" si="0"/>
        <v>31</v>
      </c>
      <c r="F14" t="s">
        <v>182</v>
      </c>
    </row>
    <row r="15" spans="1:6" x14ac:dyDescent="0.3">
      <c r="A15" t="s">
        <v>383</v>
      </c>
      <c r="B15" s="19">
        <f>+'5 Adj NOA'!F154</f>
        <v>4677</v>
      </c>
      <c r="C15" s="8">
        <f t="shared" si="0"/>
        <v>4677</v>
      </c>
      <c r="F15" t="s">
        <v>182</v>
      </c>
    </row>
    <row r="16" spans="1:6" x14ac:dyDescent="0.3">
      <c r="A16" t="s">
        <v>384</v>
      </c>
      <c r="B16" s="19">
        <f>+'5 Adj NOA'!F155</f>
        <v>1140</v>
      </c>
      <c r="C16" s="8">
        <f t="shared" si="0"/>
        <v>1140</v>
      </c>
      <c r="F16" t="s">
        <v>182</v>
      </c>
    </row>
    <row r="17" spans="1:6" x14ac:dyDescent="0.3">
      <c r="A17" t="s">
        <v>233</v>
      </c>
      <c r="B17" s="19">
        <f>+'5 Adj NOA'!F161</f>
        <v>-510</v>
      </c>
      <c r="C17" s="8">
        <f t="shared" si="0"/>
        <v>-510</v>
      </c>
      <c r="F17" t="s">
        <v>182</v>
      </c>
    </row>
    <row r="18" spans="1:6" x14ac:dyDescent="0.3">
      <c r="A18" t="s">
        <v>385</v>
      </c>
      <c r="B18" s="19">
        <f>+'5 Adj NOA'!F162</f>
        <v>-15</v>
      </c>
      <c r="C18" s="8">
        <f t="shared" si="0"/>
        <v>-15</v>
      </c>
      <c r="F18" t="s">
        <v>182</v>
      </c>
    </row>
    <row r="19" spans="1:6" x14ac:dyDescent="0.3">
      <c r="A19" t="s">
        <v>387</v>
      </c>
      <c r="B19" s="19">
        <f>+'5 Adj NOA'!F164</f>
        <v>-161</v>
      </c>
      <c r="C19" s="8">
        <f t="shared" si="0"/>
        <v>-161</v>
      </c>
      <c r="F19" t="s">
        <v>182</v>
      </c>
    </row>
    <row r="20" spans="1:6" x14ac:dyDescent="0.3">
      <c r="A20" t="s">
        <v>9</v>
      </c>
      <c r="B20" s="19">
        <f>+'5 Adj NOA'!F170</f>
        <v>-8207</v>
      </c>
      <c r="C20" s="8">
        <f t="shared" si="0"/>
        <v>-8207</v>
      </c>
      <c r="F20" t="s">
        <v>182</v>
      </c>
    </row>
    <row r="21" spans="1:6" x14ac:dyDescent="0.3">
      <c r="A21" t="s">
        <v>397</v>
      </c>
      <c r="B21" s="19">
        <f>+'5 Adj NOA'!F176</f>
        <v>-5117</v>
      </c>
      <c r="C21" s="8">
        <f t="shared" si="0"/>
        <v>-5117</v>
      </c>
      <c r="F21" t="s">
        <v>182</v>
      </c>
    </row>
    <row r="22" spans="1:6" x14ac:dyDescent="0.3">
      <c r="A22" t="s">
        <v>398</v>
      </c>
      <c r="B22" s="19">
        <f>+'5 Adj NOA'!F177</f>
        <v>-1069</v>
      </c>
      <c r="C22" s="8">
        <f t="shared" si="0"/>
        <v>-1069</v>
      </c>
      <c r="F22" t="s">
        <v>182</v>
      </c>
    </row>
    <row r="23" spans="1:6" x14ac:dyDescent="0.3">
      <c r="A23" t="s">
        <v>399</v>
      </c>
      <c r="B23" s="19">
        <f>+'5 Adj NOA'!F178</f>
        <v>-42</v>
      </c>
      <c r="C23" s="8">
        <f t="shared" si="0"/>
        <v>-42</v>
      </c>
      <c r="F23" t="s">
        <v>182</v>
      </c>
    </row>
    <row r="24" spans="1:6" x14ac:dyDescent="0.3">
      <c r="A24" t="s">
        <v>137</v>
      </c>
      <c r="B24" s="19">
        <f>+'5 Adj NOA'!F179</f>
        <v>-478</v>
      </c>
      <c r="C24" s="8">
        <f t="shared" si="0"/>
        <v>-478</v>
      </c>
      <c r="F24" t="s">
        <v>182</v>
      </c>
    </row>
    <row r="25" spans="1:6" x14ac:dyDescent="0.3">
      <c r="A25" t="s">
        <v>116</v>
      </c>
      <c r="B25" s="19">
        <f>+'5 Adj NOA'!F180</f>
        <v>0</v>
      </c>
      <c r="C25" s="8">
        <f t="shared" si="0"/>
        <v>0</v>
      </c>
      <c r="F25" t="s">
        <v>182</v>
      </c>
    </row>
    <row r="26" spans="1:6" x14ac:dyDescent="0.3">
      <c r="A26" t="s">
        <v>401</v>
      </c>
      <c r="B26" s="19">
        <f>+'5 Adj NOA'!F182</f>
        <v>-34</v>
      </c>
      <c r="C26" s="8">
        <f t="shared" si="0"/>
        <v>-34</v>
      </c>
      <c r="F26" t="s">
        <v>182</v>
      </c>
    </row>
    <row r="27" spans="1:6" x14ac:dyDescent="0.3">
      <c r="A27" t="s">
        <v>334</v>
      </c>
      <c r="B27" s="19">
        <f>+'5 Adj NOA'!F183</f>
        <v>-284</v>
      </c>
      <c r="C27" s="8">
        <f t="shared" si="0"/>
        <v>-284</v>
      </c>
      <c r="F27" t="s">
        <v>182</v>
      </c>
    </row>
    <row r="28" spans="1:6" x14ac:dyDescent="0.3">
      <c r="A28" t="s">
        <v>238</v>
      </c>
      <c r="B28" s="19">
        <f>+'5 Adj NOA'!F192</f>
        <v>-558</v>
      </c>
      <c r="C28" s="8">
        <f t="shared" si="0"/>
        <v>-558</v>
      </c>
      <c r="F28" t="s">
        <v>182</v>
      </c>
    </row>
    <row r="29" spans="1:6" ht="15" thickBot="1" x14ac:dyDescent="0.35">
      <c r="B29" s="17">
        <f>SUM(B11:B28)</f>
        <v>-10328</v>
      </c>
      <c r="C29" s="17">
        <f>SUM(C11:C28)</f>
        <v>-10328</v>
      </c>
      <c r="E29" s="19"/>
    </row>
    <row r="30" spans="1:6" ht="15" thickTop="1" x14ac:dyDescent="0.3"/>
    <row r="31" spans="1:6" x14ac:dyDescent="0.3">
      <c r="A31" t="s">
        <v>183</v>
      </c>
      <c r="B31" s="19"/>
      <c r="D31" s="80">
        <f>+C29</f>
        <v>-10328</v>
      </c>
      <c r="E31" s="19"/>
    </row>
    <row r="32" spans="1:6" x14ac:dyDescent="0.3">
      <c r="B32" s="57"/>
      <c r="E32" s="19"/>
    </row>
    <row r="33" spans="1:7" ht="15" thickBot="1" x14ac:dyDescent="0.35">
      <c r="A33" t="s">
        <v>535</v>
      </c>
      <c r="D33" s="218">
        <f>SUM(D7:D31)</f>
        <v>26837.889325503136</v>
      </c>
      <c r="F33" s="32"/>
    </row>
    <row r="34" spans="1:7" ht="15" thickTop="1" x14ac:dyDescent="0.3">
      <c r="B34" s="48"/>
    </row>
    <row r="35" spans="1:7" ht="15" thickBot="1" x14ac:dyDescent="0.35">
      <c r="A35" t="s">
        <v>536</v>
      </c>
      <c r="B35" s="8">
        <v>343894654</v>
      </c>
      <c r="F35" t="s">
        <v>555</v>
      </c>
    </row>
    <row r="36" spans="1:7" ht="15" thickBot="1" x14ac:dyDescent="0.35">
      <c r="A36" s="13" t="s">
        <v>95</v>
      </c>
      <c r="B36" s="381">
        <f>($D$33*1000000)/$B$35</f>
        <v>78.041019286979477</v>
      </c>
      <c r="C36" s="32"/>
    </row>
    <row r="37" spans="1:7" x14ac:dyDescent="0.3">
      <c r="A37" s="13"/>
      <c r="B37" s="373"/>
    </row>
    <row r="38" spans="1:7" x14ac:dyDescent="0.3">
      <c r="A38" s="13" t="s">
        <v>537</v>
      </c>
      <c r="B38" s="374">
        <f>+'9 Cost of Capital'!E40</f>
        <v>59.39</v>
      </c>
      <c r="D38" s="32"/>
      <c r="F38" s="32" t="s">
        <v>556</v>
      </c>
    </row>
    <row r="39" spans="1:7" s="14" customFormat="1" x14ac:dyDescent="0.3">
      <c r="B39" s="21"/>
    </row>
    <row r="40" spans="1:7" x14ac:dyDescent="0.3">
      <c r="A40" s="277" t="s">
        <v>538</v>
      </c>
      <c r="B40" s="375" t="s">
        <v>539</v>
      </c>
      <c r="C40" s="375" t="s">
        <v>540</v>
      </c>
      <c r="D40" s="375" t="s">
        <v>541</v>
      </c>
      <c r="E40" s="375" t="s">
        <v>542</v>
      </c>
      <c r="F40" s="375" t="s">
        <v>543</v>
      </c>
      <c r="G40" s="376"/>
    </row>
    <row r="41" spans="1:7" x14ac:dyDescent="0.3">
      <c r="A41" s="377" t="s">
        <v>544</v>
      </c>
      <c r="B41" s="378">
        <v>1.6E-2</v>
      </c>
      <c r="C41" s="378">
        <v>0.1056</v>
      </c>
      <c r="D41" s="379">
        <v>0.94</v>
      </c>
      <c r="E41" s="378">
        <v>4.8300000000000003E-2</v>
      </c>
      <c r="F41" s="382">
        <v>78.040000000000006</v>
      </c>
      <c r="G41" s="376"/>
    </row>
    <row r="42" spans="1:7" x14ac:dyDescent="0.3">
      <c r="A42" s="377" t="s">
        <v>545</v>
      </c>
      <c r="B42" s="378">
        <v>1.2500000000000001E-2</v>
      </c>
      <c r="C42" s="378">
        <v>0.1</v>
      </c>
      <c r="D42" s="379">
        <v>0.92</v>
      </c>
      <c r="E42" s="378">
        <v>5.2499999999999998E-2</v>
      </c>
      <c r="F42" s="382">
        <v>54.88</v>
      </c>
      <c r="G42" s="376"/>
    </row>
    <row r="43" spans="1:7" x14ac:dyDescent="0.3">
      <c r="A43" s="377" t="s">
        <v>546</v>
      </c>
      <c r="B43" s="378">
        <v>1.95E-2</v>
      </c>
      <c r="C43" s="378">
        <v>0.11</v>
      </c>
      <c r="D43" s="379">
        <v>0.96</v>
      </c>
      <c r="E43" s="378">
        <v>4.7500000000000001E-2</v>
      </c>
      <c r="F43" s="382">
        <v>96.22</v>
      </c>
      <c r="G43" s="376"/>
    </row>
    <row r="44" spans="1:7" x14ac:dyDescent="0.3">
      <c r="A44" s="376"/>
      <c r="B44" s="376"/>
      <c r="C44" s="376"/>
      <c r="D44" s="376"/>
      <c r="E44" s="376"/>
      <c r="F44" s="376"/>
      <c r="G44" s="37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9"/>
  <sheetViews>
    <sheetView zoomScaleNormal="100" workbookViewId="0">
      <pane xSplit="2" ySplit="3" topLeftCell="C7" activePane="bottomRight" state="frozen"/>
      <selection activeCell="H23" sqref="H23"/>
      <selection pane="topRight" activeCell="H23" sqref="H23"/>
      <selection pane="bottomLeft" activeCell="H23" sqref="H23"/>
      <selection pane="bottomRight" activeCell="H23" sqref="H23"/>
    </sheetView>
  </sheetViews>
  <sheetFormatPr defaultRowHeight="14.4" x14ac:dyDescent="0.3"/>
  <cols>
    <col min="1" max="1" width="68.21875" bestFit="1" customWidth="1"/>
    <col min="2" max="2" width="9.88671875" style="1" bestFit="1" customWidth="1"/>
    <col min="3" max="3" width="8.77734375" bestFit="1" customWidth="1"/>
    <col min="4" max="6" width="10.77734375" bestFit="1" customWidth="1"/>
  </cols>
  <sheetData>
    <row r="1" spans="1:6" x14ac:dyDescent="0.3">
      <c r="A1" s="13" t="str">
        <f>+'3 BS Reported'!A1</f>
        <v>Kellogg</v>
      </c>
      <c r="B1" s="92"/>
      <c r="C1" s="13"/>
      <c r="D1" s="13"/>
      <c r="E1" s="13"/>
      <c r="F1" s="13"/>
    </row>
    <row r="2" spans="1:6" x14ac:dyDescent="0.3">
      <c r="A2" s="13"/>
      <c r="B2" s="92"/>
      <c r="C2" s="13"/>
      <c r="D2" s="13"/>
      <c r="E2" s="13"/>
      <c r="F2" s="13"/>
    </row>
    <row r="3" spans="1:6" ht="15" thickBot="1" x14ac:dyDescent="0.35">
      <c r="A3" s="13" t="str">
        <f>+'3 BS Reported'!A3</f>
        <v>Amounts in millions</v>
      </c>
      <c r="B3" s="92" t="s">
        <v>24</v>
      </c>
      <c r="C3" s="149">
        <f>+'3 BS Reported'!C3</f>
        <v>42371</v>
      </c>
      <c r="D3" s="149">
        <f>+'3 BS Reported'!D3</f>
        <v>42735</v>
      </c>
      <c r="E3" s="149">
        <f>+'3 BS Reported'!E3</f>
        <v>43099</v>
      </c>
      <c r="F3" s="149">
        <f>+'3 BS Reported'!F3</f>
        <v>43463</v>
      </c>
    </row>
    <row r="4" spans="1:6" x14ac:dyDescent="0.3">
      <c r="C4" s="33"/>
      <c r="D4" s="33"/>
      <c r="E4" s="33"/>
      <c r="F4" s="33"/>
    </row>
    <row r="5" spans="1:6" x14ac:dyDescent="0.3">
      <c r="A5" t="s">
        <v>10</v>
      </c>
      <c r="B5" s="161" t="s">
        <v>187</v>
      </c>
      <c r="C5" s="2">
        <v>13525</v>
      </c>
      <c r="D5" s="2">
        <v>12965</v>
      </c>
      <c r="E5" s="2">
        <v>12854</v>
      </c>
      <c r="F5" s="162">
        <v>13547</v>
      </c>
    </row>
    <row r="6" spans="1:6" x14ac:dyDescent="0.3">
      <c r="A6" t="s">
        <v>143</v>
      </c>
      <c r="B6" s="161" t="s">
        <v>187</v>
      </c>
      <c r="C6" s="7"/>
      <c r="D6" s="7">
        <v>-8131</v>
      </c>
      <c r="E6" s="7">
        <v>-8155</v>
      </c>
      <c r="F6" s="164">
        <v>-8821</v>
      </c>
    </row>
    <row r="7" spans="1:6" x14ac:dyDescent="0.3">
      <c r="A7" t="s">
        <v>239</v>
      </c>
      <c r="B7" s="161" t="s">
        <v>187</v>
      </c>
      <c r="C7" s="7"/>
      <c r="D7" s="4">
        <v>-3351</v>
      </c>
      <c r="E7" s="4">
        <v>-3312</v>
      </c>
      <c r="F7" s="163">
        <v>-3020</v>
      </c>
    </row>
    <row r="8" spans="1:6" s="13" customFormat="1" x14ac:dyDescent="0.3">
      <c r="A8" s="13" t="s">
        <v>151</v>
      </c>
      <c r="B8" s="92"/>
      <c r="C8" s="150"/>
      <c r="D8" s="150">
        <f t="shared" ref="D8:E8" si="0">SUM(D5:D7)</f>
        <v>1483</v>
      </c>
      <c r="E8" s="150">
        <f t="shared" si="0"/>
        <v>1387</v>
      </c>
      <c r="F8" s="150">
        <f t="shared" ref="F8" si="1">SUM(F5:F7)</f>
        <v>1706</v>
      </c>
    </row>
    <row r="9" spans="1:6" x14ac:dyDescent="0.3">
      <c r="A9" t="s">
        <v>3</v>
      </c>
      <c r="B9" s="161" t="s">
        <v>144</v>
      </c>
      <c r="C9" s="7"/>
      <c r="D9" s="7">
        <v>-406</v>
      </c>
      <c r="E9" s="7">
        <v>-256</v>
      </c>
      <c r="F9" s="164">
        <v>-287</v>
      </c>
    </row>
    <row r="10" spans="1:6" x14ac:dyDescent="0.3">
      <c r="A10" t="s">
        <v>240</v>
      </c>
      <c r="B10" s="161" t="s">
        <v>187</v>
      </c>
      <c r="C10" s="7"/>
      <c r="D10" s="4">
        <v>-143</v>
      </c>
      <c r="E10" s="4">
        <v>526</v>
      </c>
      <c r="F10" s="163">
        <v>-90</v>
      </c>
    </row>
    <row r="11" spans="1:6" s="13" customFormat="1" x14ac:dyDescent="0.3">
      <c r="A11" s="13" t="s">
        <v>241</v>
      </c>
      <c r="B11" s="92"/>
      <c r="C11" s="151"/>
      <c r="D11" s="150">
        <f>SUM(D8:D10)</f>
        <v>934</v>
      </c>
      <c r="E11" s="150">
        <f>SUM(E8:E10)</f>
        <v>1657</v>
      </c>
      <c r="F11" s="150">
        <f>SUM(F8:F10)</f>
        <v>1329</v>
      </c>
    </row>
    <row r="12" spans="1:6" x14ac:dyDescent="0.3">
      <c r="A12" t="s">
        <v>242</v>
      </c>
      <c r="B12" s="161" t="s">
        <v>25</v>
      </c>
      <c r="C12" s="7"/>
      <c r="D12" s="2">
        <v>-235</v>
      </c>
      <c r="E12" s="2">
        <v>-410</v>
      </c>
      <c r="F12" s="162">
        <v>-181</v>
      </c>
    </row>
    <row r="13" spans="1:6" x14ac:dyDescent="0.3">
      <c r="A13" t="s">
        <v>243</v>
      </c>
      <c r="B13" s="161" t="s">
        <v>187</v>
      </c>
      <c r="C13" s="7"/>
      <c r="D13" s="4">
        <v>1</v>
      </c>
      <c r="E13" s="4">
        <v>7</v>
      </c>
      <c r="F13" s="163">
        <v>196</v>
      </c>
    </row>
    <row r="14" spans="1:6" s="13" customFormat="1" x14ac:dyDescent="0.3">
      <c r="A14" s="13" t="s">
        <v>153</v>
      </c>
      <c r="B14" s="92"/>
      <c r="C14" s="152"/>
      <c r="D14" s="146">
        <f>SUM(D11:D13)</f>
        <v>700</v>
      </c>
      <c r="E14" s="146">
        <f>SUM(E11:E13)</f>
        <v>1254</v>
      </c>
      <c r="F14" s="146">
        <f>SUM(F11:F13)</f>
        <v>1344</v>
      </c>
    </row>
    <row r="15" spans="1:6" x14ac:dyDescent="0.3">
      <c r="A15" t="s">
        <v>23</v>
      </c>
      <c r="B15" s="161" t="s">
        <v>144</v>
      </c>
      <c r="C15" s="7"/>
      <c r="D15" s="4">
        <v>-1</v>
      </c>
      <c r="E15" s="4">
        <v>0</v>
      </c>
      <c r="F15" s="163">
        <v>-8</v>
      </c>
    </row>
    <row r="16" spans="1:6" s="13" customFormat="1" x14ac:dyDescent="0.3">
      <c r="A16" s="13" t="s">
        <v>244</v>
      </c>
      <c r="B16" s="92"/>
      <c r="C16" s="153"/>
      <c r="D16" s="154">
        <f t="shared" ref="D16" si="2">SUM(D14:D15)</f>
        <v>699</v>
      </c>
      <c r="E16" s="154">
        <f>SUM(E14:E15)</f>
        <v>1254</v>
      </c>
      <c r="F16" s="154">
        <f>SUM(F14:F15)</f>
        <v>1336</v>
      </c>
    </row>
    <row r="17" spans="1:6" x14ac:dyDescent="0.3">
      <c r="C17" s="7"/>
      <c r="D17" s="2"/>
      <c r="E17" s="2"/>
      <c r="F17" s="2"/>
    </row>
    <row r="18" spans="1:6" s="13" customFormat="1" x14ac:dyDescent="0.3">
      <c r="A18" s="13" t="s">
        <v>154</v>
      </c>
      <c r="B18" s="92"/>
      <c r="C18" s="152"/>
      <c r="D18" s="146"/>
      <c r="E18" s="146"/>
      <c r="F18" s="146"/>
    </row>
    <row r="19" spans="1:6" x14ac:dyDescent="0.3">
      <c r="A19" t="s">
        <v>245</v>
      </c>
      <c r="B19" s="161" t="s">
        <v>187</v>
      </c>
      <c r="C19" s="7"/>
      <c r="D19" s="2">
        <v>-254</v>
      </c>
      <c r="E19" s="2">
        <v>79</v>
      </c>
      <c r="F19" s="162">
        <v>-48</v>
      </c>
    </row>
    <row r="20" spans="1:6" x14ac:dyDescent="0.3">
      <c r="A20" t="s">
        <v>246</v>
      </c>
      <c r="B20" s="161" t="s">
        <v>187</v>
      </c>
      <c r="C20" s="7"/>
      <c r="D20" s="2">
        <v>-28</v>
      </c>
      <c r="E20" s="2">
        <v>6</v>
      </c>
      <c r="F20" s="162">
        <v>8</v>
      </c>
    </row>
    <row r="21" spans="1:6" x14ac:dyDescent="0.3">
      <c r="A21" s="74" t="s">
        <v>445</v>
      </c>
      <c r="B21" s="161"/>
      <c r="C21" s="7"/>
      <c r="D21" s="2"/>
      <c r="E21" s="2"/>
      <c r="F21" s="162"/>
    </row>
    <row r="22" spans="1:6" x14ac:dyDescent="0.3">
      <c r="A22" t="s">
        <v>446</v>
      </c>
      <c r="B22" s="161" t="s">
        <v>144</v>
      </c>
      <c r="C22" s="7"/>
      <c r="D22" s="2">
        <v>18</v>
      </c>
      <c r="E22" s="2">
        <v>32</v>
      </c>
      <c r="F22" s="162">
        <v>-11</v>
      </c>
    </row>
    <row r="23" spans="1:6" x14ac:dyDescent="0.3">
      <c r="A23" t="s">
        <v>447</v>
      </c>
      <c r="B23" s="383" t="s">
        <v>187</v>
      </c>
      <c r="C23" s="7"/>
      <c r="D23" s="2">
        <v>2</v>
      </c>
      <c r="E23" s="2">
        <v>1</v>
      </c>
      <c r="F23" s="162">
        <v>1</v>
      </c>
    </row>
    <row r="24" spans="1:6" x14ac:dyDescent="0.3">
      <c r="A24" t="s">
        <v>248</v>
      </c>
      <c r="B24" s="161" t="s">
        <v>187</v>
      </c>
      <c r="C24" s="7"/>
      <c r="D24" s="2">
        <v>63</v>
      </c>
      <c r="E24" s="2">
        <v>0</v>
      </c>
      <c r="F24" s="162">
        <v>0</v>
      </c>
    </row>
    <row r="25" spans="1:6" x14ac:dyDescent="0.3">
      <c r="A25" t="s">
        <v>33</v>
      </c>
      <c r="B25" s="161" t="s">
        <v>144</v>
      </c>
      <c r="C25" s="7"/>
      <c r="D25" s="4">
        <v>0</v>
      </c>
      <c r="E25" s="4">
        <v>0</v>
      </c>
      <c r="F25" s="163">
        <v>7</v>
      </c>
    </row>
    <row r="26" spans="1:6" s="13" customFormat="1" ht="15" thickBot="1" x14ac:dyDescent="0.35">
      <c r="A26" s="13" t="s">
        <v>249</v>
      </c>
      <c r="B26" s="92"/>
      <c r="C26" s="152"/>
      <c r="D26" s="147">
        <f>SUM(D16:D25)</f>
        <v>500</v>
      </c>
      <c r="E26" s="147">
        <f t="shared" ref="E26:F26" si="3">SUM(E16:E25)</f>
        <v>1372</v>
      </c>
      <c r="F26" s="147">
        <f t="shared" si="3"/>
        <v>1293</v>
      </c>
    </row>
    <row r="27" spans="1:6" ht="15" thickTop="1" x14ac:dyDescent="0.3">
      <c r="C27" s="7"/>
      <c r="D27" s="2"/>
      <c r="E27" s="2"/>
      <c r="F27" s="2"/>
    </row>
    <row r="28" spans="1:6" x14ac:dyDescent="0.3">
      <c r="C28" s="24"/>
    </row>
    <row r="29" spans="1:6" x14ac:dyDescent="0.3">
      <c r="C29" s="24"/>
    </row>
  </sheetData>
  <pageMargins left="0.7" right="0.7" top="0.75" bottom="0.75" header="0.3" footer="0.3"/>
  <pageSetup scale="57" fitToHeight="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6"/>
  <sheetViews>
    <sheetView workbookViewId="0">
      <pane xSplit="2" ySplit="3" topLeftCell="C64" activePane="bottomRight" state="frozen"/>
      <selection activeCell="H23" sqref="H23"/>
      <selection pane="topRight" activeCell="H23" sqref="H23"/>
      <selection pane="bottomLeft" activeCell="H23" sqref="H23"/>
      <selection pane="bottomRight" activeCell="H23" sqref="H23"/>
    </sheetView>
  </sheetViews>
  <sheetFormatPr defaultRowHeight="14.4" x14ac:dyDescent="0.3"/>
  <cols>
    <col min="1" max="1" width="53.44140625" bestFit="1" customWidth="1"/>
    <col min="2" max="2" width="9.88671875" style="1" bestFit="1" customWidth="1"/>
    <col min="3" max="3" width="8.77734375" bestFit="1" customWidth="1"/>
    <col min="4" max="6" width="10.77734375" bestFit="1" customWidth="1"/>
  </cols>
  <sheetData>
    <row r="1" spans="1:6" x14ac:dyDescent="0.3">
      <c r="A1" s="13" t="str">
        <f>+'3 BS Reported'!A1</f>
        <v>Kellogg</v>
      </c>
      <c r="B1" s="92"/>
      <c r="C1" s="13"/>
      <c r="D1" s="13"/>
      <c r="E1" s="13"/>
      <c r="F1" s="13"/>
    </row>
    <row r="2" spans="1:6" x14ac:dyDescent="0.3">
      <c r="A2" s="13"/>
      <c r="B2" s="92" t="s">
        <v>26</v>
      </c>
      <c r="C2" s="13"/>
      <c r="D2" s="13"/>
      <c r="E2" s="13"/>
      <c r="F2" s="13"/>
    </row>
    <row r="3" spans="1:6" ht="15" thickBot="1" x14ac:dyDescent="0.35">
      <c r="A3" s="13" t="str">
        <f>+'3 BS Reported'!A3</f>
        <v>Amounts in millions</v>
      </c>
      <c r="B3" s="92" t="s">
        <v>27</v>
      </c>
      <c r="C3" s="145">
        <f>+'3 IS Reported'!C3</f>
        <v>42371</v>
      </c>
      <c r="D3" s="145">
        <f>+'3 IS Reported'!D3</f>
        <v>42735</v>
      </c>
      <c r="E3" s="145">
        <f>+'3 IS Reported'!E3</f>
        <v>43099</v>
      </c>
      <c r="F3" s="145">
        <f>+'3 IS Reported'!F3</f>
        <v>43463</v>
      </c>
    </row>
    <row r="4" spans="1:6" x14ac:dyDescent="0.3">
      <c r="A4" s="13" t="s">
        <v>4</v>
      </c>
    </row>
    <row r="5" spans="1:6" x14ac:dyDescent="0.3">
      <c r="A5" s="13" t="s">
        <v>155</v>
      </c>
    </row>
    <row r="6" spans="1:6" x14ac:dyDescent="0.3">
      <c r="A6" t="s">
        <v>5</v>
      </c>
      <c r="B6" s="1" t="str">
        <f>IF(ISBLANK(VLOOKUP(A6,'3 BS Reported'!A:B,2,)),"",VLOOKUP(A6,'3 BS Reported'!A:B,2,))</f>
        <v>Split</v>
      </c>
      <c r="C6" s="2">
        <f>MIN(ROUND(0.02*'3 IS Reported'!C5,0),'3 BS Reported'!C6)</f>
        <v>251</v>
      </c>
      <c r="D6" s="2">
        <f>MIN(ROUND(0.02*'3 IS Reported'!D5,0),'3 BS Reported'!D6)</f>
        <v>259</v>
      </c>
      <c r="E6" s="2">
        <f>MIN(ROUND(0.02*'3 IS Reported'!E5,0),'3 BS Reported'!E6)</f>
        <v>257</v>
      </c>
      <c r="F6" s="2">
        <f>MIN(ROUND(0.02*'3 IS Reported'!F5,0),'3 BS Reported'!F6)</f>
        <v>271</v>
      </c>
    </row>
    <row r="7" spans="1:6" x14ac:dyDescent="0.3">
      <c r="A7" t="s">
        <v>20</v>
      </c>
      <c r="B7" s="1" t="str">
        <f>IF(ISBLANK(VLOOKUP(A7,'3 BS Reported'!A:B,2,)),"",VLOOKUP(A7,'3 BS Reported'!A:B,2,))</f>
        <v>Operating</v>
      </c>
      <c r="C7" s="2">
        <f>IF($B7="Operating",+'3 BS Reported'!C7,"")</f>
        <v>1344</v>
      </c>
      <c r="D7" s="2">
        <f>IF($B7="Operating",+'3 BS Reported'!D7,"")</f>
        <v>1231</v>
      </c>
      <c r="E7" s="2">
        <f>IF($B7="Operating",+'3 BS Reported'!E7,"")</f>
        <v>1389</v>
      </c>
      <c r="F7" s="2">
        <f>IF($B7="Operating",+'3 BS Reported'!F7,"")</f>
        <v>1375</v>
      </c>
    </row>
    <row r="8" spans="1:6" x14ac:dyDescent="0.3">
      <c r="A8" t="s">
        <v>21</v>
      </c>
      <c r="B8" s="1" t="str">
        <f>IF(ISBLANK(VLOOKUP(A8,'3 BS Reported'!A:B,2,)),"",VLOOKUP(A8,'3 BS Reported'!A:B,2,))</f>
        <v>Operating</v>
      </c>
      <c r="C8" s="2">
        <f>IF($B8="Operating",+'3 BS Reported'!C8,"")</f>
        <v>1250</v>
      </c>
      <c r="D8" s="2">
        <f>IF($B8="Operating",+'3 BS Reported'!D8,"")</f>
        <v>1238</v>
      </c>
      <c r="E8" s="2">
        <f>IF($B8="Operating",+'3 BS Reported'!E8,"")</f>
        <v>1217</v>
      </c>
      <c r="F8" s="2">
        <f>IF($B8="Operating",+'3 BS Reported'!F8,"")</f>
        <v>1330</v>
      </c>
    </row>
    <row r="9" spans="1:6" x14ac:dyDescent="0.3">
      <c r="A9" t="s">
        <v>22</v>
      </c>
      <c r="B9" s="1" t="str">
        <f>IF(ISBLANK(VLOOKUP(A9,'3 BS Reported'!A:B,2,)),"",VLOOKUP(A9,'3 BS Reported'!A:B,2,))</f>
        <v>Operating</v>
      </c>
      <c r="C9" s="2">
        <f>IF($B9="Operating",+'3 BS Reported'!C9,"")</f>
        <v>391</v>
      </c>
      <c r="D9" s="2">
        <f>IF($B9="Operating",+'3 BS Reported'!D9,"")</f>
        <v>191</v>
      </c>
      <c r="E9" s="2">
        <f>IF($B9="Operating",+'3 BS Reported'!E9,"")</f>
        <v>149</v>
      </c>
      <c r="F9" s="2">
        <f>IF($B9="Operating",+'3 BS Reported'!F9,"")</f>
        <v>131</v>
      </c>
    </row>
    <row r="10" spans="1:6" x14ac:dyDescent="0.3">
      <c r="A10" s="13" t="s">
        <v>156</v>
      </c>
      <c r="B10" s="1" t="str">
        <f>IF(ISBLANK(VLOOKUP(A10,'3 BS Reported'!A:B,2,)),"",VLOOKUP(A10,'3 BS Reported'!A:B,2,))</f>
        <v/>
      </c>
      <c r="C10" s="2"/>
      <c r="D10" s="2"/>
      <c r="E10" s="2"/>
      <c r="F10" s="2"/>
    </row>
    <row r="11" spans="1:6" x14ac:dyDescent="0.3">
      <c r="A11" t="s">
        <v>230</v>
      </c>
      <c r="B11" s="1" t="str">
        <f>IF(ISBLANK(VLOOKUP(A11,'3 BS Reported'!A:B,2,)),"",VLOOKUP(A11,'3 BS Reported'!A:B,2,))</f>
        <v>Operating</v>
      </c>
      <c r="C11" s="2">
        <f>IF($B11="Operating",+'3 BS Reported'!C11,"")</f>
        <v>3621</v>
      </c>
      <c r="D11" s="2">
        <f>IF($B11="Operating",+'3 BS Reported'!D11,"")</f>
        <v>3569</v>
      </c>
      <c r="E11" s="2">
        <f>IF($B11="Operating",+'3 BS Reported'!E11,"")</f>
        <v>3716</v>
      </c>
      <c r="F11" s="2">
        <f>IF($B11="Operating",+'3 BS Reported'!F11,"")</f>
        <v>3731</v>
      </c>
    </row>
    <row r="12" spans="1:6" x14ac:dyDescent="0.3">
      <c r="A12" t="s">
        <v>6</v>
      </c>
      <c r="B12" s="1" t="str">
        <f>IF(ISBLANK(VLOOKUP(A12,'3 BS Reported'!A:B,2,)),"",VLOOKUP(A12,'3 BS Reported'!A:B,2,))</f>
        <v>Operating</v>
      </c>
      <c r="C12" s="2">
        <f>IF($B12="Operating",+'3 BS Reported'!C12,"")</f>
        <v>4968</v>
      </c>
      <c r="D12" s="2">
        <f>IF($B12="Operating",+'3 BS Reported'!D12,"")</f>
        <v>5166</v>
      </c>
      <c r="E12" s="2">
        <f>IF($B12="Operating",+'3 BS Reported'!E12,"")</f>
        <v>5504</v>
      </c>
      <c r="F12" s="2">
        <f>IF($B12="Operating",+'3 BS Reported'!F12,"")</f>
        <v>6050</v>
      </c>
    </row>
    <row r="13" spans="1:6" x14ac:dyDescent="0.3">
      <c r="A13" t="s">
        <v>231</v>
      </c>
      <c r="B13" s="1" t="str">
        <f>IF(ISBLANK(VLOOKUP(A13,'3 BS Reported'!A:B,2,)),"",VLOOKUP(A13,'3 BS Reported'!A:B,2,))</f>
        <v>Operating</v>
      </c>
      <c r="C13" s="2">
        <f>IF($B13="Operating",+'3 BS Reported'!C13,"")</f>
        <v>2268</v>
      </c>
      <c r="D13" s="2">
        <f>IF($B13="Operating",+'3 BS Reported'!D13,"")</f>
        <v>2369</v>
      </c>
      <c r="E13" s="2">
        <f>IF($B13="Operating",+'3 BS Reported'!E13,"")</f>
        <v>2639</v>
      </c>
      <c r="F13" s="2">
        <f>IF($B13="Operating",+'3 BS Reported'!F13,"")</f>
        <v>3361</v>
      </c>
    </row>
    <row r="14" spans="1:6" x14ac:dyDescent="0.3">
      <c r="A14" t="s">
        <v>232</v>
      </c>
      <c r="B14" s="1" t="str">
        <f>IF(ISBLANK(VLOOKUP(A14,'3 BS Reported'!A:B,2,)),"",VLOOKUP(A14,'3 BS Reported'!A:B,2,))</f>
        <v>Operating</v>
      </c>
      <c r="C14" s="2">
        <f>IF($B14="Operating",+'3 BS Reported'!C14,"")</f>
        <v>456</v>
      </c>
      <c r="D14" s="2">
        <f>IF($B14="Operating",+'3 BS Reported'!D14,"")</f>
        <v>438</v>
      </c>
      <c r="E14" s="2">
        <f>IF($B14="Operating",+'3 BS Reported'!E14,"")</f>
        <v>429</v>
      </c>
      <c r="F14" s="2">
        <f>IF($B14="Operating",+'3 BS Reported'!F14,"")</f>
        <v>413</v>
      </c>
    </row>
    <row r="15" spans="1:6" x14ac:dyDescent="0.3">
      <c r="A15" t="s">
        <v>164</v>
      </c>
      <c r="B15" s="1" t="str">
        <f>IF(ISBLANK(VLOOKUP(A15,'3 BS Reported'!A:B,2,)),"",VLOOKUP(A15,'3 BS Reported'!A:B,2,))</f>
        <v>Operating</v>
      </c>
      <c r="C15" s="2">
        <f>IF($B15="Operating",+'3 BS Reported'!C15,"")</f>
        <v>716</v>
      </c>
      <c r="D15" s="2">
        <f>IF($B15="Operating",+'3 BS Reported'!D15,"")</f>
        <v>629</v>
      </c>
      <c r="E15" s="2">
        <f>IF($B15="Operating",+'3 BS Reported'!E15,"")</f>
        <v>1027</v>
      </c>
      <c r="F15" s="2">
        <f>IF($B15="Operating",+'3 BS Reported'!F15,"")</f>
        <v>1068</v>
      </c>
    </row>
    <row r="16" spans="1:6" s="13" customFormat="1" x14ac:dyDescent="0.3">
      <c r="A16" s="13" t="s">
        <v>157</v>
      </c>
      <c r="B16" s="92"/>
      <c r="C16" s="155">
        <f>SUM(C6:C15)</f>
        <v>15265</v>
      </c>
      <c r="D16" s="155">
        <f>SUM(D6:D15)</f>
        <v>15090</v>
      </c>
      <c r="E16" s="155">
        <f>SUM(E6:E15)</f>
        <v>16327</v>
      </c>
      <c r="F16" s="155">
        <f>SUM(F6:F15)</f>
        <v>17730</v>
      </c>
    </row>
    <row r="17" spans="1:6" x14ac:dyDescent="0.3">
      <c r="C17" s="2"/>
      <c r="D17" s="2"/>
      <c r="E17" s="2"/>
      <c r="F17" s="2"/>
    </row>
    <row r="18" spans="1:6" x14ac:dyDescent="0.3">
      <c r="A18" s="13" t="s">
        <v>7</v>
      </c>
      <c r="C18" s="2"/>
      <c r="D18" s="2"/>
      <c r="E18" s="2"/>
      <c r="F18" s="2"/>
    </row>
    <row r="19" spans="1:6" s="13" customFormat="1" x14ac:dyDescent="0.3">
      <c r="A19" s="13" t="s">
        <v>158</v>
      </c>
      <c r="B19" s="92" t="str">
        <f>IF(ISBLANK(VLOOKUP(A19,'3 BS Reported'!A:B,2,)),"",VLOOKUP(A19,'3 BS Reported'!A:B,2,))</f>
        <v/>
      </c>
      <c r="C19" s="146"/>
      <c r="D19" s="146"/>
      <c r="E19" s="146"/>
      <c r="F19" s="146"/>
    </row>
    <row r="20" spans="1:6" x14ac:dyDescent="0.3">
      <c r="A20" t="s">
        <v>233</v>
      </c>
      <c r="B20" s="1" t="str">
        <f>IF(ISBLANK(VLOOKUP(A20,'3 BS Reported'!A:B,2,)),"",VLOOKUP(A20,'3 BS Reported'!A:B,2,))</f>
        <v>Financial</v>
      </c>
      <c r="C20" s="2" t="str">
        <f>IF($B20="Operating",+'3 BS Reported'!C20,"")</f>
        <v/>
      </c>
      <c r="D20" s="2" t="str">
        <f>IF($B20="Operating",+'3 BS Reported'!D20,"")</f>
        <v/>
      </c>
      <c r="E20" s="2" t="str">
        <f>IF($B20="Operating",+'3 BS Reported'!E20,"")</f>
        <v/>
      </c>
      <c r="F20" s="2" t="str">
        <f>IF($B20="Operating",+'3 BS Reported'!F20,"")</f>
        <v/>
      </c>
    </row>
    <row r="21" spans="1:6" x14ac:dyDescent="0.3">
      <c r="A21" s="14" t="s">
        <v>227</v>
      </c>
      <c r="B21" s="1" t="str">
        <f>IF(ISBLANK(VLOOKUP(A21,'3 BS Reported'!A:B,2,)),"",VLOOKUP(A21,'3 BS Reported'!A:B,2,))</f>
        <v>Financial</v>
      </c>
      <c r="C21" s="2" t="str">
        <f>IF($B21="Operating",+'3 BS Reported'!C21,"")</f>
        <v/>
      </c>
      <c r="D21" s="2" t="str">
        <f>IF($B21="Operating",+'3 BS Reported'!D21,"")</f>
        <v/>
      </c>
      <c r="E21" s="2" t="str">
        <f>IF($B21="Operating",+'3 BS Reported'!E21,"")</f>
        <v/>
      </c>
      <c r="F21" s="2" t="str">
        <f>IF($B21="Operating",+'3 BS Reported'!F21,"")</f>
        <v/>
      </c>
    </row>
    <row r="22" spans="1:6" x14ac:dyDescent="0.3">
      <c r="A22" t="s">
        <v>234</v>
      </c>
      <c r="B22" s="1" t="str">
        <f>IF(ISBLANK(VLOOKUP(A22,'3 BS Reported'!A:B,2,)),"",VLOOKUP(A22,'3 BS Reported'!A:B,2,))</f>
        <v>Operating</v>
      </c>
      <c r="C22" s="2">
        <f>IF($B22="Operating",+'3 BS Reported'!C22,"")</f>
        <v>-1907</v>
      </c>
      <c r="D22" s="2">
        <f>IF($B22="Operating",+'3 BS Reported'!D22,"")</f>
        <v>-2014</v>
      </c>
      <c r="E22" s="2">
        <f>IF($B22="Operating",+'3 BS Reported'!E22,"")</f>
        <v>-2269</v>
      </c>
      <c r="F22" s="2">
        <f>IF($B22="Operating",+'3 BS Reported'!F22,"")</f>
        <v>-2427</v>
      </c>
    </row>
    <row r="23" spans="1:6" x14ac:dyDescent="0.3">
      <c r="A23" t="s">
        <v>225</v>
      </c>
      <c r="B23" s="1" t="str">
        <f>IF(ISBLANK(VLOOKUP(A23,'3 BS Reported'!A:B,2,)),"",VLOOKUP(A23,'3 BS Reported'!A:B,2,))</f>
        <v>Operating</v>
      </c>
      <c r="C23" s="2">
        <f>IF($B23="Operating",+'3 BS Reported'!C23,"")</f>
        <v>-1362</v>
      </c>
      <c r="D23" s="2">
        <f>IF($B23="Operating",+'3 BS Reported'!D23,"")</f>
        <v>-1391</v>
      </c>
      <c r="E23" s="2">
        <f>IF($B23="Operating",+'3 BS Reported'!E23,"")</f>
        <v>-1474</v>
      </c>
      <c r="F23" s="2">
        <f>IF($B23="Operating",+'3 BS Reported'!F23,"")</f>
        <v>-1416</v>
      </c>
    </row>
    <row r="24" spans="1:6" s="13" customFormat="1" x14ac:dyDescent="0.3">
      <c r="A24" s="13" t="s">
        <v>159</v>
      </c>
      <c r="B24" s="92" t="str">
        <f>IF(ISBLANK(VLOOKUP(A24,'3 BS Reported'!A:B,2,)),"",VLOOKUP(A24,'3 BS Reported'!A:B,2,))</f>
        <v/>
      </c>
      <c r="C24" s="146"/>
      <c r="D24" s="146"/>
      <c r="E24" s="146"/>
      <c r="F24" s="146"/>
    </row>
    <row r="25" spans="1:6" x14ac:dyDescent="0.3">
      <c r="A25" t="s">
        <v>9</v>
      </c>
      <c r="B25" s="1" t="str">
        <f>IF(ISBLANK(VLOOKUP(A25,'3 BS Reported'!A:B,2,)),"",VLOOKUP(A25,'3 BS Reported'!A:B,2,))</f>
        <v>Financial</v>
      </c>
      <c r="C25" s="2" t="str">
        <f>IF($B25="Operating",+'3 BS Reported'!C25,"")</f>
        <v/>
      </c>
      <c r="D25" s="2" t="str">
        <f>IF($B25="Operating",+'3 BS Reported'!D25,"")</f>
        <v/>
      </c>
      <c r="E25" s="2" t="str">
        <f>IF($B25="Operating",+'3 BS Reported'!E25,"")</f>
        <v/>
      </c>
      <c r="F25" s="2" t="str">
        <f>IF($B25="Operating",+'3 BS Reported'!F25,"")</f>
        <v/>
      </c>
    </row>
    <row r="26" spans="1:6" x14ac:dyDescent="0.3">
      <c r="A26" t="s">
        <v>110</v>
      </c>
      <c r="B26" s="1" t="str">
        <f>IF(ISBLANK(VLOOKUP(A26,'3 BS Reported'!A:B,2,)),"",VLOOKUP(A26,'3 BS Reported'!A:B,2,))</f>
        <v>Operating</v>
      </c>
      <c r="C26" s="2">
        <f>IF($B26="Operating",+'3 BS Reported'!C26,"")</f>
        <v>-685</v>
      </c>
      <c r="D26" s="2">
        <f>IF($B26="Operating",+'3 BS Reported'!D26,"")</f>
        <v>-525</v>
      </c>
      <c r="E26" s="2">
        <f>IF($B26="Operating",+'3 BS Reported'!E26,"")</f>
        <v>-355</v>
      </c>
      <c r="F26" s="2">
        <f>IF($B26="Operating",+'3 BS Reported'!F26,"")</f>
        <v>-730</v>
      </c>
    </row>
    <row r="27" spans="1:6" x14ac:dyDescent="0.3">
      <c r="A27" t="s">
        <v>235</v>
      </c>
      <c r="B27" s="1" t="str">
        <f>IF(ISBLANK(VLOOKUP(A27,'3 BS Reported'!A:B,2,)),"",VLOOKUP(A27,'3 BS Reported'!A:B,2,))</f>
        <v>Financial</v>
      </c>
      <c r="C27" s="2" t="str">
        <f>IF($B27="Operating",+'3 BS Reported'!C27,"")</f>
        <v/>
      </c>
      <c r="D27" s="2" t="str">
        <f>IF($B27="Operating",+'3 BS Reported'!D27,"")</f>
        <v/>
      </c>
      <c r="E27" s="2" t="str">
        <f>IF($B27="Operating",+'3 BS Reported'!E27,"")</f>
        <v/>
      </c>
      <c r="F27" s="2" t="str">
        <f>IF($B27="Operating",+'3 BS Reported'!F27,"")</f>
        <v/>
      </c>
    </row>
    <row r="28" spans="1:6" x14ac:dyDescent="0.3">
      <c r="A28" t="s">
        <v>168</v>
      </c>
      <c r="B28" s="1" t="str">
        <f>IF(ISBLANK(VLOOKUP(A28,'3 BS Reported'!A:B,2,)),"",VLOOKUP(A28,'3 BS Reported'!A:B,2,))</f>
        <v>Operating</v>
      </c>
      <c r="C28" s="2">
        <f>IF($B28="Operating",+'3 BS Reported'!C28,"")</f>
        <v>-468</v>
      </c>
      <c r="D28" s="2">
        <f>IF($B28="Operating",+'3 BS Reported'!D28,"")</f>
        <v>-464</v>
      </c>
      <c r="E28" s="2">
        <f>IF($B28="Operating",+'3 BS Reported'!E28,"")</f>
        <v>-605</v>
      </c>
      <c r="F28" s="2">
        <f>IF($B28="Operating",+'3 BS Reported'!F28,"")</f>
        <v>-504</v>
      </c>
    </row>
    <row r="29" spans="1:6" s="13" customFormat="1" x14ac:dyDescent="0.3">
      <c r="A29" s="13" t="s">
        <v>160</v>
      </c>
      <c r="B29" s="92" t="str">
        <f>IF(ISBLANK(VLOOKUP(A29,'3 BS Reported'!A:B,2,)),"",VLOOKUP(A29,'3 BS Reported'!A:B,2,))</f>
        <v/>
      </c>
      <c r="C29" s="146"/>
      <c r="D29" s="146"/>
      <c r="E29" s="146"/>
      <c r="F29" s="146"/>
    </row>
    <row r="30" spans="1:6" s="13" customFormat="1" x14ac:dyDescent="0.3">
      <c r="A30" s="13" t="s">
        <v>161</v>
      </c>
      <c r="B30" s="92" t="str">
        <f>IF(ISBLANK(VLOOKUP(A30,'3 BS Reported'!A:B,2,)),"",VLOOKUP(A30,'3 BS Reported'!A:B,2,))</f>
        <v/>
      </c>
      <c r="C30" s="146"/>
      <c r="D30" s="146"/>
      <c r="E30" s="146"/>
      <c r="F30" s="146"/>
    </row>
    <row r="31" spans="1:6" x14ac:dyDescent="0.3">
      <c r="A31" t="s">
        <v>226</v>
      </c>
      <c r="B31" s="1" t="str">
        <f>IF(ISBLANK(VLOOKUP(A31,'3 BS Reported'!A:B,2,)),"",VLOOKUP(A31,'3 BS Reported'!A:B,2,))</f>
        <v>Equity</v>
      </c>
      <c r="C31" s="2" t="str">
        <f>IF($B31="Operating",+'3 BS Reported'!C31,"")</f>
        <v/>
      </c>
      <c r="D31" s="2" t="str">
        <f>IF($B31="Operating",+'3 BS Reported'!D31,"")</f>
        <v/>
      </c>
      <c r="E31" s="2" t="str">
        <f>IF($B31="Operating",+'3 BS Reported'!E31,"")</f>
        <v/>
      </c>
      <c r="F31" s="2" t="str">
        <f>IF($B31="Operating",+'3 BS Reported'!F31,"")</f>
        <v/>
      </c>
    </row>
    <row r="32" spans="1:6" x14ac:dyDescent="0.3">
      <c r="A32" t="s">
        <v>236</v>
      </c>
      <c r="B32" s="1" t="str">
        <f>IF(ISBLANK(VLOOKUP(A32,'3 BS Reported'!A:B,2,)),"",VLOOKUP(A32,'3 BS Reported'!A:B,2,))</f>
        <v>Equity</v>
      </c>
      <c r="C32" s="2" t="str">
        <f>IF($B32="Operating",+'3 BS Reported'!C32,"")</f>
        <v/>
      </c>
      <c r="D32" s="2" t="str">
        <f>IF($B32="Operating",+'3 BS Reported'!D32,"")</f>
        <v/>
      </c>
      <c r="E32" s="2" t="str">
        <f>IF($B32="Operating",+'3 BS Reported'!E32,"")</f>
        <v/>
      </c>
      <c r="F32" s="2" t="str">
        <f>IF($B32="Operating",+'3 BS Reported'!F32,"")</f>
        <v/>
      </c>
    </row>
    <row r="33" spans="1:6" x14ac:dyDescent="0.3">
      <c r="A33" t="s">
        <v>8</v>
      </c>
      <c r="B33" s="1" t="str">
        <f>IF(ISBLANK(VLOOKUP(A33,'3 BS Reported'!A:B,2,)),"",VLOOKUP(A33,'3 BS Reported'!A:B,2,))</f>
        <v>Equity</v>
      </c>
      <c r="C33" s="2" t="str">
        <f>IF($B33="Operating",+'3 BS Reported'!C33,"")</f>
        <v/>
      </c>
      <c r="D33" s="2" t="str">
        <f>IF($B33="Operating",+'3 BS Reported'!D33,"")</f>
        <v/>
      </c>
      <c r="E33" s="2" t="str">
        <f>IF($B33="Operating",+'3 BS Reported'!E33,"")</f>
        <v/>
      </c>
      <c r="F33" s="2" t="str">
        <f>IF($B33="Operating",+'3 BS Reported'!F33,"")</f>
        <v/>
      </c>
    </row>
    <row r="34" spans="1:6" x14ac:dyDescent="0.3">
      <c r="A34" t="s">
        <v>237</v>
      </c>
      <c r="B34" s="1" t="str">
        <f>IF(ISBLANK(VLOOKUP(A34,'3 BS Reported'!A:B,2,)),"",VLOOKUP(A34,'3 BS Reported'!A:B,2,))</f>
        <v>Equity</v>
      </c>
      <c r="C34" s="2" t="str">
        <f>IF($B34="Operating",+'3 BS Reported'!C34,"")</f>
        <v/>
      </c>
      <c r="D34" s="2" t="str">
        <f>IF($B34="Operating",+'3 BS Reported'!D34,"")</f>
        <v/>
      </c>
      <c r="E34" s="2" t="str">
        <f>IF($B34="Operating",+'3 BS Reported'!E34,"")</f>
        <v/>
      </c>
      <c r="F34" s="2" t="str">
        <f>IF($B34="Operating",+'3 BS Reported'!F34,"")</f>
        <v/>
      </c>
    </row>
    <row r="35" spans="1:6" x14ac:dyDescent="0.3">
      <c r="A35" t="s">
        <v>228</v>
      </c>
      <c r="B35" s="1" t="str">
        <f>IF(ISBLANK(VLOOKUP(A35,'3 BS Reported'!A:B,2,)),"",VLOOKUP(A35,'3 BS Reported'!A:B,2,))</f>
        <v>Equity</v>
      </c>
      <c r="C35" s="2" t="str">
        <f>IF($B35="Operating",+'3 BS Reported'!C35,"")</f>
        <v/>
      </c>
      <c r="D35" s="2" t="str">
        <f>IF($B35="Operating",+'3 BS Reported'!D35,"")</f>
        <v/>
      </c>
      <c r="E35" s="2" t="str">
        <f>IF($B35="Operating",+'3 BS Reported'!E35,"")</f>
        <v/>
      </c>
      <c r="F35" s="2" t="str">
        <f>IF($B35="Operating",+'3 BS Reported'!F35,"")</f>
        <v/>
      </c>
    </row>
    <row r="36" spans="1:6" x14ac:dyDescent="0.3">
      <c r="A36" t="s">
        <v>238</v>
      </c>
      <c r="B36" s="1" t="str">
        <f>IF(ISBLANK(VLOOKUP(A36,'3 BS Reported'!A:B,2,)),"",VLOOKUP(A36,'3 BS Reported'!A:B,2,))</f>
        <v>Financial</v>
      </c>
      <c r="C36" s="2"/>
      <c r="D36" s="2"/>
      <c r="E36" s="2"/>
      <c r="F36" s="2"/>
    </row>
    <row r="37" spans="1:6" s="13" customFormat="1" x14ac:dyDescent="0.3">
      <c r="A37" s="13" t="s">
        <v>162</v>
      </c>
      <c r="B37" s="92" t="str">
        <f>IF(ISBLANK(VLOOKUP(A37,'3 BS Reported'!A:B,2,)),"",VLOOKUP(A37,'3 BS Reported'!A:B,2,))</f>
        <v/>
      </c>
      <c r="C37" s="146" t="str">
        <f>IF($B37="Operating",+'3 BS Reported'!C37,"")</f>
        <v/>
      </c>
      <c r="D37" s="146" t="str">
        <f>IF($B37="Operating",+'3 BS Reported'!D37,"")</f>
        <v/>
      </c>
      <c r="E37" s="146" t="str">
        <f>IF($B37="Operating",+'3 BS Reported'!E37,"")</f>
        <v/>
      </c>
      <c r="F37" s="146" t="str">
        <f>IF($B37="Operating",+'3 BS Reported'!F37,"")</f>
        <v/>
      </c>
    </row>
    <row r="38" spans="1:6" s="13" customFormat="1" x14ac:dyDescent="0.3">
      <c r="A38" s="13" t="s">
        <v>163</v>
      </c>
      <c r="B38" s="92" t="str">
        <f>IF(ISBLANK(VLOOKUP(A38,'3 BS Reported'!A:B,2,)),"",VLOOKUP(A38,'3 BS Reported'!A:B,2,))</f>
        <v/>
      </c>
      <c r="C38" s="155">
        <f>SUM(C22:C37)</f>
        <v>-4422</v>
      </c>
      <c r="D38" s="155">
        <f>SUM(D22:D37)</f>
        <v>-4394</v>
      </c>
      <c r="E38" s="155">
        <f>SUM(E22:E37)</f>
        <v>-4703</v>
      </c>
      <c r="F38" s="155">
        <f>SUM(F22:F37)</f>
        <v>-5077</v>
      </c>
    </row>
    <row r="39" spans="1:6" s="13" customFormat="1" x14ac:dyDescent="0.3">
      <c r="B39" s="92"/>
      <c r="C39" s="146"/>
      <c r="D39" s="146"/>
      <c r="E39" s="146"/>
      <c r="F39" s="146"/>
    </row>
    <row r="40" spans="1:6" s="13" customFormat="1" ht="15" thickBot="1" x14ac:dyDescent="0.35">
      <c r="A40" s="13" t="s">
        <v>194</v>
      </c>
      <c r="B40" s="92"/>
      <c r="C40" s="156">
        <f>+C16+C38</f>
        <v>10843</v>
      </c>
      <c r="D40" s="156">
        <f>+D16+D38</f>
        <v>10696</v>
      </c>
      <c r="E40" s="156">
        <f>+E16+E38</f>
        <v>11624</v>
      </c>
      <c r="F40" s="156">
        <f>+F16+F38</f>
        <v>12653</v>
      </c>
    </row>
    <row r="41" spans="1:6" ht="15" thickTop="1" x14ac:dyDescent="0.3"/>
    <row r="43" spans="1:6" s="13" customFormat="1" ht="15" thickBot="1" x14ac:dyDescent="0.35">
      <c r="B43" s="92"/>
      <c r="C43" s="145">
        <f>+C3</f>
        <v>42371</v>
      </c>
      <c r="D43" s="145">
        <f>+D3</f>
        <v>42735</v>
      </c>
      <c r="E43" s="145">
        <f>+E3</f>
        <v>43099</v>
      </c>
      <c r="F43" s="145">
        <f>+F3</f>
        <v>43463</v>
      </c>
    </row>
    <row r="44" spans="1:6" x14ac:dyDescent="0.3">
      <c r="A44" s="13" t="s">
        <v>4</v>
      </c>
      <c r="B44" s="1" t="str">
        <f>IF(ISBLANK(VLOOKUP(A44,'3 BS Reported'!A:B,2,)),"",VLOOKUP(A44,'3 BS Reported'!A:B,2,))</f>
        <v/>
      </c>
    </row>
    <row r="45" spans="1:6" x14ac:dyDescent="0.3">
      <c r="A45" s="13" t="s">
        <v>155</v>
      </c>
      <c r="B45" s="1" t="str">
        <f>IF(ISBLANK(VLOOKUP(A45,'3 BS Reported'!A:B,2,)),"",VLOOKUP(A45,'3 BS Reported'!A:B,2,))</f>
        <v/>
      </c>
    </row>
    <row r="46" spans="1:6" x14ac:dyDescent="0.3">
      <c r="A46" t="s">
        <v>5</v>
      </c>
      <c r="B46" s="1" t="str">
        <f>IF(ISBLANK(VLOOKUP(A46,'3 BS Reported'!A:B,2,)),"",VLOOKUP(A46,'3 BS Reported'!A:B,2,))</f>
        <v>Split</v>
      </c>
      <c r="C46" s="8">
        <f>+'3 BS Reported'!C6-'3 Unadj NOA'!C6</f>
        <v>0</v>
      </c>
      <c r="D46" s="8">
        <f>+'3 BS Reported'!D6-'3 Unadj NOA'!D6</f>
        <v>21</v>
      </c>
      <c r="E46" s="8">
        <f>+'3 BS Reported'!E6-'3 Unadj NOA'!E6</f>
        <v>24</v>
      </c>
      <c r="F46" s="8">
        <f>+'3 BS Reported'!F6-'3 Unadj NOA'!F6</f>
        <v>50</v>
      </c>
    </row>
    <row r="47" spans="1:6" x14ac:dyDescent="0.3">
      <c r="A47" t="s">
        <v>20</v>
      </c>
      <c r="B47" s="1" t="str">
        <f>IF(ISBLANK(VLOOKUP(A47,'3 BS Reported'!A:B,2,)),"",VLOOKUP(A47,'3 BS Reported'!A:B,2,))</f>
        <v>Operating</v>
      </c>
      <c r="C47" s="8" t="str">
        <f>IF($B47="Financial",+'3 BS Reported'!C7,"")</f>
        <v/>
      </c>
      <c r="D47" s="8" t="str">
        <f>IF($B47="Financial",+'3 BS Reported'!D7,"")</f>
        <v/>
      </c>
      <c r="E47" s="8" t="str">
        <f>IF($B47="Financial",+'3 BS Reported'!E7,"")</f>
        <v/>
      </c>
      <c r="F47" s="8" t="str">
        <f>IF($B47="Financial",+'3 BS Reported'!F7,"")</f>
        <v/>
      </c>
    </row>
    <row r="48" spans="1:6" x14ac:dyDescent="0.3">
      <c r="A48" t="s">
        <v>21</v>
      </c>
      <c r="B48" s="1" t="str">
        <f>IF(ISBLANK(VLOOKUP(A48,'3 BS Reported'!A:B,2,)),"",VLOOKUP(A48,'3 BS Reported'!A:B,2,))</f>
        <v>Operating</v>
      </c>
      <c r="C48" s="8" t="str">
        <f>IF($B48="Financial",+'3 BS Reported'!C8,"")</f>
        <v/>
      </c>
      <c r="D48" s="8" t="str">
        <f>IF($B48="Financial",+'3 BS Reported'!D8,"")</f>
        <v/>
      </c>
      <c r="E48" s="8" t="str">
        <f>IF($B48="Financial",+'3 BS Reported'!E8,"")</f>
        <v/>
      </c>
      <c r="F48" s="8" t="str">
        <f>IF($B48="Financial",+'3 BS Reported'!F8,"")</f>
        <v/>
      </c>
    </row>
    <row r="49" spans="1:6" x14ac:dyDescent="0.3">
      <c r="A49" t="s">
        <v>22</v>
      </c>
      <c r="B49" s="1" t="str">
        <f>IF(ISBLANK(VLOOKUP(A49,'3 BS Reported'!A:B,2,)),"",VLOOKUP(A49,'3 BS Reported'!A:B,2,))</f>
        <v>Operating</v>
      </c>
      <c r="C49" s="8" t="str">
        <f>IF($B49="Financial",+'3 BS Reported'!C9,"")</f>
        <v/>
      </c>
      <c r="D49" s="8" t="str">
        <f>IF($B49="Financial",+'3 BS Reported'!D9,"")</f>
        <v/>
      </c>
      <c r="E49" s="8" t="str">
        <f>IF($B49="Financial",+'3 BS Reported'!E9,"")</f>
        <v/>
      </c>
      <c r="F49" s="8" t="str">
        <f>IF($B49="Financial",+'3 BS Reported'!F9,"")</f>
        <v/>
      </c>
    </row>
    <row r="50" spans="1:6" x14ac:dyDescent="0.3">
      <c r="A50" s="13" t="s">
        <v>156</v>
      </c>
      <c r="B50" s="1" t="str">
        <f>IF(ISBLANK(VLOOKUP(A50,'3 BS Reported'!A:B,2,)),"",VLOOKUP(A50,'3 BS Reported'!A:B,2,))</f>
        <v/>
      </c>
      <c r="C50" s="8" t="str">
        <f>IF($B50="Financial",+'3 BS Reported'!C10,"")</f>
        <v/>
      </c>
      <c r="D50" s="8" t="str">
        <f>IF($B50="Financial",+'3 BS Reported'!D10,"")</f>
        <v/>
      </c>
      <c r="E50" s="8" t="str">
        <f>IF($B50="Financial",+'3 BS Reported'!E10,"")</f>
        <v/>
      </c>
      <c r="F50" s="8" t="str">
        <f>IF($B50="Financial",+'3 BS Reported'!F10,"")</f>
        <v/>
      </c>
    </row>
    <row r="51" spans="1:6" x14ac:dyDescent="0.3">
      <c r="A51" t="s">
        <v>230</v>
      </c>
      <c r="B51" s="1" t="str">
        <f>IF(ISBLANK(VLOOKUP(A51,'3 BS Reported'!A:B,2,)),"",VLOOKUP(A51,'3 BS Reported'!A:B,2,))</f>
        <v>Operating</v>
      </c>
      <c r="C51" s="8" t="str">
        <f>IF($B51="Financial",+'3 BS Reported'!C11,"")</f>
        <v/>
      </c>
      <c r="D51" s="8" t="str">
        <f>IF($B51="Financial",+'3 BS Reported'!D11,"")</f>
        <v/>
      </c>
      <c r="E51" s="8" t="str">
        <f>IF($B51="Financial",+'3 BS Reported'!E11,"")</f>
        <v/>
      </c>
      <c r="F51" s="8" t="str">
        <f>IF($B51="Financial",+'3 BS Reported'!F11,"")</f>
        <v/>
      </c>
    </row>
    <row r="52" spans="1:6" x14ac:dyDescent="0.3">
      <c r="A52" t="s">
        <v>6</v>
      </c>
      <c r="B52" s="1" t="str">
        <f>IF(ISBLANK(VLOOKUP(A52,'3 BS Reported'!A:B,2,)),"",VLOOKUP(A52,'3 BS Reported'!A:B,2,))</f>
        <v>Operating</v>
      </c>
      <c r="C52" s="8" t="str">
        <f>IF($B52="Financial",+'3 BS Reported'!C12,"")</f>
        <v/>
      </c>
      <c r="D52" s="8" t="str">
        <f>IF($B52="Financial",+'3 BS Reported'!D12,"")</f>
        <v/>
      </c>
      <c r="E52" s="8" t="str">
        <f>IF($B52="Financial",+'3 BS Reported'!E12,"")</f>
        <v/>
      </c>
      <c r="F52" s="8" t="str">
        <f>IF($B52="Financial",+'3 BS Reported'!F12,"")</f>
        <v/>
      </c>
    </row>
    <row r="53" spans="1:6" x14ac:dyDescent="0.3">
      <c r="A53" t="s">
        <v>231</v>
      </c>
      <c r="B53" s="1" t="str">
        <f>IF(ISBLANK(VLOOKUP(A53,'3 BS Reported'!A:B,2,)),"",VLOOKUP(A53,'3 BS Reported'!A:B,2,))</f>
        <v>Operating</v>
      </c>
      <c r="C53" s="8" t="str">
        <f>IF($B53="Financial",+'3 BS Reported'!C13,"")</f>
        <v/>
      </c>
      <c r="D53" s="8" t="str">
        <f>IF($B53="Financial",+'3 BS Reported'!D13,"")</f>
        <v/>
      </c>
      <c r="E53" s="8" t="str">
        <f>IF($B53="Financial",+'3 BS Reported'!E13,"")</f>
        <v/>
      </c>
      <c r="F53" s="8" t="str">
        <f>IF($B53="Financial",+'3 BS Reported'!F13,"")</f>
        <v/>
      </c>
    </row>
    <row r="54" spans="1:6" x14ac:dyDescent="0.3">
      <c r="A54" t="s">
        <v>232</v>
      </c>
      <c r="B54" s="1" t="str">
        <f>IF(ISBLANK(VLOOKUP(A54,'3 BS Reported'!A:B,2,)),"",VLOOKUP(A54,'3 BS Reported'!A:B,2,))</f>
        <v>Operating</v>
      </c>
      <c r="C54" s="8" t="str">
        <f>IF($B54="Financial",+'3 BS Reported'!C14,"")</f>
        <v/>
      </c>
      <c r="D54" s="8" t="str">
        <f>IF($B54="Financial",+'3 BS Reported'!D14,"")</f>
        <v/>
      </c>
      <c r="E54" s="8" t="str">
        <f>IF($B54="Financial",+'3 BS Reported'!E14,"")</f>
        <v/>
      </c>
      <c r="F54" s="8" t="str">
        <f>IF($B54="Financial",+'3 BS Reported'!F14,"")</f>
        <v/>
      </c>
    </row>
    <row r="55" spans="1:6" x14ac:dyDescent="0.3">
      <c r="A55" t="s">
        <v>164</v>
      </c>
      <c r="B55" s="1" t="str">
        <f>IF(ISBLANK(VLOOKUP(A55,'3 BS Reported'!A:B,2,)),"",VLOOKUP(A55,'3 BS Reported'!A:B,2,))</f>
        <v>Operating</v>
      </c>
      <c r="C55" s="8" t="str">
        <f>IF($B55="Financial",+'3 BS Reported'!C15,"")</f>
        <v/>
      </c>
      <c r="D55" s="8" t="str">
        <f>IF($B55="Financial",+'3 BS Reported'!D15,"")</f>
        <v/>
      </c>
      <c r="E55" s="8" t="str">
        <f>IF($B55="Financial",+'3 BS Reported'!E15,"")</f>
        <v/>
      </c>
      <c r="F55" s="8" t="str">
        <f>IF($B55="Financial",+'3 BS Reported'!F15,"")</f>
        <v/>
      </c>
    </row>
    <row r="56" spans="1:6" s="13" customFormat="1" x14ac:dyDescent="0.3">
      <c r="A56" s="13" t="s">
        <v>157</v>
      </c>
      <c r="B56" s="92" t="str">
        <f>IF(ISBLANK(VLOOKUP(A56,'3 BS Reported'!A:B,2,)),"",VLOOKUP(A56,'3 BS Reported'!A:B,2,))</f>
        <v/>
      </c>
      <c r="C56" s="157" t="str">
        <f>IF($B56="Financial",+'3 BS Reported'!C16,"")</f>
        <v/>
      </c>
      <c r="D56" s="157" t="str">
        <f>IF($B56="Financial",+'3 BS Reported'!D16,"")</f>
        <v/>
      </c>
      <c r="E56" s="157" t="str">
        <f>IF($B56="Financial",+'3 BS Reported'!E16,"")</f>
        <v/>
      </c>
      <c r="F56" s="157" t="str">
        <f>IF($B56="Financial",+'3 BS Reported'!F16,"")</f>
        <v/>
      </c>
    </row>
    <row r="57" spans="1:6" s="13" customFormat="1" x14ac:dyDescent="0.3">
      <c r="B57" s="92"/>
      <c r="C57" s="158">
        <f>SUM(C46:C56)</f>
        <v>0</v>
      </c>
      <c r="D57" s="158">
        <f>SUM(D46:D56)</f>
        <v>21</v>
      </c>
      <c r="E57" s="158">
        <f>SUM(E46:E56)</f>
        <v>24</v>
      </c>
      <c r="F57" s="158">
        <f>SUM(F46:F56)</f>
        <v>50</v>
      </c>
    </row>
    <row r="58" spans="1:6" x14ac:dyDescent="0.3">
      <c r="C58" s="57"/>
      <c r="D58" s="57"/>
      <c r="E58" s="57"/>
      <c r="F58" s="57"/>
    </row>
    <row r="59" spans="1:6" x14ac:dyDescent="0.3">
      <c r="A59" s="13" t="s">
        <v>7</v>
      </c>
      <c r="C59" s="8"/>
      <c r="D59" s="8"/>
      <c r="E59" s="8"/>
      <c r="F59" s="8"/>
    </row>
    <row r="60" spans="1:6" s="13" customFormat="1" x14ac:dyDescent="0.3">
      <c r="A60" s="13" t="s">
        <v>158</v>
      </c>
      <c r="B60" s="92" t="str">
        <f>IF(ISBLANK(VLOOKUP(A60,'3 BS Reported'!A:B,2,)),"",VLOOKUP(A60,'3 BS Reported'!A:B,2,))</f>
        <v/>
      </c>
      <c r="C60" s="157"/>
      <c r="D60" s="157"/>
      <c r="E60" s="157"/>
      <c r="F60" s="157"/>
    </row>
    <row r="61" spans="1:6" x14ac:dyDescent="0.3">
      <c r="A61" t="s">
        <v>233</v>
      </c>
      <c r="B61" s="1" t="str">
        <f>IF(ISBLANK(VLOOKUP(A61,'3 BS Reported'!A:B,2,)),"",VLOOKUP(A61,'3 BS Reported'!A:B,2,))</f>
        <v>Financial</v>
      </c>
      <c r="C61" s="8">
        <f>IF($B61="Financial",+'3 BS Reported'!C20,"")</f>
        <v>-1266</v>
      </c>
      <c r="D61" s="8">
        <f>IF($B61="Financial",+'3 BS Reported'!D20,"")</f>
        <v>-631</v>
      </c>
      <c r="E61" s="8">
        <f>IF($B61="Financial",+'3 BS Reported'!E20,"")</f>
        <v>-409</v>
      </c>
      <c r="F61" s="8">
        <f>IF($B61="Financial",+'3 BS Reported'!F20,"")</f>
        <v>-510</v>
      </c>
    </row>
    <row r="62" spans="1:6" x14ac:dyDescent="0.3">
      <c r="A62" t="s">
        <v>227</v>
      </c>
      <c r="B62" s="1" t="str">
        <f>IF(ISBLANK(VLOOKUP(A62,'3 BS Reported'!A:B,2,)),"",VLOOKUP(A62,'3 BS Reported'!A:B,2,))</f>
        <v>Financial</v>
      </c>
      <c r="C62" s="8">
        <f>IF($B62="Financial",+'3 BS Reported'!C21,"")</f>
        <v>-1204</v>
      </c>
      <c r="D62" s="8">
        <f>IF($B62="Financial",+'3 BS Reported'!D21,"")</f>
        <v>-438</v>
      </c>
      <c r="E62" s="8">
        <f>IF($B62="Financial",+'3 BS Reported'!E21,"")</f>
        <v>-370</v>
      </c>
      <c r="F62" s="8">
        <f>IF($B62="Financial",+'3 BS Reported'!F21,"")</f>
        <v>-176</v>
      </c>
    </row>
    <row r="63" spans="1:6" x14ac:dyDescent="0.3">
      <c r="A63" t="s">
        <v>234</v>
      </c>
      <c r="B63" s="1" t="str">
        <f>IF(ISBLANK(VLOOKUP(A63,'3 BS Reported'!A:B,2,)),"",VLOOKUP(A63,'3 BS Reported'!A:B,2,))</f>
        <v>Operating</v>
      </c>
      <c r="C63" s="8" t="str">
        <f>IF($B63="Financial",+'3 BS Reported'!C22,"")</f>
        <v/>
      </c>
      <c r="D63" s="8" t="str">
        <f>IF($B63="Financial",+'3 BS Reported'!D22,"")</f>
        <v/>
      </c>
      <c r="E63" s="8" t="str">
        <f>IF($B63="Financial",+'3 BS Reported'!E22,"")</f>
        <v/>
      </c>
      <c r="F63" s="8" t="str">
        <f>IF($B63="Financial",+'3 BS Reported'!F22,"")</f>
        <v/>
      </c>
    </row>
    <row r="64" spans="1:6" x14ac:dyDescent="0.3">
      <c r="A64" t="s">
        <v>225</v>
      </c>
      <c r="B64" s="1" t="str">
        <f>IF(ISBLANK(VLOOKUP(A64,'3 BS Reported'!A:B,2,)),"",VLOOKUP(A64,'3 BS Reported'!A:B,2,))</f>
        <v>Operating</v>
      </c>
      <c r="C64" s="8" t="str">
        <f>IF($B64="Financial",+'3 BS Reported'!C23,"")</f>
        <v/>
      </c>
      <c r="D64" s="8" t="str">
        <f>IF($B64="Financial",+'3 BS Reported'!D23,"")</f>
        <v/>
      </c>
      <c r="E64" s="8" t="str">
        <f>IF($B64="Financial",+'3 BS Reported'!E23,"")</f>
        <v/>
      </c>
      <c r="F64" s="8" t="str">
        <f>IF($B64="Financial",+'3 BS Reported'!F23,"")</f>
        <v/>
      </c>
    </row>
    <row r="65" spans="1:6" s="13" customFormat="1" x14ac:dyDescent="0.3">
      <c r="A65" s="13" t="s">
        <v>159</v>
      </c>
      <c r="B65" s="92" t="str">
        <f>IF(ISBLANK(VLOOKUP(A65,'3 BS Reported'!A:B,2,)),"",VLOOKUP(A65,'3 BS Reported'!A:B,2,))</f>
        <v/>
      </c>
      <c r="C65" s="157" t="str">
        <f>IF($B65="Financial",+'3 BS Reported'!C24,"")</f>
        <v/>
      </c>
      <c r="D65" s="157" t="str">
        <f>IF($B65="Financial",+'3 BS Reported'!D24,"")</f>
        <v/>
      </c>
      <c r="E65" s="157" t="str">
        <f>IF($B65="Financial",+'3 BS Reported'!E24,"")</f>
        <v/>
      </c>
      <c r="F65" s="157" t="str">
        <f>IF($B65="Financial",+'3 BS Reported'!F24,"")</f>
        <v/>
      </c>
    </row>
    <row r="66" spans="1:6" x14ac:dyDescent="0.3">
      <c r="A66" t="s">
        <v>9</v>
      </c>
      <c r="B66" s="1" t="str">
        <f>IF(ISBLANK(VLOOKUP(A66,'3 BS Reported'!A:B,2,)),"",VLOOKUP(A66,'3 BS Reported'!A:B,2,))</f>
        <v>Financial</v>
      </c>
      <c r="C66" s="8">
        <f>IF($B66="Financial",+'3 BS Reported'!C25,"")</f>
        <v>-5289</v>
      </c>
      <c r="D66" s="8">
        <f>IF($B66="Financial",+'3 BS Reported'!D25,"")</f>
        <v>-6698</v>
      </c>
      <c r="E66" s="8">
        <f>IF($B66="Financial",+'3 BS Reported'!E25,"")</f>
        <v>-7836</v>
      </c>
      <c r="F66" s="8">
        <f>IF($B66="Financial",+'3 BS Reported'!F25,"")</f>
        <v>-8207</v>
      </c>
    </row>
    <row r="67" spans="1:6" x14ac:dyDescent="0.3">
      <c r="A67" t="s">
        <v>110</v>
      </c>
      <c r="B67" s="1" t="str">
        <f>IF(ISBLANK(VLOOKUP(A67,'3 BS Reported'!A:B,2,)),"",VLOOKUP(A67,'3 BS Reported'!A:B,2,))</f>
        <v>Operating</v>
      </c>
      <c r="C67" s="8" t="str">
        <f>IF($B67="Financial",+'3 BS Reported'!C26,"")</f>
        <v/>
      </c>
      <c r="D67" s="8" t="str">
        <f>IF($B67="Financial",+'3 BS Reported'!D26,"")</f>
        <v/>
      </c>
      <c r="E67" s="8" t="str">
        <f>IF($B67="Financial",+'3 BS Reported'!E26,"")</f>
        <v/>
      </c>
      <c r="F67" s="8" t="str">
        <f>IF($B67="Financial",+'3 BS Reported'!F26,"")</f>
        <v/>
      </c>
    </row>
    <row r="68" spans="1:6" x14ac:dyDescent="0.3">
      <c r="A68" t="s">
        <v>235</v>
      </c>
      <c r="B68" s="1" t="str">
        <f>IF(ISBLANK(VLOOKUP(A68,'3 BS Reported'!A:B,2,)),"",VLOOKUP(A68,'3 BS Reported'!A:B,2,))</f>
        <v>Financial</v>
      </c>
      <c r="C68" s="8">
        <f>IF($B68="Financial",+'3 BS Reported'!C27,"")</f>
        <v>-946</v>
      </c>
      <c r="D68" s="8">
        <f>IF($B68="Financial",+'3 BS Reported'!D27,"")</f>
        <v>-1024</v>
      </c>
      <c r="E68" s="8">
        <f>IF($B68="Financial",+'3 BS Reported'!E27,"")</f>
        <v>-839</v>
      </c>
      <c r="F68" s="8">
        <f>IF($B68="Financial",+'3 BS Reported'!F27,"")</f>
        <v>-651</v>
      </c>
    </row>
    <row r="69" spans="1:6" x14ac:dyDescent="0.3">
      <c r="A69" t="s">
        <v>168</v>
      </c>
      <c r="B69" s="1" t="str">
        <f>IF(ISBLANK(VLOOKUP(A69,'3 BS Reported'!A:B,2,)),"",VLOOKUP(A69,'3 BS Reported'!A:B,2,))</f>
        <v>Operating</v>
      </c>
      <c r="C69" s="8" t="str">
        <f>IF($B69="Financial",+'3 BS Reported'!C28,"")</f>
        <v/>
      </c>
      <c r="D69" s="8" t="str">
        <f>IF($B69="Financial",+'3 BS Reported'!D28,"")</f>
        <v/>
      </c>
      <c r="E69" s="8" t="str">
        <f>IF($B69="Financial",+'3 BS Reported'!E28,"")</f>
        <v/>
      </c>
      <c r="F69" s="8" t="str">
        <f>IF($B69="Financial",+'3 BS Reported'!F28,"")</f>
        <v/>
      </c>
    </row>
    <row r="70" spans="1:6" s="13" customFormat="1" x14ac:dyDescent="0.3">
      <c r="A70" s="13" t="s">
        <v>160</v>
      </c>
      <c r="B70" s="92" t="str">
        <f>IF(ISBLANK(VLOOKUP(A70,'3 BS Reported'!A:B,2,)),"",VLOOKUP(A70,'3 BS Reported'!A:B,2,))</f>
        <v/>
      </c>
      <c r="C70" s="157" t="str">
        <f>IF($B70="Financial",+'3 BS Reported'!C29,"")</f>
        <v/>
      </c>
      <c r="D70" s="157" t="str">
        <f>IF($B70="Financial",+'3 BS Reported'!D29,"")</f>
        <v/>
      </c>
      <c r="E70" s="157" t="str">
        <f>IF($B70="Financial",+'3 BS Reported'!E29,"")</f>
        <v/>
      </c>
      <c r="F70" s="157" t="str">
        <f>IF($B70="Financial",+'3 BS Reported'!F29,"")</f>
        <v/>
      </c>
    </row>
    <row r="71" spans="1:6" s="13" customFormat="1" x14ac:dyDescent="0.3">
      <c r="A71" s="13" t="s">
        <v>161</v>
      </c>
      <c r="B71" s="92" t="str">
        <f>IF(ISBLANK(VLOOKUP(A71,'3 BS Reported'!A:B,2,)),"",VLOOKUP(A71,'3 BS Reported'!A:B,2,))</f>
        <v/>
      </c>
      <c r="C71" s="157" t="str">
        <f>IF($B71="Financial",+'3 BS Reported'!C30,"")</f>
        <v/>
      </c>
      <c r="D71" s="157" t="str">
        <f>IF($B71="Financial",+'3 BS Reported'!D30,"")</f>
        <v/>
      </c>
      <c r="E71" s="157" t="str">
        <f>IF($B71="Financial",+'3 BS Reported'!E30,"")</f>
        <v/>
      </c>
      <c r="F71" s="157" t="str">
        <f>IF($B71="Financial",+'3 BS Reported'!F30,"")</f>
        <v/>
      </c>
    </row>
    <row r="72" spans="1:6" x14ac:dyDescent="0.3">
      <c r="A72" t="s">
        <v>226</v>
      </c>
      <c r="B72" s="1" t="str">
        <f>IF(ISBLANK(VLOOKUP(A72,'3 BS Reported'!A:B,2,)),"",VLOOKUP(A72,'3 BS Reported'!A:B,2,))</f>
        <v>Equity</v>
      </c>
      <c r="C72" s="8" t="str">
        <f>IF($B72="Financial",+'3 BS Reported'!C31,"")</f>
        <v/>
      </c>
      <c r="D72" s="8" t="str">
        <f>IF($B72="Financial",+'3 BS Reported'!D31,"")</f>
        <v/>
      </c>
      <c r="E72" s="8" t="str">
        <f>IF($B72="Financial",+'3 BS Reported'!E31,"")</f>
        <v/>
      </c>
      <c r="F72" s="8" t="str">
        <f>IF($B72="Financial",+'3 BS Reported'!F31,"")</f>
        <v/>
      </c>
    </row>
    <row r="73" spans="1:6" x14ac:dyDescent="0.3">
      <c r="A73" t="s">
        <v>236</v>
      </c>
      <c r="B73" s="1" t="str">
        <f>IF(ISBLANK(VLOOKUP(A73,'3 BS Reported'!A:B,2,)),"",VLOOKUP(A73,'3 BS Reported'!A:B,2,))</f>
        <v>Equity</v>
      </c>
      <c r="C73" s="8" t="str">
        <f>IF($B73="Financial",+'3 BS Reported'!C32,"")</f>
        <v/>
      </c>
      <c r="D73" s="8" t="str">
        <f>IF($B73="Financial",+'3 BS Reported'!D32,"")</f>
        <v/>
      </c>
      <c r="E73" s="8" t="str">
        <f>IF($B73="Financial",+'3 BS Reported'!E32,"")</f>
        <v/>
      </c>
      <c r="F73" s="8" t="str">
        <f>IF($B73="Financial",+'3 BS Reported'!F32,"")</f>
        <v/>
      </c>
    </row>
    <row r="74" spans="1:6" x14ac:dyDescent="0.3">
      <c r="A74" t="s">
        <v>8</v>
      </c>
      <c r="B74" s="1" t="str">
        <f>IF(ISBLANK(VLOOKUP(A74,'3 BS Reported'!A:B,2,)),"",VLOOKUP(A74,'3 BS Reported'!A:B,2,))</f>
        <v>Equity</v>
      </c>
      <c r="C74" s="8" t="str">
        <f>IF($B74="Financial",+'3 BS Reported'!C33,"")</f>
        <v/>
      </c>
      <c r="D74" s="8" t="str">
        <f>IF($B74="Financial",+'3 BS Reported'!D33,"")</f>
        <v/>
      </c>
      <c r="E74" s="8" t="str">
        <f>IF($B74="Financial",+'3 BS Reported'!E33,"")</f>
        <v/>
      </c>
      <c r="F74" s="8" t="str">
        <f>IF($B74="Financial",+'3 BS Reported'!F33,"")</f>
        <v/>
      </c>
    </row>
    <row r="75" spans="1:6" x14ac:dyDescent="0.3">
      <c r="A75" t="s">
        <v>237</v>
      </c>
      <c r="B75" s="1" t="str">
        <f>IF(ISBLANK(VLOOKUP(A75,'3 BS Reported'!A:B,2,)),"",VLOOKUP(A75,'3 BS Reported'!A:B,2,))</f>
        <v>Equity</v>
      </c>
      <c r="C75" s="8" t="str">
        <f>IF($B75="Financial",+'3 BS Reported'!C34,"")</f>
        <v/>
      </c>
      <c r="D75" s="8" t="str">
        <f>IF($B75="Financial",+'3 BS Reported'!D34,"")</f>
        <v/>
      </c>
      <c r="E75" s="8" t="str">
        <f>IF($B75="Financial",+'3 BS Reported'!E34,"")</f>
        <v/>
      </c>
      <c r="F75" s="8" t="str">
        <f>IF($B75="Financial",+'3 BS Reported'!F34,"")</f>
        <v/>
      </c>
    </row>
    <row r="76" spans="1:6" x14ac:dyDescent="0.3">
      <c r="A76" t="s">
        <v>228</v>
      </c>
      <c r="B76" s="1" t="str">
        <f>IF(ISBLANK(VLOOKUP(A76,'3 BS Reported'!A:B,2,)),"",VLOOKUP(A76,'3 BS Reported'!A:B,2,))</f>
        <v>Equity</v>
      </c>
      <c r="C76" s="8" t="str">
        <f>IF($B76="Financial",+'3 BS Reported'!C35,"")</f>
        <v/>
      </c>
      <c r="D76" s="8" t="str">
        <f>IF($B76="Financial",+'3 BS Reported'!D35,"")</f>
        <v/>
      </c>
      <c r="E76" s="8" t="str">
        <f>IF($B76="Financial",+'3 BS Reported'!E35,"")</f>
        <v/>
      </c>
      <c r="F76" s="8" t="str">
        <f>IF($B76="Financial",+'3 BS Reported'!F35,"")</f>
        <v/>
      </c>
    </row>
    <row r="77" spans="1:6" x14ac:dyDescent="0.3">
      <c r="A77" t="s">
        <v>238</v>
      </c>
      <c r="B77" s="1" t="str">
        <f>IF(ISBLANK(VLOOKUP(A77,'3 BS Reported'!A:B,2,)),"",VLOOKUP(A77,'3 BS Reported'!A:B,2,))</f>
        <v>Financial</v>
      </c>
      <c r="C77" s="8">
        <f>IF($B77="Financial",+'3 BS Reported'!C36,"")</f>
        <v>-10</v>
      </c>
      <c r="D77" s="8">
        <f>IF($B77="Financial",+'3 BS Reported'!D36,"")</f>
        <v>-16</v>
      </c>
      <c r="E77" s="8">
        <f>IF($B77="Financial",+'3 BS Reported'!E36,"")</f>
        <v>-16</v>
      </c>
      <c r="F77" s="8">
        <f>IF($B77="Financial",+'3 BS Reported'!F36,"")</f>
        <v>-558</v>
      </c>
    </row>
    <row r="78" spans="1:6" s="13" customFormat="1" x14ac:dyDescent="0.3">
      <c r="A78" s="13" t="s">
        <v>162</v>
      </c>
      <c r="B78" s="92" t="str">
        <f>IF(ISBLANK(VLOOKUP(A78,'3 BS Reported'!A:B,2,)),"",VLOOKUP(A78,'3 BS Reported'!A:B,2,))</f>
        <v/>
      </c>
      <c r="C78" s="157" t="str">
        <f>IF($B78="Financial",+'3 BS Reported'!C37,"")</f>
        <v/>
      </c>
      <c r="D78" s="157" t="str">
        <f>IF($B78="Financial",+'3 BS Reported'!D37,"")</f>
        <v/>
      </c>
      <c r="E78" s="157" t="str">
        <f>IF($B78="Financial",+'3 BS Reported'!E37,"")</f>
        <v/>
      </c>
      <c r="F78" s="157" t="str">
        <f>IF($B78="Financial",+'3 BS Reported'!F37,"")</f>
        <v/>
      </c>
    </row>
    <row r="79" spans="1:6" s="13" customFormat="1" x14ac:dyDescent="0.3">
      <c r="A79" s="13" t="s">
        <v>163</v>
      </c>
      <c r="B79" s="92"/>
      <c r="C79" s="158">
        <f>SUM(C61:C78)</f>
        <v>-8715</v>
      </c>
      <c r="D79" s="158">
        <f>SUM(D61:D78)</f>
        <v>-8807</v>
      </c>
      <c r="E79" s="158">
        <f>SUM(E61:E78)</f>
        <v>-9470</v>
      </c>
      <c r="F79" s="158">
        <f>SUM(F61:F78)</f>
        <v>-10102</v>
      </c>
    </row>
    <row r="80" spans="1:6" s="13" customFormat="1" x14ac:dyDescent="0.3">
      <c r="B80" s="92"/>
      <c r="C80" s="157"/>
      <c r="D80" s="157"/>
      <c r="E80" s="157"/>
      <c r="F80" s="157"/>
    </row>
    <row r="81" spans="1:6" s="13" customFormat="1" ht="15" thickBot="1" x14ac:dyDescent="0.35">
      <c r="A81" s="13" t="s">
        <v>28</v>
      </c>
      <c r="B81" s="92"/>
      <c r="C81" s="156">
        <f>+C57+C79</f>
        <v>-8715</v>
      </c>
      <c r="D81" s="156">
        <f>+D57+D79</f>
        <v>-8786</v>
      </c>
      <c r="E81" s="156">
        <f>+E57+E79</f>
        <v>-9446</v>
      </c>
      <c r="F81" s="156">
        <f>+F57+F79</f>
        <v>-10052</v>
      </c>
    </row>
    <row r="82" spans="1:6" ht="15" thickTop="1" x14ac:dyDescent="0.3">
      <c r="C82" s="8"/>
      <c r="D82" s="8"/>
      <c r="E82" s="8"/>
      <c r="F82" s="8"/>
    </row>
    <row r="83" spans="1:6" x14ac:dyDescent="0.3">
      <c r="C83" s="8"/>
      <c r="D83" s="8"/>
      <c r="E83" s="8"/>
      <c r="F83" s="8"/>
    </row>
    <row r="84" spans="1:6" x14ac:dyDescent="0.3">
      <c r="A84" s="12" t="s">
        <v>118</v>
      </c>
      <c r="C84" s="8"/>
      <c r="D84" s="8"/>
      <c r="E84" s="8"/>
      <c r="F84" s="8"/>
    </row>
    <row r="85" spans="1:6" x14ac:dyDescent="0.3">
      <c r="A85" s="12" t="s">
        <v>195</v>
      </c>
      <c r="C85" s="19">
        <f>+C40+C81</f>
        <v>2128</v>
      </c>
      <c r="D85" s="19">
        <f>+D40+D81</f>
        <v>1910</v>
      </c>
      <c r="E85" s="19">
        <f>+E40+E81</f>
        <v>2178</v>
      </c>
      <c r="F85" s="19">
        <f>+F40+F81</f>
        <v>2601</v>
      </c>
    </row>
    <row r="86" spans="1:6" x14ac:dyDescent="0.3">
      <c r="A86" s="12" t="s">
        <v>165</v>
      </c>
      <c r="C86" s="2">
        <f>+C85+'3 BS Reported'!C48</f>
        <v>0</v>
      </c>
      <c r="D86" s="2">
        <f>+D85+'3 BS Reported'!D48</f>
        <v>0</v>
      </c>
      <c r="E86" s="2">
        <f>+E85+'3 BS Reported'!E48</f>
        <v>0</v>
      </c>
      <c r="F86" s="2">
        <f>+F85+'3 BS Reported'!F48</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2"/>
  <sheetViews>
    <sheetView workbookViewId="0">
      <pane xSplit="1" ySplit="5" topLeftCell="B36" activePane="bottomRight" state="frozen"/>
      <selection activeCell="H23" sqref="H23"/>
      <selection pane="topRight" activeCell="H23" sqref="H23"/>
      <selection pane="bottomLeft" activeCell="H23" sqref="H23"/>
      <selection pane="bottomRight" activeCell="H23" sqref="H23"/>
    </sheetView>
  </sheetViews>
  <sheetFormatPr defaultRowHeight="14.4" x14ac:dyDescent="0.3"/>
  <cols>
    <col min="1" max="1" width="68.21875" bestFit="1" customWidth="1"/>
    <col min="2" max="2" width="9.88671875" bestFit="1" customWidth="1"/>
    <col min="3" max="5" width="10.77734375" bestFit="1" customWidth="1"/>
  </cols>
  <sheetData>
    <row r="1" spans="1:5" x14ac:dyDescent="0.3">
      <c r="A1" s="159" t="s">
        <v>449</v>
      </c>
      <c r="B1" s="159"/>
      <c r="C1" s="160">
        <v>0.35</v>
      </c>
      <c r="D1" s="160">
        <f t="shared" ref="D1" si="0">+C1</f>
        <v>0.35</v>
      </c>
      <c r="E1" s="160">
        <v>0.21</v>
      </c>
    </row>
    <row r="2" spans="1:5" x14ac:dyDescent="0.3">
      <c r="A2" s="159" t="s">
        <v>450</v>
      </c>
      <c r="B2" s="159"/>
      <c r="C2" s="160">
        <v>0.35</v>
      </c>
      <c r="D2" s="160">
        <v>0.21</v>
      </c>
      <c r="E2" s="160">
        <v>0.21</v>
      </c>
    </row>
    <row r="3" spans="1:5" x14ac:dyDescent="0.3">
      <c r="A3" s="13" t="str">
        <f>+'3 BS Reported'!A1</f>
        <v>Kellogg</v>
      </c>
      <c r="B3" s="13"/>
      <c r="C3" s="13"/>
      <c r="D3" s="13"/>
      <c r="E3" s="13"/>
    </row>
    <row r="4" spans="1:5" x14ac:dyDescent="0.3">
      <c r="A4" s="13"/>
      <c r="B4" s="92" t="s">
        <v>26</v>
      </c>
      <c r="C4" s="13"/>
      <c r="D4" s="13"/>
      <c r="E4" s="13"/>
    </row>
    <row r="5" spans="1:5" ht="15" thickBot="1" x14ac:dyDescent="0.35">
      <c r="A5" s="13" t="str">
        <f>+'3 BS Reported'!A3</f>
        <v>Amounts in millions</v>
      </c>
      <c r="B5" s="92" t="s">
        <v>27</v>
      </c>
      <c r="C5" s="149">
        <f>+'3 IS Reported'!D3</f>
        <v>42735</v>
      </c>
      <c r="D5" s="149">
        <f>+'3 IS Reported'!E3</f>
        <v>43099</v>
      </c>
      <c r="E5" s="149">
        <f>+'3 IS Reported'!F3</f>
        <v>43463</v>
      </c>
    </row>
    <row r="6" spans="1:5" x14ac:dyDescent="0.3">
      <c r="B6" s="1"/>
      <c r="C6" s="33"/>
      <c r="D6" s="33"/>
      <c r="E6" s="33"/>
    </row>
    <row r="7" spans="1:5" x14ac:dyDescent="0.3">
      <c r="A7" t="s">
        <v>10</v>
      </c>
      <c r="B7" s="1" t="str">
        <f>IF(ISBLANK(VLOOKUP(A7,'3 IS Reported'!A:B,2,)),"",VLOOKUP(A7,'3 IS Reported'!A:B,2,))</f>
        <v>Operating</v>
      </c>
      <c r="C7" s="2">
        <f>IF($B7="Operating",+'3 IS Reported'!D5,"")</f>
        <v>12965</v>
      </c>
      <c r="D7" s="2">
        <f>IF($B7="Operating",+'3 IS Reported'!E5,"")</f>
        <v>12854</v>
      </c>
      <c r="E7" s="2">
        <f>IF($B7="Operating",+'3 IS Reported'!F5,"")</f>
        <v>13547</v>
      </c>
    </row>
    <row r="8" spans="1:5" x14ac:dyDescent="0.3">
      <c r="A8" t="s">
        <v>143</v>
      </c>
      <c r="B8" s="1" t="str">
        <f>IF(ISBLANK(VLOOKUP(A8,'3 IS Reported'!A:B,2,)),"",VLOOKUP(A8,'3 IS Reported'!A:B,2,))</f>
        <v>Operating</v>
      </c>
      <c r="C8" s="2">
        <f>IF($B8="Operating",+'3 IS Reported'!D6,"")</f>
        <v>-8131</v>
      </c>
      <c r="D8" s="2">
        <f>IF($B8="Operating",+'3 IS Reported'!E6,"")</f>
        <v>-8155</v>
      </c>
      <c r="E8" s="2">
        <f>IF($B8="Operating",+'3 IS Reported'!F6,"")</f>
        <v>-8821</v>
      </c>
    </row>
    <row r="9" spans="1:5" x14ac:dyDescent="0.3">
      <c r="A9" t="s">
        <v>239</v>
      </c>
      <c r="B9" s="1" t="str">
        <f>IF(ISBLANK(VLOOKUP(A9,'3 IS Reported'!A:B,2,)),"",VLOOKUP(A9,'3 IS Reported'!A:B,2,))</f>
        <v>Operating</v>
      </c>
      <c r="C9" s="2">
        <f>IF($B9="Operating",+'3 IS Reported'!D7,"")</f>
        <v>-3351</v>
      </c>
      <c r="D9" s="2">
        <f>IF($B9="Operating",+'3 IS Reported'!E7,"")</f>
        <v>-3312</v>
      </c>
      <c r="E9" s="2">
        <f>IF($B9="Operating",+'3 IS Reported'!F7,"")</f>
        <v>-3020</v>
      </c>
    </row>
    <row r="10" spans="1:5" s="13" customFormat="1" x14ac:dyDescent="0.3">
      <c r="A10" s="13" t="s">
        <v>151</v>
      </c>
      <c r="B10" s="92" t="str">
        <f>IF(ISBLANK(VLOOKUP(A10,'3 IS Reported'!A:B,2,)),"",VLOOKUP(A10,'3 IS Reported'!A:B,2,))</f>
        <v/>
      </c>
      <c r="C10" s="146"/>
      <c r="D10" s="146"/>
      <c r="E10" s="146"/>
    </row>
    <row r="11" spans="1:5" x14ac:dyDescent="0.3">
      <c r="A11" t="s">
        <v>3</v>
      </c>
      <c r="B11" s="1" t="str">
        <f>IF(ISBLANK(VLOOKUP(A11,'3 IS Reported'!A:B,2,)),"",VLOOKUP(A11,'3 IS Reported'!A:B,2,))</f>
        <v>Financial</v>
      </c>
      <c r="C11" s="2" t="str">
        <f>IF($B11="Operating",+'3 IS Reported'!D9,"")</f>
        <v/>
      </c>
      <c r="D11" s="2" t="str">
        <f>IF($B11="Operating",+'3 IS Reported'!E9,"")</f>
        <v/>
      </c>
      <c r="E11" s="2" t="str">
        <f>IF($B11="Operating",+'3 IS Reported'!F9,"")</f>
        <v/>
      </c>
    </row>
    <row r="12" spans="1:5" x14ac:dyDescent="0.3">
      <c r="A12" t="s">
        <v>240</v>
      </c>
      <c r="B12" s="1" t="str">
        <f>IF(ISBLANK(VLOOKUP(A12,'3 IS Reported'!A:B,2,)),"",VLOOKUP(A12,'3 IS Reported'!A:B,2,))</f>
        <v>Operating</v>
      </c>
      <c r="C12" s="2">
        <f>IF($B12="Operating",+'3 IS Reported'!D10,"")</f>
        <v>-143</v>
      </c>
      <c r="D12" s="2">
        <f>IF($B12="Operating",+'3 IS Reported'!E10,"")</f>
        <v>526</v>
      </c>
      <c r="E12" s="2">
        <f>IF($B12="Operating",+'3 IS Reported'!F10,"")</f>
        <v>-90</v>
      </c>
    </row>
    <row r="13" spans="1:5" s="13" customFormat="1" x14ac:dyDescent="0.3">
      <c r="A13" s="13" t="s">
        <v>241</v>
      </c>
      <c r="B13" s="92" t="str">
        <f>IF(ISBLANK(VLOOKUP(A13,'3 IS Reported'!A:B,2,)),"",VLOOKUP(A13,'3 IS Reported'!A:B,2,))</f>
        <v/>
      </c>
      <c r="C13" s="146"/>
      <c r="D13" s="146"/>
      <c r="E13" s="146"/>
    </row>
    <row r="14" spans="1:5" x14ac:dyDescent="0.3">
      <c r="A14" t="s">
        <v>242</v>
      </c>
      <c r="B14" s="1" t="str">
        <f>IF(ISBLANK(VLOOKUP(A14,'3 IS Reported'!A:B,2,)),"",VLOOKUP(A14,'3 IS Reported'!A:B,2,))</f>
        <v>Split</v>
      </c>
      <c r="C14" s="2">
        <f>+'3 IS Reported'!D12-C42</f>
        <v>-377</v>
      </c>
      <c r="D14" s="2">
        <f>+'3 IS Reported'!E12-D42</f>
        <v>-500</v>
      </c>
      <c r="E14" s="2">
        <f>+'3 IS Reported'!F12-E42</f>
        <v>-241</v>
      </c>
    </row>
    <row r="15" spans="1:5" x14ac:dyDescent="0.3">
      <c r="A15" t="s">
        <v>243</v>
      </c>
      <c r="B15" s="1" t="str">
        <f>IF(ISBLANK(VLOOKUP(A15,'3 IS Reported'!A:B,2,)),"",VLOOKUP(A15,'3 IS Reported'!A:B,2,))</f>
        <v>Operating</v>
      </c>
      <c r="C15" s="2">
        <f>IF($B15="Operating",+'3 IS Reported'!D13,"")</f>
        <v>1</v>
      </c>
      <c r="D15" s="2">
        <f>IF($B15="Operating",+'3 IS Reported'!E13,"")</f>
        <v>7</v>
      </c>
      <c r="E15" s="2">
        <f>IF($B15="Operating",+'3 IS Reported'!F13,"")</f>
        <v>196</v>
      </c>
    </row>
    <row r="16" spans="1:5" s="13" customFormat="1" x14ac:dyDescent="0.3">
      <c r="A16" s="13" t="s">
        <v>153</v>
      </c>
      <c r="B16" s="92" t="str">
        <f>IF(ISBLANK(VLOOKUP(A16,'3 IS Reported'!A:B,2,)),"",VLOOKUP(A16,'3 IS Reported'!A:B,2,))</f>
        <v/>
      </c>
      <c r="C16" s="146" t="str">
        <f>IF($B16="Operating",+'3 IS Reported'!D8,"")</f>
        <v/>
      </c>
      <c r="D16" s="146" t="str">
        <f>IF($B16="Operating",+'3 IS Reported'!E8,"")</f>
        <v/>
      </c>
      <c r="E16" s="146" t="str">
        <f>IF($B16="Operating",+'3 IS Reported'!F8,"")</f>
        <v/>
      </c>
    </row>
    <row r="17" spans="1:5" x14ac:dyDescent="0.3">
      <c r="A17" t="s">
        <v>23</v>
      </c>
      <c r="B17" s="1" t="str">
        <f>IF(ISBLANK(VLOOKUP(A17,'3 IS Reported'!A:B,2,)),"",VLOOKUP(A17,'3 IS Reported'!A:B,2,))</f>
        <v>Financial</v>
      </c>
      <c r="C17" s="2"/>
      <c r="D17" s="2"/>
      <c r="E17" s="2"/>
    </row>
    <row r="18" spans="1:5" s="13" customFormat="1" x14ac:dyDescent="0.3">
      <c r="A18" s="13" t="s">
        <v>244</v>
      </c>
      <c r="B18" s="92" t="str">
        <f>IF(ISBLANK(VLOOKUP(A18,'3 IS Reported'!A:B,2,)),"",VLOOKUP(A18,'3 IS Reported'!A:B,2,))</f>
        <v/>
      </c>
      <c r="C18" s="146"/>
      <c r="D18" s="146"/>
      <c r="E18" s="146"/>
    </row>
    <row r="19" spans="1:5" x14ac:dyDescent="0.3">
      <c r="B19" s="1"/>
      <c r="C19" s="2"/>
      <c r="D19" s="2"/>
      <c r="E19" s="2"/>
    </row>
    <row r="20" spans="1:5" x14ac:dyDescent="0.3">
      <c r="A20" s="13" t="s">
        <v>154</v>
      </c>
      <c r="B20" s="1" t="str">
        <f>IF(ISBLANK(VLOOKUP(A20,'3 IS Reported'!A:B,2,)),"",VLOOKUP(A20,'3 IS Reported'!A:B,2,))</f>
        <v/>
      </c>
      <c r="C20" s="2" t="str">
        <f>IF($B20="Operating",+'3 IS Reported'!D19,"")</f>
        <v/>
      </c>
      <c r="D20" s="2" t="str">
        <f>IF($B20="Operating",+'3 IS Reported'!E19,"")</f>
        <v/>
      </c>
      <c r="E20" s="2" t="str">
        <f>IF($B20="Operating",+'3 IS Reported'!F19,"")</f>
        <v/>
      </c>
    </row>
    <row r="21" spans="1:5" x14ac:dyDescent="0.3">
      <c r="A21" t="s">
        <v>245</v>
      </c>
      <c r="B21" s="1" t="str">
        <f>IF(ISBLANK(VLOOKUP(A21,'3 IS Reported'!A:B,2,)),"",VLOOKUP(A21,'3 IS Reported'!A:B,2,))</f>
        <v>Operating</v>
      </c>
      <c r="C21" s="2">
        <f>IF($B21="Operating",+'3 IS Reported'!D19,"")</f>
        <v>-254</v>
      </c>
      <c r="D21" s="2">
        <f>IF($B21="Operating",+'3 IS Reported'!E19,"")</f>
        <v>79</v>
      </c>
      <c r="E21" s="2">
        <f>IF($B21="Operating",+'3 IS Reported'!F19,"")</f>
        <v>-48</v>
      </c>
    </row>
    <row r="22" spans="1:5" x14ac:dyDescent="0.3">
      <c r="A22" t="s">
        <v>246</v>
      </c>
      <c r="B22" s="1" t="str">
        <f>IF(ISBLANK(VLOOKUP(A22,'3 IS Reported'!A:B,2,)),"",VLOOKUP(A22,'3 IS Reported'!A:B,2,))</f>
        <v>Operating</v>
      </c>
      <c r="C22" s="2">
        <f>IF($B22="Operating",+'3 IS Reported'!D20,"")</f>
        <v>-28</v>
      </c>
      <c r="D22" s="2">
        <f>IF($B22="Operating",+'3 IS Reported'!E20,"")</f>
        <v>6</v>
      </c>
      <c r="E22" s="2">
        <f>IF($B22="Operating",+'3 IS Reported'!F20,"")</f>
        <v>8</v>
      </c>
    </row>
    <row r="23" spans="1:5" x14ac:dyDescent="0.3">
      <c r="A23" s="74" t="s">
        <v>445</v>
      </c>
      <c r="B23" s="1"/>
      <c r="C23" s="2"/>
      <c r="D23" s="2"/>
      <c r="E23" s="2"/>
    </row>
    <row r="24" spans="1:5" x14ac:dyDescent="0.3">
      <c r="A24" t="s">
        <v>446</v>
      </c>
      <c r="B24" s="1" t="str">
        <f>IF(ISBLANK(VLOOKUP(A24,'3 IS Reported'!A:B,2,)),"",VLOOKUP(A24,'3 IS Reported'!A:B,2,))</f>
        <v>Financial</v>
      </c>
      <c r="C24" s="2" t="str">
        <f>IF($B24="Operating",+'3 IS Reported'!D22,"")</f>
        <v/>
      </c>
      <c r="D24" s="2" t="str">
        <f>IF($B24="Operating",+'3 IS Reported'!E22,"")</f>
        <v/>
      </c>
      <c r="E24" s="2" t="str">
        <f>IF($B24="Operating",+'3 IS Reported'!F22,"")</f>
        <v/>
      </c>
    </row>
    <row r="25" spans="1:5" x14ac:dyDescent="0.3">
      <c r="A25" t="s">
        <v>447</v>
      </c>
      <c r="B25" s="1" t="str">
        <f>IF(ISBLANK(VLOOKUP(A25,'3 IS Reported'!A:B,2,)),"",VLOOKUP(A25,'3 IS Reported'!A:B,2,))</f>
        <v>Operating</v>
      </c>
      <c r="C25" s="2">
        <f>IF($B25="Operating",+'3 IS Reported'!D23,"")</f>
        <v>2</v>
      </c>
      <c r="D25" s="2">
        <f>IF($B25="Operating",+'3 IS Reported'!E23,"")</f>
        <v>1</v>
      </c>
      <c r="E25" s="2">
        <f>IF($B25="Operating",+'3 IS Reported'!F23,"")</f>
        <v>1</v>
      </c>
    </row>
    <row r="26" spans="1:5" x14ac:dyDescent="0.3">
      <c r="A26" t="s">
        <v>248</v>
      </c>
      <c r="B26" s="1" t="str">
        <f>IF(ISBLANK(VLOOKUP(A26,'3 IS Reported'!A:B,2,)),"",VLOOKUP(A26,'3 IS Reported'!A:B,2,))</f>
        <v>Operating</v>
      </c>
      <c r="C26" s="2">
        <f>IF($B26="Operating",+'3 IS Reported'!D24,"")</f>
        <v>63</v>
      </c>
      <c r="D26" s="2">
        <f>IF($B26="Operating",+'3 IS Reported'!E24,"")</f>
        <v>0</v>
      </c>
      <c r="E26" s="2">
        <f>IF($B26="Operating",+'3 IS Reported'!F24,"")</f>
        <v>0</v>
      </c>
    </row>
    <row r="27" spans="1:5" x14ac:dyDescent="0.3">
      <c r="A27" t="s">
        <v>33</v>
      </c>
      <c r="B27" s="1" t="str">
        <f>IF(ISBLANK(VLOOKUP(A27,'3 IS Reported'!A:B,2,)),"",VLOOKUP(A27,'3 IS Reported'!A:B,2,))</f>
        <v>Financial</v>
      </c>
      <c r="C27" s="2" t="str">
        <f>IF($B27="Operating",+'3 IS Reported'!D25,"")</f>
        <v/>
      </c>
      <c r="D27" s="2" t="str">
        <f>IF($B27="Operating",+'3 IS Reported'!E25,"")</f>
        <v/>
      </c>
      <c r="E27" s="2" t="str">
        <f>IF($B27="Operating",+'3 IS Reported'!F25,"")</f>
        <v/>
      </c>
    </row>
    <row r="28" spans="1:5" s="13" customFormat="1" x14ac:dyDescent="0.3">
      <c r="A28" s="13" t="s">
        <v>249</v>
      </c>
      <c r="B28" s="92" t="str">
        <f>IF(ISBLANK(VLOOKUP(A28,'3 IS Reported'!A:B,2,)),"",VLOOKUP(A28,'3 IS Reported'!A:B,2,))</f>
        <v/>
      </c>
      <c r="C28" s="146" t="str">
        <f>IF($B28="Operating",+'3 IS Reported'!D26,"")</f>
        <v/>
      </c>
      <c r="D28" s="146" t="str">
        <f>IF($B28="Operating",+'3 IS Reported'!E26,"")</f>
        <v/>
      </c>
      <c r="E28" s="146" t="str">
        <f>IF($B28="Operating",+'3 IS Reported'!F26,"")</f>
        <v/>
      </c>
    </row>
    <row r="29" spans="1:5" s="13" customFormat="1" x14ac:dyDescent="0.3">
      <c r="B29" s="92"/>
    </row>
    <row r="30" spans="1:5" s="13" customFormat="1" ht="15" thickBot="1" x14ac:dyDescent="0.35">
      <c r="A30" s="13" t="s">
        <v>196</v>
      </c>
      <c r="B30" s="92"/>
      <c r="C30" s="147">
        <f>SUM(C7:C27)</f>
        <v>747</v>
      </c>
      <c r="D30" s="147">
        <f>SUM(D7:D27)</f>
        <v>1506</v>
      </c>
      <c r="E30" s="147">
        <f>SUM(E7:E27)</f>
        <v>1532</v>
      </c>
    </row>
    <row r="31" spans="1:5" ht="15" thickTop="1" x14ac:dyDescent="0.3">
      <c r="B31" s="1"/>
    </row>
    <row r="32" spans="1:5" x14ac:dyDescent="0.3">
      <c r="B32" s="1"/>
    </row>
    <row r="33" spans="1:5" s="13" customFormat="1" ht="15" thickBot="1" x14ac:dyDescent="0.35">
      <c r="B33" s="92"/>
      <c r="C33" s="149">
        <f>+C5</f>
        <v>42735</v>
      </c>
      <c r="D33" s="149">
        <f>+D5</f>
        <v>43099</v>
      </c>
      <c r="E33" s="149">
        <f>+E5</f>
        <v>43463</v>
      </c>
    </row>
    <row r="34" spans="1:5" x14ac:dyDescent="0.3">
      <c r="B34" s="1"/>
      <c r="C34" s="33"/>
      <c r="D34" s="33"/>
      <c r="E34" s="33"/>
    </row>
    <row r="35" spans="1:5" x14ac:dyDescent="0.3">
      <c r="A35" t="s">
        <v>10</v>
      </c>
      <c r="B35" s="1" t="str">
        <f>IF(ISBLANK(VLOOKUP(A35,'3 IS Reported'!A:B,2,)),"",VLOOKUP(A35,'3 IS Reported'!A:B,2,))</f>
        <v>Operating</v>
      </c>
      <c r="C35" s="2" t="str">
        <f>IF($B35="Financial",+'3 IS Reported'!D5,"")</f>
        <v/>
      </c>
      <c r="D35" s="2" t="str">
        <f>IF($B35="Financial",+'3 IS Reported'!E5,"")</f>
        <v/>
      </c>
      <c r="E35" s="2" t="str">
        <f>IF($B35="Financial",+'3 IS Reported'!F5,"")</f>
        <v/>
      </c>
    </row>
    <row r="36" spans="1:5" x14ac:dyDescent="0.3">
      <c r="A36" t="s">
        <v>143</v>
      </c>
      <c r="B36" s="1" t="str">
        <f>IF(ISBLANK(VLOOKUP(A36,'3 IS Reported'!A:B,2,)),"",VLOOKUP(A36,'3 IS Reported'!A:B,2,))</f>
        <v>Operating</v>
      </c>
      <c r="C36" s="2" t="str">
        <f>IF($B36="Financial",+'3 IS Reported'!D6,"")</f>
        <v/>
      </c>
      <c r="D36" s="2" t="str">
        <f>IF($B36="Financial",+'3 IS Reported'!E6,"")</f>
        <v/>
      </c>
      <c r="E36" s="2" t="str">
        <f>IF($B36="Financial",+'3 IS Reported'!F6,"")</f>
        <v/>
      </c>
    </row>
    <row r="37" spans="1:5" x14ac:dyDescent="0.3">
      <c r="A37" t="s">
        <v>239</v>
      </c>
      <c r="B37" s="1" t="str">
        <f>IF(ISBLANK(VLOOKUP(A37,'3 IS Reported'!A:B,2,)),"",VLOOKUP(A37,'3 IS Reported'!A:B,2,))</f>
        <v>Operating</v>
      </c>
      <c r="C37" s="2" t="str">
        <f>IF($B37="Financial",+'3 IS Reported'!D7,"")</f>
        <v/>
      </c>
      <c r="D37" s="2" t="str">
        <f>IF($B37="Financial",+'3 IS Reported'!E7,"")</f>
        <v/>
      </c>
      <c r="E37" s="2" t="str">
        <f>IF($B37="Financial",+'3 IS Reported'!F7,"")</f>
        <v/>
      </c>
    </row>
    <row r="38" spans="1:5" s="13" customFormat="1" x14ac:dyDescent="0.3">
      <c r="A38" s="13" t="s">
        <v>151</v>
      </c>
      <c r="B38" s="92" t="str">
        <f>IF(ISBLANK(VLOOKUP(A38,'3 IS Reported'!A:B,2,)),"",VLOOKUP(A38,'3 IS Reported'!A:B,2,))</f>
        <v/>
      </c>
      <c r="C38" s="146" t="str">
        <f>IF($B38="Financial",+'3 IS Reported'!D8,"")</f>
        <v/>
      </c>
      <c r="D38" s="146" t="str">
        <f>IF($B38="Financial",+'3 IS Reported'!E8,"")</f>
        <v/>
      </c>
      <c r="E38" s="146" t="str">
        <f>IF($B38="Financial",+'3 IS Reported'!F8,"")</f>
        <v/>
      </c>
    </row>
    <row r="39" spans="1:5" x14ac:dyDescent="0.3">
      <c r="A39" t="s">
        <v>3</v>
      </c>
      <c r="B39" s="1" t="str">
        <f>IF(ISBLANK(VLOOKUP(A39,'3 IS Reported'!A:B,2,)),"",VLOOKUP(A39,'3 IS Reported'!A:B,2,))</f>
        <v>Financial</v>
      </c>
      <c r="C39" s="2">
        <f>IF($B39="Financial",+'3 IS Reported'!D9,"")</f>
        <v>-406</v>
      </c>
      <c r="D39" s="2">
        <f>IF($B39="Financial",+'3 IS Reported'!E9,"")</f>
        <v>-256</v>
      </c>
      <c r="E39" s="2">
        <f>IF($B39="Financial",+'3 IS Reported'!F9,"")</f>
        <v>-287</v>
      </c>
    </row>
    <row r="40" spans="1:5" x14ac:dyDescent="0.3">
      <c r="A40" t="s">
        <v>240</v>
      </c>
      <c r="B40" s="1" t="str">
        <f>IF(ISBLANK(VLOOKUP(A40,'3 IS Reported'!A:B,2,)),"",VLOOKUP(A40,'3 IS Reported'!A:B,2,))</f>
        <v>Operating</v>
      </c>
      <c r="C40" s="2" t="str">
        <f>IF($B40="Financial",+'3 IS Reported'!D10,"")</f>
        <v/>
      </c>
      <c r="D40" s="2" t="str">
        <f>IF($B40="Financial",+'3 IS Reported'!E10,"")</f>
        <v/>
      </c>
      <c r="E40" s="2" t="str">
        <f>IF($B40="Financial",+'3 IS Reported'!F10,"")</f>
        <v/>
      </c>
    </row>
    <row r="41" spans="1:5" s="13" customFormat="1" x14ac:dyDescent="0.3">
      <c r="A41" s="13" t="s">
        <v>241</v>
      </c>
      <c r="B41" s="92" t="str">
        <f>IF(ISBLANK(VLOOKUP(A41,'3 IS Reported'!A:B,2,)),"",VLOOKUP(A41,'3 IS Reported'!A:B,2,))</f>
        <v/>
      </c>
      <c r="C41" s="146" t="str">
        <f>IF($B41="Financial",+'3 IS Reported'!D11,"")</f>
        <v/>
      </c>
      <c r="D41" s="146" t="str">
        <f>IF($B41="Financial",+'3 IS Reported'!E11,"")</f>
        <v/>
      </c>
      <c r="E41" s="146" t="str">
        <f>IF($B41="Financial",+'3 IS Reported'!F11,"")</f>
        <v/>
      </c>
    </row>
    <row r="42" spans="1:5" x14ac:dyDescent="0.3">
      <c r="A42" t="s">
        <v>242</v>
      </c>
      <c r="B42" s="1" t="str">
        <f>IF(ISBLANK(VLOOKUP(A42,'3 IS Reported'!A:B,2,)),"",VLOOKUP(A42,'3 IS Reported'!A:B,2,))</f>
        <v>Split</v>
      </c>
      <c r="C42" s="2">
        <f>ROUND(-SUM(C35:C41)*C$1,0)</f>
        <v>142</v>
      </c>
      <c r="D42" s="2">
        <f>ROUND(-SUM(D35:D41)*D$1,0)</f>
        <v>90</v>
      </c>
      <c r="E42" s="2">
        <f>ROUND(-SUM(E35:E41)*E$1,0)</f>
        <v>60</v>
      </c>
    </row>
    <row r="43" spans="1:5" x14ac:dyDescent="0.3">
      <c r="A43" t="s">
        <v>243</v>
      </c>
      <c r="B43" s="1" t="str">
        <f>IF(ISBLANK(VLOOKUP(A43,'3 IS Reported'!A:B,2,)),"",VLOOKUP(A43,'3 IS Reported'!A:B,2,))</f>
        <v>Operating</v>
      </c>
      <c r="C43" s="2" t="str">
        <f>IF($B43="Financial",+'3 IS Reported'!D13,"")</f>
        <v/>
      </c>
      <c r="D43" s="2" t="str">
        <f>IF($B43="Financial",+'3 IS Reported'!E13,"")</f>
        <v/>
      </c>
      <c r="E43" s="2" t="str">
        <f>IF($B43="Financial",+'3 IS Reported'!F13,"")</f>
        <v/>
      </c>
    </row>
    <row r="44" spans="1:5" s="13" customFormat="1" x14ac:dyDescent="0.3">
      <c r="A44" s="13" t="s">
        <v>153</v>
      </c>
      <c r="B44" s="92" t="str">
        <f>IF(ISBLANK(VLOOKUP(A44,'3 IS Reported'!A:B,2,)),"",VLOOKUP(A44,'3 IS Reported'!A:B,2,))</f>
        <v/>
      </c>
      <c r="C44" s="146" t="str">
        <f>IF($B44="Financial",+'3 IS Reported'!D14,"")</f>
        <v/>
      </c>
      <c r="D44" s="146" t="str">
        <f>IF($B44="Financial",+'3 IS Reported'!E14,"")</f>
        <v/>
      </c>
      <c r="E44" s="146" t="str">
        <f>IF($B44="Financial",+'3 IS Reported'!F14,"")</f>
        <v/>
      </c>
    </row>
    <row r="45" spans="1:5" x14ac:dyDescent="0.3">
      <c r="A45" t="s">
        <v>23</v>
      </c>
      <c r="B45" s="1" t="str">
        <f>IF(ISBLANK(VLOOKUP(A45,'3 IS Reported'!A:B,2,)),"",VLOOKUP(A45,'3 IS Reported'!A:B,2,))</f>
        <v>Financial</v>
      </c>
      <c r="C45" s="2">
        <f>IF($B45="Financial",+'3 IS Reported'!D15,"")</f>
        <v>-1</v>
      </c>
      <c r="D45" s="2">
        <f>IF($B45="Financial",+'3 IS Reported'!E15,"")</f>
        <v>0</v>
      </c>
      <c r="E45" s="2">
        <f>IF($B45="Financial",+'3 IS Reported'!F15,"")</f>
        <v>-8</v>
      </c>
    </row>
    <row r="46" spans="1:5" s="13" customFormat="1" x14ac:dyDescent="0.3">
      <c r="A46" s="13" t="s">
        <v>244</v>
      </c>
      <c r="B46" s="92" t="str">
        <f>IF(ISBLANK(VLOOKUP(A46,'3 IS Reported'!A:B,2,)),"",VLOOKUP(A46,'3 IS Reported'!A:B,2,))</f>
        <v/>
      </c>
      <c r="C46" s="146" t="str">
        <f>IF($B46="Financial",+'3 IS Reported'!D16,"")</f>
        <v/>
      </c>
      <c r="D46" s="146" t="str">
        <f>IF($B46="Financial",+'3 IS Reported'!E16,"")</f>
        <v/>
      </c>
      <c r="E46" s="146" t="str">
        <f>IF($B46="Financial",+'3 IS Reported'!F16,"")</f>
        <v/>
      </c>
    </row>
    <row r="47" spans="1:5" x14ac:dyDescent="0.3">
      <c r="B47" s="1"/>
      <c r="C47" s="2"/>
      <c r="D47" s="2"/>
      <c r="E47" s="2"/>
    </row>
    <row r="48" spans="1:5" x14ac:dyDescent="0.3">
      <c r="A48" s="13" t="s">
        <v>154</v>
      </c>
      <c r="B48" s="1" t="str">
        <f>IF(ISBLANK(VLOOKUP(A48,'3 IS Reported'!A:B,2,)),"",VLOOKUP(A48,'3 IS Reported'!A:B,2,))</f>
        <v/>
      </c>
      <c r="C48" s="2" t="str">
        <f>IF($B48="Financial",+'3 IS Reported'!D18,"")</f>
        <v/>
      </c>
      <c r="D48" s="2" t="str">
        <f>IF($B48="Financial",+'3 IS Reported'!E18,"")</f>
        <v/>
      </c>
      <c r="E48" s="2" t="str">
        <f>IF($B48="Financial",+'3 IS Reported'!F18,"")</f>
        <v/>
      </c>
    </row>
    <row r="49" spans="1:5" x14ac:dyDescent="0.3">
      <c r="A49" t="s">
        <v>245</v>
      </c>
      <c r="B49" s="1" t="str">
        <f>IF(ISBLANK(VLOOKUP(A49,'3 IS Reported'!A:B,2,)),"",VLOOKUP(A49,'3 IS Reported'!A:B,2,))</f>
        <v>Operating</v>
      </c>
      <c r="C49" s="2" t="str">
        <f>IF($B49="Financial",+'3 IS Reported'!D19,"")</f>
        <v/>
      </c>
      <c r="D49" s="2" t="str">
        <f>IF($B49="Financial",+'3 IS Reported'!E19,"")</f>
        <v/>
      </c>
      <c r="E49" s="2" t="str">
        <f>IF($B49="Financial",+'3 IS Reported'!F19,"")</f>
        <v/>
      </c>
    </row>
    <row r="50" spans="1:5" x14ac:dyDescent="0.3">
      <c r="A50" t="s">
        <v>246</v>
      </c>
      <c r="B50" s="1" t="str">
        <f>IF(ISBLANK(VLOOKUP(A50,'3 IS Reported'!A:B,2,)),"",VLOOKUP(A50,'3 IS Reported'!A:B,2,))</f>
        <v>Operating</v>
      </c>
      <c r="C50" s="2" t="str">
        <f>IF($B50="Financial",+'3 IS Reported'!D20,"")</f>
        <v/>
      </c>
      <c r="D50" s="2" t="str">
        <f>IF($B50="Financial",+'3 IS Reported'!E20,"")</f>
        <v/>
      </c>
      <c r="E50" s="2" t="str">
        <f>IF($B50="Financial",+'3 IS Reported'!F20,"")</f>
        <v/>
      </c>
    </row>
    <row r="51" spans="1:5" x14ac:dyDescent="0.3">
      <c r="A51" t="s">
        <v>446</v>
      </c>
      <c r="B51" s="1" t="str">
        <f>IF(ISBLANK(VLOOKUP(A51,'3 IS Reported'!A:B,2,)),"",VLOOKUP(A51,'3 IS Reported'!A:B,2,))</f>
        <v>Financial</v>
      </c>
      <c r="C51" s="2">
        <f>IF($B51="Financial",+'3 IS Reported'!D22,"")</f>
        <v>18</v>
      </c>
      <c r="D51" s="2">
        <f>IF($B51="Financial",+'3 IS Reported'!E22,"")</f>
        <v>32</v>
      </c>
      <c r="E51" s="2">
        <f>IF($B51="Financial",+'3 IS Reported'!F22,"")</f>
        <v>-11</v>
      </c>
    </row>
    <row r="52" spans="1:5" x14ac:dyDescent="0.3">
      <c r="A52" t="s">
        <v>447</v>
      </c>
      <c r="B52" s="1" t="str">
        <f>IF(ISBLANK(VLOOKUP(A52,'3 IS Reported'!A:B,2,)),"",VLOOKUP(A52,'3 IS Reported'!A:B,2,))</f>
        <v>Operating</v>
      </c>
      <c r="C52" s="2" t="str">
        <f>IF($B52="Financial",+'3 IS Reported'!D23,"")</f>
        <v/>
      </c>
      <c r="D52" s="2" t="str">
        <f>IF($B52="Financial",+'3 IS Reported'!E23,"")</f>
        <v/>
      </c>
      <c r="E52" s="2" t="str">
        <f>IF($B52="Financial",+'3 IS Reported'!F23,"")</f>
        <v/>
      </c>
    </row>
    <row r="53" spans="1:5" x14ac:dyDescent="0.3">
      <c r="A53" t="s">
        <v>248</v>
      </c>
      <c r="B53" s="1" t="str">
        <f>IF(ISBLANK(VLOOKUP(A53,'3 IS Reported'!A:B,2,)),"",VLOOKUP(A53,'3 IS Reported'!A:B,2,))</f>
        <v>Operating</v>
      </c>
      <c r="C53" s="2" t="str">
        <f>IF($B53="Financial",+'3 IS Reported'!D24,"")</f>
        <v/>
      </c>
      <c r="D53" s="2" t="str">
        <f>IF($B53="Financial",+'3 IS Reported'!E24,"")</f>
        <v/>
      </c>
      <c r="E53" s="2" t="str">
        <f>IF($B53="Financial",+'3 IS Reported'!F24,"")</f>
        <v/>
      </c>
    </row>
    <row r="54" spans="1:5" x14ac:dyDescent="0.3">
      <c r="A54" t="s">
        <v>33</v>
      </c>
      <c r="B54" s="1" t="str">
        <f>IF(ISBLANK(VLOOKUP(A54,'3 IS Reported'!A:B,2,)),"",VLOOKUP(A54,'3 IS Reported'!A:B,2,))</f>
        <v>Financial</v>
      </c>
      <c r="C54" s="2">
        <f>IF($B54="Financial",+'3 IS Reported'!D25,"")</f>
        <v>0</v>
      </c>
      <c r="D54" s="2">
        <f>IF($B54="Financial",+'3 IS Reported'!E25,"")</f>
        <v>0</v>
      </c>
      <c r="E54" s="2">
        <f>IF($B54="Financial",+'3 IS Reported'!F25,"")</f>
        <v>7</v>
      </c>
    </row>
    <row r="55" spans="1:5" s="13" customFormat="1" x14ac:dyDescent="0.3">
      <c r="A55" s="13" t="s">
        <v>249</v>
      </c>
      <c r="B55" s="92" t="str">
        <f>IF(ISBLANK(VLOOKUP(A55,'3 IS Reported'!A:B,2,)),"",VLOOKUP(A55,'3 IS Reported'!A:B,2,))</f>
        <v/>
      </c>
      <c r="C55" s="146" t="str">
        <f>IF($B55="Financial",+'3 IS Reported'!D26,"")</f>
        <v/>
      </c>
      <c r="D55" s="146" t="str">
        <f>IF($B55="Financial",+'3 IS Reported'!E26,"")</f>
        <v/>
      </c>
      <c r="E55" s="146" t="str">
        <f>IF($B55="Financial",+'3 IS Reported'!F26,"")</f>
        <v/>
      </c>
    </row>
    <row r="56" spans="1:5" s="13" customFormat="1" x14ac:dyDescent="0.3"/>
    <row r="57" spans="1:5" s="13" customFormat="1" ht="15" thickBot="1" x14ac:dyDescent="0.35">
      <c r="A57" s="13" t="s">
        <v>29</v>
      </c>
      <c r="C57" s="147">
        <f>SUM(C35:C55)</f>
        <v>-247</v>
      </c>
      <c r="D57" s="147">
        <f>SUM(D35:D55)</f>
        <v>-134</v>
      </c>
      <c r="E57" s="147">
        <f>SUM(E35:E55)</f>
        <v>-239</v>
      </c>
    </row>
    <row r="58" spans="1:5" ht="15" thickTop="1" x14ac:dyDescent="0.3"/>
    <row r="60" spans="1:5" x14ac:dyDescent="0.3">
      <c r="A60" s="12" t="s">
        <v>118</v>
      </c>
    </row>
    <row r="61" spans="1:5" x14ac:dyDescent="0.3">
      <c r="A61" s="12" t="str">
        <f>CONCATENATE("Comprehensive Income attributable to ",'3 BS Reported'!$B$1," from above")</f>
        <v>Comprehensive Income attributable to K from above</v>
      </c>
      <c r="C61" s="2">
        <f>+C30+C57</f>
        <v>500</v>
      </c>
      <c r="D61" s="2">
        <f>+D30+D57</f>
        <v>1372</v>
      </c>
      <c r="E61" s="2">
        <f>+E30+E57</f>
        <v>1293</v>
      </c>
    </row>
    <row r="62" spans="1:5" x14ac:dyDescent="0.3">
      <c r="A62" s="12" t="str">
        <f>CONCATENATE("Difference from comprehensive income attrib to ",'3 BS Reported'!$B$1," from IS Reported")</f>
        <v>Difference from comprehensive income attrib to K from IS Reported</v>
      </c>
      <c r="C62" s="2">
        <f>+C61-'3 IS Reported'!D26</f>
        <v>0</v>
      </c>
      <c r="D62" s="2">
        <f>+D61-'3 IS Reported'!E26</f>
        <v>0</v>
      </c>
      <c r="E62" s="2">
        <f>+E61-'3 IS Reported'!F26</f>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E269"/>
  <sheetViews>
    <sheetView workbookViewId="0">
      <pane xSplit="1" ySplit="2" topLeftCell="B246" activePane="bottomRight" state="frozen"/>
      <selection activeCell="H23" sqref="H23"/>
      <selection pane="topRight" activeCell="H23" sqref="H23"/>
      <selection pane="bottomLeft" activeCell="H23" sqref="H23"/>
      <selection pane="bottomRight" activeCell="G105" sqref="G105"/>
    </sheetView>
  </sheetViews>
  <sheetFormatPr defaultRowHeight="14.4" x14ac:dyDescent="0.3"/>
  <cols>
    <col min="1" max="1" width="56.88671875" bestFit="1" customWidth="1"/>
    <col min="2" max="2" width="8.77734375" bestFit="1" customWidth="1"/>
    <col min="3" max="5" width="10.77734375" bestFit="1" customWidth="1"/>
  </cols>
  <sheetData>
    <row r="2" spans="1:5" ht="15" thickBot="1" x14ac:dyDescent="0.35">
      <c r="B2" s="93">
        <f>+'3 IS Reported'!C3</f>
        <v>42371</v>
      </c>
      <c r="C2" s="93">
        <f>+'3 IS Reported'!D3</f>
        <v>42735</v>
      </c>
      <c r="D2" s="93">
        <f>+'3 IS Reported'!E3</f>
        <v>43099</v>
      </c>
      <c r="E2" s="93">
        <f>+'3 IS Reported'!F3</f>
        <v>43463</v>
      </c>
    </row>
    <row r="3" spans="1:5" x14ac:dyDescent="0.3">
      <c r="A3" s="13" t="s">
        <v>255</v>
      </c>
      <c r="B3" s="8"/>
      <c r="C3" s="8"/>
      <c r="D3" s="8"/>
      <c r="E3" s="8"/>
    </row>
    <row r="4" spans="1:5" x14ac:dyDescent="0.3">
      <c r="A4" s="13" t="s">
        <v>316</v>
      </c>
      <c r="B4" s="8"/>
      <c r="C4" s="8"/>
      <c r="D4" s="8"/>
      <c r="E4" s="8"/>
    </row>
    <row r="5" spans="1:5" x14ac:dyDescent="0.3">
      <c r="A5" t="s">
        <v>256</v>
      </c>
      <c r="B5" s="8">
        <v>131</v>
      </c>
      <c r="C5" s="8">
        <v>131</v>
      </c>
      <c r="D5" s="8">
        <v>131</v>
      </c>
      <c r="E5" s="52">
        <v>131</v>
      </c>
    </row>
    <row r="6" spans="1:5" x14ac:dyDescent="0.3">
      <c r="A6" t="s">
        <v>257</v>
      </c>
      <c r="B6" s="8">
        <v>3568</v>
      </c>
      <c r="C6" s="8">
        <v>3568</v>
      </c>
      <c r="D6" s="8">
        <v>3568</v>
      </c>
      <c r="E6" s="52">
        <v>3568</v>
      </c>
    </row>
    <row r="7" spans="1:5" x14ac:dyDescent="0.3">
      <c r="A7" t="s">
        <v>258</v>
      </c>
      <c r="B7" s="8">
        <v>82</v>
      </c>
      <c r="C7" s="8">
        <v>82</v>
      </c>
      <c r="D7" s="8">
        <v>82</v>
      </c>
      <c r="E7" s="52">
        <v>82</v>
      </c>
    </row>
    <row r="8" spans="1:5" x14ac:dyDescent="0.3">
      <c r="A8" t="s">
        <v>259</v>
      </c>
      <c r="B8" s="8">
        <v>456</v>
      </c>
      <c r="C8" s="8">
        <v>457</v>
      </c>
      <c r="D8" s="8">
        <v>836</v>
      </c>
      <c r="E8" s="52">
        <v>830</v>
      </c>
    </row>
    <row r="9" spans="1:5" x14ac:dyDescent="0.3">
      <c r="A9" t="s">
        <v>260</v>
      </c>
      <c r="B9" s="8">
        <v>431</v>
      </c>
      <c r="C9" s="8">
        <v>376</v>
      </c>
      <c r="D9" s="8">
        <v>414</v>
      </c>
      <c r="E9" s="52">
        <v>392</v>
      </c>
    </row>
    <row r="10" spans="1:5" x14ac:dyDescent="0.3">
      <c r="A10" t="s">
        <v>261</v>
      </c>
      <c r="B10" s="8">
        <v>76</v>
      </c>
      <c r="C10" s="8">
        <v>328</v>
      </c>
      <c r="D10" s="8">
        <v>244</v>
      </c>
      <c r="E10" s="52">
        <v>218</v>
      </c>
    </row>
    <row r="11" spans="1:5" x14ac:dyDescent="0.3">
      <c r="A11" t="s">
        <v>262</v>
      </c>
      <c r="B11" s="8">
        <v>224</v>
      </c>
      <c r="C11" s="8">
        <v>224</v>
      </c>
      <c r="D11" s="8">
        <v>229</v>
      </c>
      <c r="E11" s="52">
        <v>829</v>
      </c>
    </row>
    <row r="12" spans="1:5" ht="15" thickBot="1" x14ac:dyDescent="0.35">
      <c r="B12" s="17">
        <f>SUM(B5:B11)</f>
        <v>4968</v>
      </c>
      <c r="C12" s="17">
        <f>SUM(C5:C11)</f>
        <v>5166</v>
      </c>
      <c r="D12" s="17">
        <f>SUM(D5:D11)</f>
        <v>5504</v>
      </c>
      <c r="E12" s="172">
        <f>SUM(E5:E11)</f>
        <v>6050</v>
      </c>
    </row>
    <row r="13" spans="1:5" ht="15" thickTop="1" x14ac:dyDescent="0.3">
      <c r="B13" s="8"/>
      <c r="C13" s="8"/>
      <c r="D13" s="8"/>
      <c r="E13" s="8"/>
    </row>
    <row r="14" spans="1:5" x14ac:dyDescent="0.3">
      <c r="A14" s="13" t="s">
        <v>317</v>
      </c>
      <c r="B14" s="8"/>
      <c r="C14" s="8"/>
      <c r="D14" s="8"/>
      <c r="E14" s="8"/>
    </row>
    <row r="15" spans="1:5" x14ac:dyDescent="0.3">
      <c r="A15" t="s">
        <v>256</v>
      </c>
      <c r="B15" s="8">
        <v>8</v>
      </c>
      <c r="C15" s="8">
        <v>8</v>
      </c>
      <c r="D15" s="8">
        <v>8</v>
      </c>
      <c r="E15" s="52">
        <v>8</v>
      </c>
    </row>
    <row r="16" spans="1:5" x14ac:dyDescent="0.3">
      <c r="A16" t="s">
        <v>257</v>
      </c>
      <c r="B16" s="8">
        <v>42</v>
      </c>
      <c r="C16" s="8">
        <v>42</v>
      </c>
      <c r="D16" s="8">
        <v>42</v>
      </c>
      <c r="E16" s="52">
        <v>42</v>
      </c>
    </row>
    <row r="17" spans="1:5" x14ac:dyDescent="0.3">
      <c r="A17" t="s">
        <v>258</v>
      </c>
      <c r="B17" s="8">
        <v>0</v>
      </c>
      <c r="C17" s="8">
        <v>0</v>
      </c>
      <c r="D17" s="8">
        <v>0</v>
      </c>
      <c r="E17" s="52">
        <v>0</v>
      </c>
    </row>
    <row r="18" spans="1:5" x14ac:dyDescent="0.3">
      <c r="A18" t="s">
        <v>259</v>
      </c>
      <c r="B18" s="8">
        <v>5</v>
      </c>
      <c r="C18" s="8">
        <v>5</v>
      </c>
      <c r="D18" s="8">
        <v>22</v>
      </c>
      <c r="E18" s="52">
        <v>24</v>
      </c>
    </row>
    <row r="19" spans="1:5" x14ac:dyDescent="0.3">
      <c r="A19" t="s">
        <v>260</v>
      </c>
      <c r="B19" s="8">
        <v>45</v>
      </c>
      <c r="C19" s="8">
        <v>40</v>
      </c>
      <c r="D19" s="8">
        <v>45</v>
      </c>
      <c r="E19" s="52">
        <v>43</v>
      </c>
    </row>
    <row r="20" spans="1:5" x14ac:dyDescent="0.3">
      <c r="A20" t="s">
        <v>261</v>
      </c>
      <c r="B20" s="8">
        <v>6</v>
      </c>
      <c r="C20" s="8">
        <v>36</v>
      </c>
      <c r="D20" s="8">
        <v>74</v>
      </c>
      <c r="E20" s="52">
        <v>63</v>
      </c>
    </row>
    <row r="21" spans="1:5" x14ac:dyDescent="0.3">
      <c r="A21" t="s">
        <v>262</v>
      </c>
      <c r="B21" s="8">
        <v>10</v>
      </c>
      <c r="C21" s="8">
        <v>10</v>
      </c>
      <c r="D21" s="8">
        <v>10</v>
      </c>
      <c r="E21" s="52">
        <v>428</v>
      </c>
    </row>
    <row r="22" spans="1:5" ht="15" thickBot="1" x14ac:dyDescent="0.35">
      <c r="B22" s="17">
        <f>SUM(B15:B21)</f>
        <v>116</v>
      </c>
      <c r="C22" s="17">
        <f>SUM(C15:C21)</f>
        <v>141</v>
      </c>
      <c r="D22" s="17">
        <f>SUM(D15:D21)</f>
        <v>201</v>
      </c>
      <c r="E22" s="172">
        <f>SUM(E15:E21)</f>
        <v>608</v>
      </c>
    </row>
    <row r="23" spans="1:5" ht="15" thickTop="1" x14ac:dyDescent="0.3">
      <c r="B23" s="8"/>
      <c r="C23" s="8"/>
      <c r="D23" s="8"/>
      <c r="E23" s="8"/>
    </row>
    <row r="24" spans="1:5" x14ac:dyDescent="0.3">
      <c r="A24" s="13" t="s">
        <v>318</v>
      </c>
      <c r="B24" s="8"/>
      <c r="C24" s="8"/>
      <c r="D24" s="8"/>
      <c r="E24" s="8"/>
    </row>
    <row r="25" spans="1:5" x14ac:dyDescent="0.3">
      <c r="A25" t="s">
        <v>256</v>
      </c>
      <c r="B25" s="8">
        <v>8</v>
      </c>
      <c r="C25" s="8">
        <v>8</v>
      </c>
      <c r="D25" s="8">
        <v>8</v>
      </c>
      <c r="E25" s="52">
        <v>8</v>
      </c>
    </row>
    <row r="26" spans="1:5" x14ac:dyDescent="0.3">
      <c r="A26" t="s">
        <v>257</v>
      </c>
      <c r="B26" s="8">
        <v>16</v>
      </c>
      <c r="C26" s="8">
        <v>19</v>
      </c>
      <c r="D26" s="8">
        <v>22</v>
      </c>
      <c r="E26" s="52">
        <v>25</v>
      </c>
    </row>
    <row r="27" spans="1:5" x14ac:dyDescent="0.3">
      <c r="A27" t="s">
        <v>258</v>
      </c>
      <c r="B27" s="8">
        <v>0</v>
      </c>
      <c r="C27" s="8">
        <v>0</v>
      </c>
      <c r="D27" s="8">
        <v>0</v>
      </c>
      <c r="E27" s="52">
        <v>0</v>
      </c>
    </row>
    <row r="28" spans="1:5" x14ac:dyDescent="0.3">
      <c r="A28" t="s">
        <v>259</v>
      </c>
      <c r="B28" s="8">
        <v>4</v>
      </c>
      <c r="C28" s="8">
        <v>4</v>
      </c>
      <c r="D28" s="8">
        <v>5</v>
      </c>
      <c r="E28" s="52">
        <v>6</v>
      </c>
    </row>
    <row r="29" spans="1:5" x14ac:dyDescent="0.3">
      <c r="A29" t="s">
        <v>260</v>
      </c>
      <c r="B29" s="8">
        <v>11</v>
      </c>
      <c r="C29" s="8">
        <v>14</v>
      </c>
      <c r="D29" s="8">
        <v>18</v>
      </c>
      <c r="E29" s="52">
        <v>20</v>
      </c>
    </row>
    <row r="30" spans="1:5" x14ac:dyDescent="0.3">
      <c r="A30" t="s">
        <v>261</v>
      </c>
      <c r="B30" s="8">
        <v>6</v>
      </c>
      <c r="C30" s="8">
        <v>6</v>
      </c>
      <c r="D30" s="8">
        <v>10</v>
      </c>
      <c r="E30" s="52">
        <v>12</v>
      </c>
    </row>
    <row r="31" spans="1:5" x14ac:dyDescent="0.3">
      <c r="A31" t="s">
        <v>262</v>
      </c>
      <c r="B31" s="8">
        <v>2</v>
      </c>
      <c r="C31" s="8">
        <v>3</v>
      </c>
      <c r="D31" s="8">
        <v>4</v>
      </c>
      <c r="E31" s="52">
        <v>16</v>
      </c>
    </row>
    <row r="32" spans="1:5" ht="15" thickBot="1" x14ac:dyDescent="0.35">
      <c r="B32" s="17">
        <f>SUM(B25:B31)</f>
        <v>47</v>
      </c>
      <c r="C32" s="17">
        <f>SUM(C25:C31)</f>
        <v>54</v>
      </c>
      <c r="D32" s="17">
        <f>SUM(D25:D31)</f>
        <v>67</v>
      </c>
      <c r="E32" s="172">
        <f>SUM(E25:E31)</f>
        <v>87</v>
      </c>
    </row>
    <row r="33" spans="1:5" ht="15" thickTop="1" x14ac:dyDescent="0.3">
      <c r="B33" s="22"/>
      <c r="C33" s="22"/>
      <c r="D33" s="22"/>
      <c r="E33" s="22"/>
    </row>
    <row r="34" spans="1:5" x14ac:dyDescent="0.3">
      <c r="A34" s="13" t="s">
        <v>319</v>
      </c>
      <c r="B34" s="8"/>
      <c r="C34" s="8"/>
      <c r="D34" s="8"/>
      <c r="E34" s="8"/>
    </row>
    <row r="35" spans="1:5" x14ac:dyDescent="0.3">
      <c r="A35" t="s">
        <v>256</v>
      </c>
      <c r="B35" s="8">
        <v>0</v>
      </c>
      <c r="C35" s="8">
        <v>0</v>
      </c>
      <c r="D35" s="8">
        <v>0</v>
      </c>
      <c r="E35" s="52">
        <v>0</v>
      </c>
    </row>
    <row r="36" spans="1:5" x14ac:dyDescent="0.3">
      <c r="A36" t="s">
        <v>257</v>
      </c>
      <c r="B36" s="8">
        <v>1625</v>
      </c>
      <c r="C36" s="8">
        <v>1625</v>
      </c>
      <c r="D36" s="8">
        <v>1625</v>
      </c>
      <c r="E36" s="52">
        <v>1625</v>
      </c>
    </row>
    <row r="37" spans="1:5" x14ac:dyDescent="0.3">
      <c r="A37" t="s">
        <v>258</v>
      </c>
      <c r="B37" s="8">
        <v>0</v>
      </c>
      <c r="C37" s="8">
        <v>0</v>
      </c>
      <c r="D37" s="8">
        <v>0</v>
      </c>
      <c r="E37" s="52">
        <v>0</v>
      </c>
    </row>
    <row r="38" spans="1:5" x14ac:dyDescent="0.3">
      <c r="A38" t="s">
        <v>259</v>
      </c>
      <c r="B38" s="8">
        <v>158</v>
      </c>
      <c r="C38" s="8">
        <v>176</v>
      </c>
      <c r="D38" s="8">
        <v>360</v>
      </c>
      <c r="E38" s="52">
        <v>360</v>
      </c>
    </row>
    <row r="39" spans="1:5" x14ac:dyDescent="0.3">
      <c r="A39" t="s">
        <v>260</v>
      </c>
      <c r="B39" s="8">
        <v>416</v>
      </c>
      <c r="C39" s="8">
        <v>383</v>
      </c>
      <c r="D39" s="8">
        <v>434</v>
      </c>
      <c r="E39" s="52">
        <v>415</v>
      </c>
    </row>
    <row r="40" spans="1:5" x14ac:dyDescent="0.3">
      <c r="A40" t="s">
        <v>261</v>
      </c>
      <c r="B40" s="8">
        <v>0</v>
      </c>
      <c r="C40" s="8">
        <v>98</v>
      </c>
      <c r="D40" s="8">
        <v>86</v>
      </c>
      <c r="E40" s="52">
        <v>73</v>
      </c>
    </row>
    <row r="41" spans="1:5" x14ac:dyDescent="0.3">
      <c r="A41" t="s">
        <v>262</v>
      </c>
      <c r="B41" s="8">
        <v>0</v>
      </c>
      <c r="C41" s="8">
        <v>0</v>
      </c>
      <c r="D41" s="8">
        <v>0</v>
      </c>
      <c r="E41" s="52">
        <v>367</v>
      </c>
    </row>
    <row r="42" spans="1:5" ht="15" thickBot="1" x14ac:dyDescent="0.35">
      <c r="B42" s="17">
        <f>SUM(B35:B41)</f>
        <v>2199</v>
      </c>
      <c r="C42" s="17">
        <f>SUM(C35:C41)</f>
        <v>2282</v>
      </c>
      <c r="D42" s="17">
        <f>SUM(D35:D41)</f>
        <v>2505</v>
      </c>
      <c r="E42" s="172">
        <f>SUM(E35:E41)</f>
        <v>2840</v>
      </c>
    </row>
    <row r="43" spans="1:5" ht="15" thickTop="1" x14ac:dyDescent="0.3">
      <c r="B43" s="22"/>
      <c r="C43" s="22"/>
      <c r="D43" s="22"/>
      <c r="E43" s="22"/>
    </row>
    <row r="44" spans="1:5" x14ac:dyDescent="0.3">
      <c r="A44" s="13" t="s">
        <v>53</v>
      </c>
      <c r="B44" s="22"/>
      <c r="C44" s="22"/>
      <c r="D44" s="22"/>
      <c r="E44" s="22"/>
    </row>
    <row r="45" spans="1:5" x14ac:dyDescent="0.3">
      <c r="A45" s="13" t="s">
        <v>324</v>
      </c>
      <c r="B45" s="22"/>
      <c r="C45" s="22"/>
      <c r="D45" s="22"/>
      <c r="E45" s="22"/>
    </row>
    <row r="46" spans="1:5" x14ac:dyDescent="0.3">
      <c r="A46" t="s">
        <v>325</v>
      </c>
      <c r="B46" s="8">
        <v>899</v>
      </c>
      <c r="C46" s="8">
        <v>80</v>
      </c>
      <c r="D46" s="8">
        <v>196</v>
      </c>
      <c r="E46" s="52">
        <v>15</v>
      </c>
    </row>
    <row r="47" spans="1:5" x14ac:dyDescent="0.3">
      <c r="A47" t="s">
        <v>326</v>
      </c>
      <c r="B47" s="8">
        <v>261</v>
      </c>
      <c r="C47" s="8">
        <v>306</v>
      </c>
      <c r="D47" s="8">
        <v>96</v>
      </c>
      <c r="E47" s="52">
        <v>0</v>
      </c>
    </row>
    <row r="48" spans="1:5" x14ac:dyDescent="0.3">
      <c r="A48" t="s">
        <v>327</v>
      </c>
      <c r="B48" s="8">
        <v>44</v>
      </c>
      <c r="C48" s="8">
        <v>52</v>
      </c>
      <c r="D48" s="8">
        <v>78</v>
      </c>
      <c r="E48" s="52">
        <v>161</v>
      </c>
    </row>
    <row r="49" spans="1:5" ht="15" thickBot="1" x14ac:dyDescent="0.35">
      <c r="B49" s="35">
        <f>SUM(B46:B48)</f>
        <v>1204</v>
      </c>
      <c r="C49" s="35">
        <f>SUM(C46:C48)</f>
        <v>438</v>
      </c>
      <c r="D49" s="35">
        <f>SUM(D46:D48)</f>
        <v>370</v>
      </c>
      <c r="E49" s="173">
        <f>SUM(E46:E48)</f>
        <v>176</v>
      </c>
    </row>
    <row r="50" spans="1:5" ht="15" thickTop="1" x14ac:dyDescent="0.3">
      <c r="B50" s="22"/>
      <c r="C50" s="22"/>
      <c r="D50" s="22"/>
      <c r="E50" s="22"/>
    </row>
    <row r="51" spans="1:5" x14ac:dyDescent="0.3">
      <c r="B51" s="22"/>
      <c r="C51" s="22"/>
      <c r="D51" s="22"/>
      <c r="E51" s="22"/>
    </row>
    <row r="52" spans="1:5" x14ac:dyDescent="0.3">
      <c r="A52" s="13" t="s">
        <v>263</v>
      </c>
      <c r="B52" s="8"/>
      <c r="C52" s="8"/>
      <c r="D52" s="8"/>
      <c r="E52" s="8"/>
    </row>
    <row r="53" spans="1:5" x14ac:dyDescent="0.3">
      <c r="A53" s="3" t="s">
        <v>266</v>
      </c>
      <c r="B53" s="8">
        <v>40</v>
      </c>
      <c r="C53" s="8">
        <v>39</v>
      </c>
      <c r="D53" s="8">
        <v>41</v>
      </c>
      <c r="E53" s="52">
        <v>38</v>
      </c>
    </row>
    <row r="54" spans="1:5" x14ac:dyDescent="0.3">
      <c r="B54" s="8"/>
      <c r="C54" s="8"/>
      <c r="D54" s="8"/>
      <c r="E54" s="8"/>
    </row>
    <row r="55" spans="1:5" x14ac:dyDescent="0.3">
      <c r="A55" s="13" t="s">
        <v>45</v>
      </c>
      <c r="B55" s="8"/>
      <c r="C55" s="8"/>
      <c r="D55" s="8"/>
      <c r="E55" s="8"/>
    </row>
    <row r="56" spans="1:5" x14ac:dyDescent="0.3">
      <c r="A56" s="13" t="s">
        <v>32</v>
      </c>
      <c r="B56" s="8"/>
      <c r="C56" s="8"/>
      <c r="D56" s="8"/>
      <c r="E56" s="8"/>
    </row>
    <row r="57" spans="1:5" x14ac:dyDescent="0.3">
      <c r="A57" t="s">
        <v>164</v>
      </c>
      <c r="B57" s="8">
        <v>231</v>
      </c>
      <c r="C57" s="8">
        <v>66</v>
      </c>
      <c r="D57" s="8">
        <v>252</v>
      </c>
      <c r="E57" s="52">
        <v>228</v>
      </c>
    </row>
    <row r="58" spans="1:5" x14ac:dyDescent="0.3">
      <c r="A58" t="s">
        <v>225</v>
      </c>
      <c r="B58" s="8">
        <v>-17</v>
      </c>
      <c r="C58" s="8">
        <v>-11</v>
      </c>
      <c r="D58" s="8">
        <v>-19</v>
      </c>
      <c r="E58" s="52">
        <v>-17</v>
      </c>
    </row>
    <row r="59" spans="1:5" x14ac:dyDescent="0.3">
      <c r="A59" t="s">
        <v>168</v>
      </c>
      <c r="B59" s="8">
        <v>-946</v>
      </c>
      <c r="C59" s="8">
        <v>-1021</v>
      </c>
      <c r="D59" s="8">
        <v>-838</v>
      </c>
      <c r="E59" s="52">
        <v>-651</v>
      </c>
    </row>
    <row r="60" spans="1:5" ht="15" thickBot="1" x14ac:dyDescent="0.35">
      <c r="B60" s="17">
        <f t="shared" ref="B60" si="0">SUM(B57:B59)</f>
        <v>-732</v>
      </c>
      <c r="C60" s="17">
        <f>SUM(C57:C59)</f>
        <v>-966</v>
      </c>
      <c r="D60" s="17">
        <f>SUM(D57:D59)</f>
        <v>-605</v>
      </c>
      <c r="E60" s="172">
        <f>SUM(E57:E59)</f>
        <v>-440</v>
      </c>
    </row>
    <row r="61" spans="1:5" ht="15" thickTop="1" x14ac:dyDescent="0.3">
      <c r="B61" s="8"/>
      <c r="C61" s="8"/>
      <c r="D61" s="8"/>
      <c r="E61" s="8"/>
    </row>
    <row r="62" spans="1:5" x14ac:dyDescent="0.3">
      <c r="A62" s="13" t="s">
        <v>46</v>
      </c>
      <c r="B62" s="8"/>
      <c r="C62" s="8"/>
      <c r="D62" s="8"/>
      <c r="E62" s="8"/>
    </row>
    <row r="63" spans="1:5" x14ac:dyDescent="0.3">
      <c r="A63" s="13" t="s">
        <v>322</v>
      </c>
      <c r="B63" s="8"/>
      <c r="C63" s="8"/>
      <c r="D63" s="8"/>
      <c r="E63" s="8"/>
    </row>
    <row r="64" spans="1:5" x14ac:dyDescent="0.3">
      <c r="A64" t="s">
        <v>276</v>
      </c>
      <c r="B64" s="8">
        <v>-5316</v>
      </c>
      <c r="C64" s="8">
        <v>-5510</v>
      </c>
      <c r="D64" s="8">
        <v>-5648</v>
      </c>
      <c r="E64" s="52">
        <v>-5117</v>
      </c>
    </row>
    <row r="65" spans="1:5" x14ac:dyDescent="0.3">
      <c r="A65" t="s">
        <v>277</v>
      </c>
      <c r="B65" s="8">
        <v>4584</v>
      </c>
      <c r="C65" s="8">
        <v>4544</v>
      </c>
      <c r="D65" s="8">
        <v>5043</v>
      </c>
      <c r="E65" s="52">
        <v>4677</v>
      </c>
    </row>
    <row r="66" spans="1:5" ht="15" thickBot="1" x14ac:dyDescent="0.35">
      <c r="B66" s="17">
        <f>SUM(B64:B65)</f>
        <v>-732</v>
      </c>
      <c r="C66" s="17">
        <f>SUM(C64:C65)</f>
        <v>-966</v>
      </c>
      <c r="D66" s="17">
        <f>SUM(D64:D65)</f>
        <v>-605</v>
      </c>
      <c r="E66" s="172">
        <f>SUM(E64:E65)</f>
        <v>-440</v>
      </c>
    </row>
    <row r="67" spans="1:5" ht="15" thickTop="1" x14ac:dyDescent="0.3">
      <c r="B67" s="8"/>
      <c r="C67" s="8"/>
      <c r="D67" s="8"/>
      <c r="E67" s="8"/>
    </row>
    <row r="68" spans="1:5" x14ac:dyDescent="0.3">
      <c r="A68" s="13" t="s">
        <v>47</v>
      </c>
      <c r="B68" s="8"/>
      <c r="C68" s="8"/>
      <c r="D68" s="8"/>
      <c r="E68" s="8"/>
    </row>
    <row r="69" spans="1:5" x14ac:dyDescent="0.3">
      <c r="A69" s="13" t="s">
        <v>32</v>
      </c>
      <c r="B69" s="8"/>
      <c r="C69" s="8"/>
      <c r="D69" s="8"/>
      <c r="E69" s="8"/>
    </row>
    <row r="70" spans="1:5" x14ac:dyDescent="0.3">
      <c r="A70" t="s">
        <v>48</v>
      </c>
      <c r="B70" s="8">
        <v>114</v>
      </c>
      <c r="C70" s="38">
        <v>98</v>
      </c>
      <c r="D70" s="8">
        <v>96</v>
      </c>
      <c r="E70" s="52">
        <v>87</v>
      </c>
    </row>
    <row r="71" spans="1:5" x14ac:dyDescent="0.3">
      <c r="A71" t="s">
        <v>49</v>
      </c>
      <c r="B71" s="8">
        <v>206</v>
      </c>
      <c r="C71" s="38">
        <v>174</v>
      </c>
      <c r="D71" s="8">
        <v>164</v>
      </c>
      <c r="E71" s="52">
        <v>165</v>
      </c>
    </row>
    <row r="72" spans="1:5" x14ac:dyDescent="0.3">
      <c r="A72" t="s">
        <v>50</v>
      </c>
      <c r="B72" s="8">
        <v>-399</v>
      </c>
      <c r="C72" s="38">
        <v>-352</v>
      </c>
      <c r="D72" s="8">
        <v>-371</v>
      </c>
      <c r="E72" s="52">
        <v>-361</v>
      </c>
    </row>
    <row r="73" spans="1:5" x14ac:dyDescent="0.3">
      <c r="A73" t="s">
        <v>264</v>
      </c>
      <c r="B73" s="8">
        <v>13</v>
      </c>
      <c r="C73" s="38">
        <v>13</v>
      </c>
      <c r="D73" s="8">
        <v>9</v>
      </c>
      <c r="E73" s="52">
        <v>8</v>
      </c>
    </row>
    <row r="74" spans="1:5" x14ac:dyDescent="0.3">
      <c r="A74" t="s">
        <v>51</v>
      </c>
      <c r="B74" s="8">
        <v>303</v>
      </c>
      <c r="C74" s="38">
        <v>323</v>
      </c>
      <c r="D74" s="8">
        <v>-36</v>
      </c>
      <c r="E74" s="52">
        <v>269</v>
      </c>
    </row>
    <row r="75" spans="1:5" x14ac:dyDescent="0.3">
      <c r="A75" t="s">
        <v>265</v>
      </c>
      <c r="B75" s="8">
        <v>-1</v>
      </c>
      <c r="C75" s="38">
        <v>1</v>
      </c>
      <c r="D75" s="8">
        <v>-151</v>
      </c>
      <c r="E75" s="52">
        <v>-30</v>
      </c>
    </row>
    <row r="76" spans="1:5" x14ac:dyDescent="0.3">
      <c r="A76" t="s">
        <v>267</v>
      </c>
      <c r="B76" s="8">
        <v>40</v>
      </c>
      <c r="C76" s="38">
        <v>36</v>
      </c>
      <c r="D76" s="8">
        <v>34</v>
      </c>
      <c r="E76" s="52">
        <v>27</v>
      </c>
    </row>
    <row r="77" spans="1:5" ht="15" thickBot="1" x14ac:dyDescent="0.35">
      <c r="B77" s="17">
        <f>SUM(B70:B76)</f>
        <v>276</v>
      </c>
      <c r="C77" s="17">
        <f>SUM(C70:C76)</f>
        <v>293</v>
      </c>
      <c r="D77" s="17">
        <f>SUM(D70:D76)</f>
        <v>-255</v>
      </c>
      <c r="E77" s="172">
        <f>SUM(E70:E76)</f>
        <v>165</v>
      </c>
    </row>
    <row r="78" spans="1:5" ht="15" thickTop="1" x14ac:dyDescent="0.3">
      <c r="B78" s="22"/>
      <c r="C78" s="22"/>
      <c r="D78" s="22"/>
      <c r="E78" s="22"/>
    </row>
    <row r="79" spans="1:5" x14ac:dyDescent="0.3">
      <c r="B79" s="22"/>
      <c r="C79" s="22"/>
      <c r="D79" s="22"/>
      <c r="E79" s="22"/>
    </row>
    <row r="80" spans="1:5" x14ac:dyDescent="0.3">
      <c r="A80" s="13" t="s">
        <v>111</v>
      </c>
      <c r="B80" s="8"/>
      <c r="C80" s="8"/>
      <c r="D80" s="8"/>
      <c r="E80" s="8"/>
    </row>
    <row r="81" spans="1:5" x14ac:dyDescent="0.3">
      <c r="A81" s="13" t="s">
        <v>45</v>
      </c>
      <c r="B81" s="8"/>
      <c r="C81" s="8"/>
      <c r="D81" s="8"/>
      <c r="E81" s="8"/>
    </row>
    <row r="82" spans="1:5" x14ac:dyDescent="0.3">
      <c r="A82" s="13" t="s">
        <v>270</v>
      </c>
      <c r="B82" s="8"/>
      <c r="C82" s="8"/>
      <c r="D82" s="8"/>
      <c r="E82" s="8"/>
    </row>
    <row r="83" spans="1:5" x14ac:dyDescent="0.3">
      <c r="A83" t="s">
        <v>272</v>
      </c>
      <c r="B83" s="8">
        <v>0</v>
      </c>
      <c r="C83" s="8">
        <v>17</v>
      </c>
      <c r="D83" s="8">
        <v>144</v>
      </c>
      <c r="E83" s="52">
        <v>107</v>
      </c>
    </row>
    <row r="84" spans="1:5" x14ac:dyDescent="0.3">
      <c r="A84" t="s">
        <v>273</v>
      </c>
      <c r="B84" s="8">
        <v>-2</v>
      </c>
      <c r="C84" s="8">
        <v>-2</v>
      </c>
      <c r="D84" s="8">
        <v>-2</v>
      </c>
      <c r="E84" s="52">
        <v>-2</v>
      </c>
    </row>
    <row r="85" spans="1:5" x14ac:dyDescent="0.3">
      <c r="A85" t="s">
        <v>274</v>
      </c>
      <c r="B85" s="8">
        <v>-77</v>
      </c>
      <c r="C85" s="8">
        <v>-40</v>
      </c>
      <c r="D85" s="8">
        <v>-40</v>
      </c>
      <c r="E85" s="52">
        <v>-34</v>
      </c>
    </row>
    <row r="86" spans="1:5" ht="15" thickBot="1" x14ac:dyDescent="0.35">
      <c r="B86" s="17">
        <f t="shared" ref="B86" si="1">SUM(B83:B85)</f>
        <v>-79</v>
      </c>
      <c r="C86" s="17">
        <f>SUM(C83:C85)</f>
        <v>-25</v>
      </c>
      <c r="D86" s="17">
        <f>SUM(D83:D85)</f>
        <v>102</v>
      </c>
      <c r="E86" s="172">
        <f>SUM(E83:E85)</f>
        <v>71</v>
      </c>
    </row>
    <row r="87" spans="1:5" ht="15" thickTop="1" x14ac:dyDescent="0.3">
      <c r="B87" s="8"/>
      <c r="C87" s="8"/>
      <c r="D87" s="8"/>
      <c r="E87" s="8"/>
    </row>
    <row r="88" spans="1:5" x14ac:dyDescent="0.3">
      <c r="A88" s="13" t="s">
        <v>46</v>
      </c>
      <c r="B88" s="8"/>
      <c r="C88" s="8"/>
      <c r="D88" s="8"/>
      <c r="E88" s="8"/>
    </row>
    <row r="89" spans="1:5" x14ac:dyDescent="0.3">
      <c r="A89" s="13" t="s">
        <v>321</v>
      </c>
      <c r="B89" s="8"/>
      <c r="C89" s="8"/>
      <c r="D89" s="8"/>
      <c r="E89" s="8"/>
    </row>
    <row r="90" spans="1:5" x14ac:dyDescent="0.3">
      <c r="A90" t="s">
        <v>276</v>
      </c>
      <c r="B90" s="8">
        <v>-1163</v>
      </c>
      <c r="C90" s="8">
        <v>-1161</v>
      </c>
      <c r="D90" s="8">
        <v>-1190</v>
      </c>
      <c r="E90" s="52">
        <v>-1069</v>
      </c>
    </row>
    <row r="91" spans="1:5" x14ac:dyDescent="0.3">
      <c r="A91" t="s">
        <v>277</v>
      </c>
      <c r="B91" s="8">
        <v>1084</v>
      </c>
      <c r="C91" s="8">
        <v>1136</v>
      </c>
      <c r="D91" s="8">
        <v>1292</v>
      </c>
      <c r="E91" s="52">
        <v>1140</v>
      </c>
    </row>
    <row r="92" spans="1:5" ht="15" thickBot="1" x14ac:dyDescent="0.35">
      <c r="B92" s="17">
        <f>SUM(B90:B91)</f>
        <v>-79</v>
      </c>
      <c r="C92" s="17">
        <f>SUM(C90:C91)</f>
        <v>-25</v>
      </c>
      <c r="D92" s="17">
        <f>SUM(D90:D91)</f>
        <v>102</v>
      </c>
      <c r="E92" s="172">
        <f>SUM(E90:E91)</f>
        <v>71</v>
      </c>
    </row>
    <row r="93" spans="1:5" ht="15" thickTop="1" x14ac:dyDescent="0.3">
      <c r="B93" s="8"/>
      <c r="C93" s="8"/>
      <c r="D93" s="8"/>
      <c r="E93" s="8"/>
    </row>
    <row r="94" spans="1:5" x14ac:dyDescent="0.3">
      <c r="A94" s="13" t="s">
        <v>271</v>
      </c>
      <c r="B94" s="8"/>
      <c r="C94" s="8"/>
      <c r="D94" s="8"/>
      <c r="E94" s="8"/>
    </row>
    <row r="95" spans="1:5" x14ac:dyDescent="0.3">
      <c r="A95" s="13" t="s">
        <v>270</v>
      </c>
      <c r="B95" s="8"/>
      <c r="C95" s="8"/>
      <c r="D95" s="8"/>
      <c r="E95" s="8"/>
    </row>
    <row r="96" spans="1:5" x14ac:dyDescent="0.3">
      <c r="A96" t="s">
        <v>48</v>
      </c>
      <c r="B96" s="8">
        <v>29</v>
      </c>
      <c r="C96" s="38">
        <v>21</v>
      </c>
      <c r="D96" s="8">
        <v>18</v>
      </c>
      <c r="E96" s="52">
        <v>18</v>
      </c>
    </row>
    <row r="97" spans="1:5" x14ac:dyDescent="0.3">
      <c r="A97" t="s">
        <v>49</v>
      </c>
      <c r="B97" s="8">
        <v>48</v>
      </c>
      <c r="C97" s="38">
        <v>39</v>
      </c>
      <c r="D97" s="8">
        <v>37</v>
      </c>
      <c r="E97" s="52">
        <v>36</v>
      </c>
    </row>
    <row r="98" spans="1:5" x14ac:dyDescent="0.3">
      <c r="A98" t="s">
        <v>50</v>
      </c>
      <c r="B98" s="8">
        <v>-100</v>
      </c>
      <c r="C98" s="38">
        <v>-90</v>
      </c>
      <c r="D98" s="8">
        <v>-98</v>
      </c>
      <c r="E98" s="52">
        <v>-94</v>
      </c>
    </row>
    <row r="99" spans="1:5" x14ac:dyDescent="0.3">
      <c r="A99" t="s">
        <v>264</v>
      </c>
      <c r="B99" s="8">
        <v>-5</v>
      </c>
      <c r="C99" s="38">
        <v>-9</v>
      </c>
      <c r="D99" s="8">
        <v>-9</v>
      </c>
      <c r="E99" s="52">
        <v>-9</v>
      </c>
    </row>
    <row r="100" spans="1:5" x14ac:dyDescent="0.3">
      <c r="A100" t="s">
        <v>268</v>
      </c>
      <c r="B100" s="8">
        <v>112</v>
      </c>
      <c r="C100" s="38">
        <v>-19</v>
      </c>
      <c r="D100" s="8">
        <v>-90</v>
      </c>
      <c r="E100" s="52">
        <v>81</v>
      </c>
    </row>
    <row r="101" spans="1:5" x14ac:dyDescent="0.3">
      <c r="A101" t="s">
        <v>269</v>
      </c>
      <c r="B101" s="8">
        <v>0</v>
      </c>
      <c r="C101" s="38">
        <v>0</v>
      </c>
      <c r="D101" s="8">
        <v>3</v>
      </c>
      <c r="E101" s="52">
        <v>0</v>
      </c>
    </row>
    <row r="102" spans="1:5" x14ac:dyDescent="0.3">
      <c r="A102" t="s">
        <v>267</v>
      </c>
      <c r="B102" s="8">
        <v>14</v>
      </c>
      <c r="C102" s="38">
        <v>17</v>
      </c>
      <c r="D102" s="8">
        <v>16</v>
      </c>
      <c r="E102" s="52">
        <v>11</v>
      </c>
    </row>
    <row r="103" spans="1:5" ht="15" thickBot="1" x14ac:dyDescent="0.35">
      <c r="B103" s="17">
        <f>SUM(B96:B102)</f>
        <v>98</v>
      </c>
      <c r="C103" s="17">
        <f>SUM(C96:C102)</f>
        <v>-41</v>
      </c>
      <c r="D103" s="17">
        <f>SUM(D96:D102)</f>
        <v>-123</v>
      </c>
      <c r="E103" s="172">
        <f>SUM(E96:E102)</f>
        <v>43</v>
      </c>
    </row>
    <row r="104" spans="1:5" ht="15" thickTop="1" x14ac:dyDescent="0.3">
      <c r="B104" s="22"/>
      <c r="C104" s="22"/>
      <c r="D104" s="22"/>
      <c r="E104" s="22"/>
    </row>
    <row r="105" spans="1:5" x14ac:dyDescent="0.3">
      <c r="B105" s="22"/>
      <c r="C105" s="22"/>
      <c r="D105" s="22"/>
      <c r="E105" s="22"/>
    </row>
    <row r="106" spans="1:5" x14ac:dyDescent="0.3">
      <c r="A106" s="13" t="s">
        <v>45</v>
      </c>
      <c r="B106" s="8"/>
      <c r="C106" s="8"/>
      <c r="D106" s="8"/>
      <c r="E106" s="8"/>
    </row>
    <row r="107" spans="1:5" x14ac:dyDescent="0.3">
      <c r="A107" s="13" t="s">
        <v>275</v>
      </c>
      <c r="B107" s="8"/>
      <c r="C107" s="8"/>
      <c r="D107" s="8"/>
      <c r="E107" s="8"/>
    </row>
    <row r="108" spans="1:5" x14ac:dyDescent="0.3">
      <c r="A108" t="s">
        <v>273</v>
      </c>
      <c r="B108" s="8">
        <v>-8</v>
      </c>
      <c r="C108" s="8">
        <v>-8</v>
      </c>
      <c r="D108" s="8">
        <v>-4</v>
      </c>
      <c r="E108" s="52">
        <v>-5</v>
      </c>
    </row>
    <row r="109" spans="1:5" x14ac:dyDescent="0.3">
      <c r="A109" t="s">
        <v>274</v>
      </c>
      <c r="B109" s="8">
        <v>-100</v>
      </c>
      <c r="C109" s="8">
        <v>-79</v>
      </c>
      <c r="D109" s="8">
        <v>-39</v>
      </c>
      <c r="E109" s="52">
        <v>-37</v>
      </c>
    </row>
    <row r="110" spans="1:5" ht="15" thickBot="1" x14ac:dyDescent="0.35">
      <c r="B110" s="17">
        <f>SUM(B108:B109)</f>
        <v>-108</v>
      </c>
      <c r="C110" s="17">
        <f>SUM(C108:C109)</f>
        <v>-87</v>
      </c>
      <c r="D110" s="17">
        <f>SUM(D108:D109)</f>
        <v>-43</v>
      </c>
      <c r="E110" s="172">
        <f>SUM(E108:E109)</f>
        <v>-42</v>
      </c>
    </row>
    <row r="111" spans="1:5" ht="15" thickTop="1" x14ac:dyDescent="0.3">
      <c r="B111" s="8"/>
      <c r="C111" s="8"/>
      <c r="D111" s="8"/>
      <c r="E111" s="8"/>
    </row>
    <row r="112" spans="1:5" x14ac:dyDescent="0.3">
      <c r="A112" s="13" t="s">
        <v>46</v>
      </c>
      <c r="B112" s="8"/>
      <c r="C112" s="8"/>
      <c r="D112" s="8"/>
      <c r="E112" s="8"/>
    </row>
    <row r="113" spans="1:5" x14ac:dyDescent="0.3">
      <c r="A113" s="13" t="s">
        <v>323</v>
      </c>
      <c r="B113" s="8"/>
      <c r="C113" s="8"/>
      <c r="D113" s="8"/>
      <c r="E113" s="8"/>
    </row>
    <row r="114" spans="1:5" x14ac:dyDescent="0.3">
      <c r="A114" t="s">
        <v>276</v>
      </c>
      <c r="B114" s="8">
        <v>-108</v>
      </c>
      <c r="C114" s="8">
        <v>-87</v>
      </c>
      <c r="D114" s="8">
        <v>-43</v>
      </c>
      <c r="E114" s="52">
        <v>-42</v>
      </c>
    </row>
    <row r="115" spans="1:5" x14ac:dyDescent="0.3">
      <c r="A115" t="s">
        <v>277</v>
      </c>
      <c r="B115" s="8">
        <v>0</v>
      </c>
      <c r="C115" s="8">
        <v>0</v>
      </c>
      <c r="D115" s="8">
        <v>0</v>
      </c>
      <c r="E115" s="52">
        <v>0</v>
      </c>
    </row>
    <row r="116" spans="1:5" ht="15" thickBot="1" x14ac:dyDescent="0.35">
      <c r="B116" s="17">
        <f>SUM(B114:B115)</f>
        <v>-108</v>
      </c>
      <c r="C116" s="17">
        <f>SUM(C114:C115)</f>
        <v>-87</v>
      </c>
      <c r="D116" s="17">
        <f>SUM(D114:D115)</f>
        <v>-43</v>
      </c>
      <c r="E116" s="172">
        <f>SUM(E114:E115)</f>
        <v>-42</v>
      </c>
    </row>
    <row r="117" spans="1:5" ht="15" thickTop="1" x14ac:dyDescent="0.3">
      <c r="B117" s="8"/>
      <c r="C117" s="8"/>
      <c r="D117" s="8"/>
      <c r="E117" s="8"/>
    </row>
    <row r="118" spans="1:5" x14ac:dyDescent="0.3">
      <c r="A118" s="13" t="s">
        <v>271</v>
      </c>
      <c r="B118" s="8"/>
      <c r="C118" s="8"/>
      <c r="D118" s="8"/>
      <c r="E118" s="8"/>
    </row>
    <row r="119" spans="1:5" x14ac:dyDescent="0.3">
      <c r="A119" s="13" t="s">
        <v>275</v>
      </c>
      <c r="B119" s="8"/>
      <c r="C119" s="8"/>
      <c r="D119" s="8"/>
      <c r="E119" s="8"/>
    </row>
    <row r="120" spans="1:5" x14ac:dyDescent="0.3">
      <c r="A120" t="s">
        <v>48</v>
      </c>
      <c r="B120" s="8">
        <v>7</v>
      </c>
      <c r="C120" s="38">
        <v>7</v>
      </c>
      <c r="D120" s="8">
        <v>6</v>
      </c>
      <c r="E120" s="52">
        <v>3</v>
      </c>
    </row>
    <row r="121" spans="1:5" x14ac:dyDescent="0.3">
      <c r="A121" t="s">
        <v>49</v>
      </c>
      <c r="B121" s="8">
        <v>4</v>
      </c>
      <c r="C121" s="38">
        <v>3</v>
      </c>
      <c r="D121" s="8">
        <v>3</v>
      </c>
      <c r="E121" s="52">
        <v>1</v>
      </c>
    </row>
    <row r="122" spans="1:5" x14ac:dyDescent="0.3">
      <c r="A122" t="s">
        <v>264</v>
      </c>
      <c r="B122" s="8">
        <v>1</v>
      </c>
      <c r="C122" s="38">
        <v>1</v>
      </c>
      <c r="D122" s="8">
        <v>1</v>
      </c>
      <c r="E122" s="52">
        <v>1</v>
      </c>
    </row>
    <row r="123" spans="1:5" x14ac:dyDescent="0.3">
      <c r="A123" t="s">
        <v>268</v>
      </c>
      <c r="B123" s="8">
        <v>3</v>
      </c>
      <c r="C123" s="38">
        <v>3</v>
      </c>
      <c r="D123" s="8">
        <v>0</v>
      </c>
      <c r="E123" s="52">
        <v>-5</v>
      </c>
    </row>
    <row r="124" spans="1:5" ht="15" thickBot="1" x14ac:dyDescent="0.35">
      <c r="B124" s="17">
        <f>SUM(B120:B123)</f>
        <v>15</v>
      </c>
      <c r="C124" s="17">
        <f>SUM(C120:C123)</f>
        <v>14</v>
      </c>
      <c r="D124" s="17">
        <f>SUM(D120:D123)</f>
        <v>10</v>
      </c>
      <c r="E124" s="172">
        <f>SUM(E120:E123)</f>
        <v>0</v>
      </c>
    </row>
    <row r="125" spans="1:5" ht="15" thickTop="1" x14ac:dyDescent="0.3">
      <c r="B125" s="22"/>
      <c r="C125" s="22"/>
      <c r="D125" s="22"/>
      <c r="E125" s="22"/>
    </row>
    <row r="126" spans="1:5" x14ac:dyDescent="0.3">
      <c r="B126" s="22"/>
      <c r="C126" s="22"/>
      <c r="D126" s="22"/>
      <c r="E126" s="22"/>
    </row>
    <row r="127" spans="1:5" x14ac:dyDescent="0.3">
      <c r="A127" s="13" t="s">
        <v>451</v>
      </c>
    </row>
    <row r="128" spans="1:5" x14ac:dyDescent="0.3">
      <c r="A128" s="179"/>
      <c r="B128" s="180"/>
      <c r="C128" s="180"/>
      <c r="D128" s="180"/>
      <c r="E128" s="180"/>
    </row>
    <row r="129" spans="1:5" x14ac:dyDescent="0.3">
      <c r="A129" s="13"/>
    </row>
    <row r="130" spans="1:5" x14ac:dyDescent="0.3">
      <c r="A130" s="13" t="s">
        <v>290</v>
      </c>
    </row>
    <row r="131" spans="1:5" x14ac:dyDescent="0.3">
      <c r="A131" s="3" t="s">
        <v>313</v>
      </c>
      <c r="B131" s="8">
        <v>227</v>
      </c>
      <c r="C131" s="8">
        <v>0</v>
      </c>
      <c r="D131" s="8">
        <v>0</v>
      </c>
      <c r="E131" s="52">
        <v>0</v>
      </c>
    </row>
    <row r="132" spans="1:5" x14ac:dyDescent="0.3">
      <c r="A132" s="3" t="s">
        <v>273</v>
      </c>
      <c r="B132" s="8">
        <v>-9</v>
      </c>
      <c r="C132" s="8">
        <v>0</v>
      </c>
      <c r="D132" s="8">
        <v>0</v>
      </c>
      <c r="E132" s="52">
        <v>0</v>
      </c>
    </row>
    <row r="133" spans="1:5" x14ac:dyDescent="0.3">
      <c r="A133" s="3" t="s">
        <v>291</v>
      </c>
      <c r="B133" s="8">
        <v>147</v>
      </c>
      <c r="C133" s="8">
        <v>170</v>
      </c>
      <c r="D133" s="8">
        <v>246</v>
      </c>
      <c r="E133" s="52">
        <v>246</v>
      </c>
    </row>
    <row r="134" spans="1:5" x14ac:dyDescent="0.3">
      <c r="A134" s="3" t="s">
        <v>274</v>
      </c>
      <c r="B134" s="8">
        <v>-685</v>
      </c>
      <c r="C134" s="8">
        <v>-525</v>
      </c>
      <c r="D134" s="8">
        <v>-355</v>
      </c>
      <c r="E134" s="52">
        <v>-730</v>
      </c>
    </row>
    <row r="135" spans="1:5" ht="15" thickBot="1" x14ac:dyDescent="0.35">
      <c r="A135" s="3"/>
      <c r="B135" s="17">
        <f>SUM(B131:B134)</f>
        <v>-320</v>
      </c>
      <c r="C135" s="17">
        <f t="shared" ref="C135:D135" si="2">SUM(C131:C134)</f>
        <v>-355</v>
      </c>
      <c r="D135" s="17">
        <f t="shared" si="2"/>
        <v>-109</v>
      </c>
      <c r="E135" s="172">
        <f t="shared" ref="E135" si="3">SUM(E131:E134)</f>
        <v>-484</v>
      </c>
    </row>
    <row r="136" spans="1:5" ht="15" thickTop="1" x14ac:dyDescent="0.3">
      <c r="A136" s="3"/>
    </row>
    <row r="137" spans="1:5" x14ac:dyDescent="0.3">
      <c r="A137" s="13" t="s">
        <v>320</v>
      </c>
    </row>
    <row r="138" spans="1:5" x14ac:dyDescent="0.3">
      <c r="A138" t="s">
        <v>289</v>
      </c>
      <c r="B138" s="8">
        <v>13</v>
      </c>
      <c r="C138" s="8">
        <v>0</v>
      </c>
      <c r="D138" s="8">
        <v>0</v>
      </c>
      <c r="E138" s="52">
        <v>0</v>
      </c>
    </row>
    <row r="139" spans="1:5" x14ac:dyDescent="0.3">
      <c r="A139" t="s">
        <v>278</v>
      </c>
      <c r="B139" s="8">
        <v>15</v>
      </c>
      <c r="C139" s="8">
        <v>17</v>
      </c>
      <c r="D139" s="8">
        <v>22</v>
      </c>
      <c r="E139" s="52">
        <v>11</v>
      </c>
    </row>
    <row r="140" spans="1:5" x14ac:dyDescent="0.3">
      <c r="A140" t="s">
        <v>279</v>
      </c>
      <c r="B140" s="8">
        <v>21</v>
      </c>
      <c r="C140" s="8">
        <v>42</v>
      </c>
      <c r="D140" s="8">
        <v>26</v>
      </c>
      <c r="E140" s="52">
        <v>20</v>
      </c>
    </row>
    <row r="141" spans="1:5" x14ac:dyDescent="0.3">
      <c r="A141" t="s">
        <v>280</v>
      </c>
      <c r="B141" s="8">
        <v>31</v>
      </c>
      <c r="C141" s="8">
        <v>28</v>
      </c>
      <c r="D141" s="8">
        <v>20</v>
      </c>
      <c r="E141" s="52">
        <v>14</v>
      </c>
    </row>
    <row r="142" spans="1:5" x14ac:dyDescent="0.3">
      <c r="A142" t="s">
        <v>281</v>
      </c>
      <c r="B142" s="8">
        <v>366</v>
      </c>
      <c r="C142" s="8">
        <v>403</v>
      </c>
      <c r="D142" s="8">
        <v>154</v>
      </c>
      <c r="E142" s="52">
        <v>132</v>
      </c>
    </row>
    <row r="143" spans="1:5" x14ac:dyDescent="0.3">
      <c r="A143" t="s">
        <v>282</v>
      </c>
      <c r="B143" s="8">
        <v>55</v>
      </c>
      <c r="C143" s="8">
        <v>181</v>
      </c>
      <c r="D143" s="8">
        <v>239</v>
      </c>
      <c r="E143" s="52">
        <v>270</v>
      </c>
    </row>
    <row r="144" spans="1:5" x14ac:dyDescent="0.3">
      <c r="A144" t="s">
        <v>283</v>
      </c>
      <c r="B144" s="8">
        <v>43</v>
      </c>
      <c r="C144" s="8">
        <v>0</v>
      </c>
      <c r="D144" s="8">
        <v>42</v>
      </c>
      <c r="E144" s="52">
        <v>10</v>
      </c>
    </row>
    <row r="145" spans="1:5" x14ac:dyDescent="0.3">
      <c r="A145" t="s">
        <v>284</v>
      </c>
      <c r="B145" s="8">
        <v>35</v>
      </c>
      <c r="C145" s="8">
        <v>38</v>
      </c>
      <c r="D145" s="8">
        <v>25</v>
      </c>
      <c r="E145" s="52">
        <v>20</v>
      </c>
    </row>
    <row r="146" spans="1:5" x14ac:dyDescent="0.3">
      <c r="A146" t="s">
        <v>285</v>
      </c>
      <c r="B146" s="8">
        <v>42</v>
      </c>
      <c r="C146" s="8">
        <v>41</v>
      </c>
      <c r="D146" s="8">
        <v>33</v>
      </c>
      <c r="E146" s="52">
        <v>31</v>
      </c>
    </row>
    <row r="147" spans="1:5" x14ac:dyDescent="0.3">
      <c r="A147" t="s">
        <v>37</v>
      </c>
      <c r="B147" s="8">
        <v>86</v>
      </c>
      <c r="C147" s="8">
        <v>31</v>
      </c>
      <c r="D147" s="8">
        <v>71</v>
      </c>
      <c r="E147" s="52">
        <v>26</v>
      </c>
    </row>
    <row r="148" spans="1:5" x14ac:dyDescent="0.3">
      <c r="A148" t="s">
        <v>286</v>
      </c>
      <c r="B148" s="8">
        <v>-63</v>
      </c>
      <c r="C148" s="8">
        <v>-131</v>
      </c>
      <c r="D148" s="8">
        <v>-153</v>
      </c>
      <c r="E148" s="52">
        <v>-166</v>
      </c>
    </row>
    <row r="149" spans="1:5" x14ac:dyDescent="0.3">
      <c r="B149" s="39">
        <f t="shared" ref="B149" si="4">SUM(B138:B148)</f>
        <v>644</v>
      </c>
      <c r="C149" s="39">
        <f>SUM(C138:C148)</f>
        <v>650</v>
      </c>
      <c r="D149" s="39">
        <f>SUM(D138:D148)</f>
        <v>479</v>
      </c>
      <c r="E149" s="174">
        <f>SUM(E138:E148)</f>
        <v>368</v>
      </c>
    </row>
    <row r="150" spans="1:5" x14ac:dyDescent="0.3">
      <c r="A150" s="13" t="s">
        <v>328</v>
      </c>
      <c r="B150" s="8"/>
      <c r="C150" s="8"/>
      <c r="D150" s="8"/>
      <c r="E150" s="8"/>
    </row>
    <row r="151" spans="1:5" x14ac:dyDescent="0.3">
      <c r="A151" t="s">
        <v>289</v>
      </c>
      <c r="B151" s="8">
        <v>43</v>
      </c>
      <c r="C151" s="8">
        <v>34</v>
      </c>
      <c r="D151" s="8">
        <v>48</v>
      </c>
      <c r="E151" s="52">
        <v>19</v>
      </c>
    </row>
    <row r="152" spans="1:5" x14ac:dyDescent="0.3">
      <c r="A152" t="s">
        <v>283</v>
      </c>
      <c r="B152" s="8">
        <v>0</v>
      </c>
      <c r="C152" s="8">
        <v>51</v>
      </c>
      <c r="D152" s="8">
        <v>0</v>
      </c>
      <c r="E152" s="52">
        <v>0</v>
      </c>
    </row>
    <row r="153" spans="1:5" x14ac:dyDescent="0.3">
      <c r="A153" t="s">
        <v>287</v>
      </c>
      <c r="B153" s="8">
        <v>345</v>
      </c>
      <c r="C153" s="8">
        <v>318</v>
      </c>
      <c r="D153" s="8">
        <v>208</v>
      </c>
      <c r="E153" s="52">
        <v>220</v>
      </c>
    </row>
    <row r="154" spans="1:5" x14ac:dyDescent="0.3">
      <c r="A154" t="s">
        <v>288</v>
      </c>
      <c r="B154" s="8">
        <v>576</v>
      </c>
      <c r="C154" s="8">
        <v>602</v>
      </c>
      <c r="D154" s="8">
        <v>332</v>
      </c>
      <c r="E154" s="52">
        <v>613</v>
      </c>
    </row>
    <row r="155" spans="1:5" x14ac:dyDescent="0.3">
      <c r="A155" t="s">
        <v>315</v>
      </c>
      <c r="B155" s="8">
        <v>0</v>
      </c>
      <c r="C155" s="8">
        <v>0</v>
      </c>
      <c r="D155" s="8">
        <v>0</v>
      </c>
      <c r="E155" s="52">
        <v>0</v>
      </c>
    </row>
    <row r="156" spans="1:5" x14ac:dyDescent="0.3">
      <c r="B156" s="18">
        <f t="shared" ref="B156:D156" si="5">SUM(B151:B155)</f>
        <v>964</v>
      </c>
      <c r="C156" s="18">
        <f t="shared" si="5"/>
        <v>1005</v>
      </c>
      <c r="D156" s="18">
        <f t="shared" si="5"/>
        <v>588</v>
      </c>
      <c r="E156" s="175">
        <f t="shared" ref="E156" si="6">SUM(E151:E155)</f>
        <v>852</v>
      </c>
    </row>
    <row r="157" spans="1:5" ht="15" thickBot="1" x14ac:dyDescent="0.35">
      <c r="B157" s="40">
        <f>+B149-B156</f>
        <v>-320</v>
      </c>
      <c r="C157" s="40">
        <f t="shared" ref="C157:E157" si="7">+C149-C156</f>
        <v>-355</v>
      </c>
      <c r="D157" s="40">
        <f t="shared" si="7"/>
        <v>-109</v>
      </c>
      <c r="E157" s="176">
        <f t="shared" si="7"/>
        <v>-484</v>
      </c>
    </row>
    <row r="158" spans="1:5" ht="15" thickTop="1" x14ac:dyDescent="0.3"/>
    <row r="160" spans="1:5" x14ac:dyDescent="0.3">
      <c r="A160" s="183"/>
    </row>
    <row r="161" spans="1:5" x14ac:dyDescent="0.3">
      <c r="A161" s="181"/>
      <c r="B161" s="182"/>
      <c r="C161" s="182"/>
      <c r="D161" s="182"/>
      <c r="E161" s="182"/>
    </row>
    <row r="164" spans="1:5" x14ac:dyDescent="0.3">
      <c r="A164" s="13" t="s">
        <v>292</v>
      </c>
    </row>
    <row r="165" spans="1:5" x14ac:dyDescent="0.3">
      <c r="A165" s="13" t="s">
        <v>10</v>
      </c>
    </row>
    <row r="166" spans="1:5" x14ac:dyDescent="0.3">
      <c r="A166" t="s">
        <v>256</v>
      </c>
      <c r="B166" s="8">
        <v>2992</v>
      </c>
      <c r="C166" s="8">
        <v>2917</v>
      </c>
      <c r="D166" s="8">
        <v>2709</v>
      </c>
      <c r="E166" s="52">
        <v>2643</v>
      </c>
    </row>
    <row r="167" spans="1:5" x14ac:dyDescent="0.3">
      <c r="A167" t="s">
        <v>257</v>
      </c>
      <c r="B167" s="8">
        <v>3234</v>
      </c>
      <c r="C167" s="8">
        <v>3197</v>
      </c>
      <c r="D167" s="8">
        <v>3110</v>
      </c>
      <c r="E167" s="52">
        <v>2957</v>
      </c>
    </row>
    <row r="168" spans="1:5" x14ac:dyDescent="0.3">
      <c r="A168" t="s">
        <v>452</v>
      </c>
      <c r="B168" s="8">
        <v>1181</v>
      </c>
      <c r="C168" s="8">
        <v>1207</v>
      </c>
      <c r="D168" s="8">
        <v>1242</v>
      </c>
      <c r="E168" s="52">
        <v>1235</v>
      </c>
    </row>
    <row r="169" spans="1:5" x14ac:dyDescent="0.3">
      <c r="A169" t="s">
        <v>259</v>
      </c>
      <c r="B169" s="8">
        <v>1687</v>
      </c>
      <c r="C169" s="8">
        <v>1593</v>
      </c>
      <c r="D169" s="8">
        <v>1612</v>
      </c>
      <c r="E169" s="52">
        <v>1853</v>
      </c>
    </row>
    <row r="170" spans="1:5" x14ac:dyDescent="0.3">
      <c r="A170" t="s">
        <v>260</v>
      </c>
      <c r="B170" s="8">
        <v>2497</v>
      </c>
      <c r="C170" s="8">
        <v>2383</v>
      </c>
      <c r="D170" s="8">
        <v>2291</v>
      </c>
      <c r="E170" s="52">
        <v>2395</v>
      </c>
    </row>
    <row r="171" spans="1:5" x14ac:dyDescent="0.3">
      <c r="A171" t="s">
        <v>261</v>
      </c>
      <c r="B171" s="8">
        <v>1015</v>
      </c>
      <c r="C171" s="8">
        <v>772</v>
      </c>
      <c r="D171" s="8">
        <v>944</v>
      </c>
      <c r="E171" s="52">
        <v>947</v>
      </c>
    </row>
    <row r="172" spans="1:5" x14ac:dyDescent="0.3">
      <c r="A172" t="s">
        <v>262</v>
      </c>
      <c r="B172" s="8">
        <v>919</v>
      </c>
      <c r="C172" s="8">
        <v>896</v>
      </c>
      <c r="D172" s="8">
        <v>946</v>
      </c>
      <c r="E172" s="52">
        <v>1517</v>
      </c>
    </row>
    <row r="173" spans="1:5" ht="15" thickBot="1" x14ac:dyDescent="0.35">
      <c r="B173" s="17">
        <f>SUM(B166:B172)</f>
        <v>13525</v>
      </c>
      <c r="C173" s="17">
        <f>SUM(C166:C172)</f>
        <v>12965</v>
      </c>
      <c r="D173" s="17">
        <f>SUM(D166:D172)</f>
        <v>12854</v>
      </c>
      <c r="E173" s="172">
        <f>SUM(E166:E172)</f>
        <v>13547</v>
      </c>
    </row>
    <row r="174" spans="1:5" ht="15" thickTop="1" x14ac:dyDescent="0.3"/>
    <row r="176" spans="1:5" x14ac:dyDescent="0.3">
      <c r="A176" s="13" t="s">
        <v>293</v>
      </c>
    </row>
    <row r="177" spans="1:5" x14ac:dyDescent="0.3">
      <c r="A177" t="s">
        <v>294</v>
      </c>
      <c r="B177" s="8">
        <v>193</v>
      </c>
      <c r="C177" s="8">
        <v>182</v>
      </c>
      <c r="D177" s="8">
        <v>148</v>
      </c>
      <c r="E177" s="52">
        <v>154</v>
      </c>
    </row>
    <row r="178" spans="1:5" x14ac:dyDescent="0.3">
      <c r="A178" t="s">
        <v>167</v>
      </c>
      <c r="B178" s="8">
        <v>898</v>
      </c>
      <c r="C178" s="8">
        <v>735</v>
      </c>
      <c r="D178" s="8">
        <v>732</v>
      </c>
      <c r="E178" s="52">
        <v>752</v>
      </c>
    </row>
    <row r="180" spans="1:5" x14ac:dyDescent="0.3">
      <c r="A180" s="13" t="s">
        <v>36</v>
      </c>
    </row>
    <row r="181" spans="1:5" x14ac:dyDescent="0.3">
      <c r="A181" t="s">
        <v>295</v>
      </c>
      <c r="B181" s="8">
        <v>1169</v>
      </c>
      <c r="C181" s="8">
        <v>1106</v>
      </c>
      <c r="D181" s="8">
        <v>1250</v>
      </c>
      <c r="E181" s="52">
        <v>1163</v>
      </c>
    </row>
    <row r="182" spans="1:5" x14ac:dyDescent="0.3">
      <c r="A182" t="s">
        <v>38</v>
      </c>
      <c r="B182" s="8">
        <v>-8</v>
      </c>
      <c r="C182" s="8">
        <v>-8</v>
      </c>
      <c r="D182" s="8">
        <v>-10</v>
      </c>
      <c r="E182" s="52">
        <v>-10</v>
      </c>
    </row>
    <row r="183" spans="1:5" x14ac:dyDescent="0.3">
      <c r="A183" t="s">
        <v>296</v>
      </c>
      <c r="B183" s="8">
        <v>27</v>
      </c>
      <c r="C183" s="8">
        <v>24</v>
      </c>
      <c r="D183" s="8">
        <v>23</v>
      </c>
      <c r="E183" s="52">
        <v>28</v>
      </c>
    </row>
    <row r="184" spans="1:5" x14ac:dyDescent="0.3">
      <c r="A184" t="s">
        <v>297</v>
      </c>
      <c r="B184" s="8">
        <v>156</v>
      </c>
      <c r="C184" s="8">
        <v>109</v>
      </c>
      <c r="D184" s="8">
        <v>126</v>
      </c>
      <c r="E184" s="52">
        <v>194</v>
      </c>
    </row>
    <row r="185" spans="1:5" ht="15" thickBot="1" x14ac:dyDescent="0.35">
      <c r="B185" s="17">
        <f>SUM(B181:B184)</f>
        <v>1344</v>
      </c>
      <c r="C185" s="17">
        <f t="shared" ref="C185" si="8">SUM(C181:C184)</f>
        <v>1231</v>
      </c>
      <c r="D185" s="17">
        <f>SUM(D181:D184)</f>
        <v>1389</v>
      </c>
      <c r="E185" s="172">
        <f>SUM(E181:E184)</f>
        <v>1375</v>
      </c>
    </row>
    <row r="186" spans="1:5" ht="15" thickTop="1" x14ac:dyDescent="0.3">
      <c r="B186" s="8"/>
      <c r="C186" s="8"/>
      <c r="D186" s="8"/>
      <c r="E186" s="8"/>
    </row>
    <row r="187" spans="1:5" x14ac:dyDescent="0.3">
      <c r="A187" s="13" t="s">
        <v>39</v>
      </c>
      <c r="B187" s="8"/>
      <c r="C187" s="8"/>
      <c r="D187" s="8"/>
      <c r="E187" s="8"/>
    </row>
    <row r="188" spans="1:5" x14ac:dyDescent="0.3">
      <c r="A188" t="s">
        <v>298</v>
      </c>
      <c r="B188" s="8">
        <v>315</v>
      </c>
      <c r="C188" s="8">
        <v>315</v>
      </c>
      <c r="D188" s="8">
        <v>333</v>
      </c>
      <c r="E188" s="52">
        <v>339</v>
      </c>
    </row>
    <row r="189" spans="1:5" x14ac:dyDescent="0.3">
      <c r="A189" t="s">
        <v>299</v>
      </c>
      <c r="B189" s="8">
        <v>935</v>
      </c>
      <c r="C189" s="8">
        <v>923</v>
      </c>
      <c r="D189" s="8">
        <v>884</v>
      </c>
      <c r="E189" s="52">
        <v>991</v>
      </c>
    </row>
    <row r="190" spans="1:5" ht="15" thickBot="1" x14ac:dyDescent="0.35">
      <c r="B190" s="17">
        <f>SUM(B188:B189)</f>
        <v>1250</v>
      </c>
      <c r="C190" s="17">
        <f>SUM(C188:C189)</f>
        <v>1238</v>
      </c>
      <c r="D190" s="17">
        <f>SUM(D188:D189)</f>
        <v>1217</v>
      </c>
      <c r="E190" s="172">
        <f>SUM(E188:E189)</f>
        <v>1330</v>
      </c>
    </row>
    <row r="191" spans="1:5" ht="15" thickTop="1" x14ac:dyDescent="0.3">
      <c r="B191" s="8"/>
      <c r="C191" s="8"/>
      <c r="D191" s="8"/>
      <c r="E191" s="8"/>
    </row>
    <row r="192" spans="1:5" x14ac:dyDescent="0.3">
      <c r="A192" s="13" t="s">
        <v>314</v>
      </c>
      <c r="B192" s="8"/>
      <c r="C192" s="8"/>
      <c r="D192" s="8"/>
      <c r="E192" s="8"/>
    </row>
    <row r="193" spans="1:5" x14ac:dyDescent="0.3">
      <c r="A193" t="s">
        <v>304</v>
      </c>
      <c r="B193" s="8">
        <v>227</v>
      </c>
      <c r="C193" s="8">
        <v>0</v>
      </c>
      <c r="D193" s="8">
        <v>0</v>
      </c>
      <c r="E193" s="26">
        <v>0</v>
      </c>
    </row>
    <row r="194" spans="1:5" x14ac:dyDescent="0.3">
      <c r="A194" t="s">
        <v>37</v>
      </c>
      <c r="B194" s="8">
        <v>164</v>
      </c>
      <c r="C194" s="8">
        <v>191</v>
      </c>
      <c r="D194" s="8">
        <v>149</v>
      </c>
      <c r="E194" s="26">
        <v>131</v>
      </c>
    </row>
    <row r="195" spans="1:5" ht="15" thickBot="1" x14ac:dyDescent="0.35">
      <c r="B195" s="17">
        <f>SUM(B193:B194)</f>
        <v>391</v>
      </c>
      <c r="C195" s="17">
        <f>SUM(C193:C194)</f>
        <v>191</v>
      </c>
      <c r="D195" s="17">
        <f>SUM(D193:D194)</f>
        <v>149</v>
      </c>
      <c r="E195" s="17">
        <f>SUM(E193:E194)</f>
        <v>131</v>
      </c>
    </row>
    <row r="196" spans="1:5" ht="15" thickTop="1" x14ac:dyDescent="0.3">
      <c r="A196" s="13"/>
      <c r="B196" s="8"/>
      <c r="C196" s="8"/>
      <c r="D196" s="8"/>
      <c r="E196" s="8"/>
    </row>
    <row r="197" spans="1:5" x14ac:dyDescent="0.3">
      <c r="A197" s="13" t="s">
        <v>301</v>
      </c>
      <c r="C197" s="2"/>
    </row>
    <row r="198" spans="1:5" x14ac:dyDescent="0.3">
      <c r="A198" t="s">
        <v>42</v>
      </c>
      <c r="B198" s="2">
        <v>142</v>
      </c>
      <c r="C198" s="2">
        <v>131</v>
      </c>
      <c r="D198" s="2">
        <v>111</v>
      </c>
      <c r="E198" s="162">
        <v>120</v>
      </c>
    </row>
    <row r="199" spans="1:5" x14ac:dyDescent="0.3">
      <c r="A199" t="s">
        <v>40</v>
      </c>
      <c r="B199" s="2">
        <v>2076</v>
      </c>
      <c r="C199" s="2">
        <v>2020</v>
      </c>
      <c r="D199" s="2">
        <v>2200</v>
      </c>
      <c r="E199" s="162">
        <v>2061</v>
      </c>
    </row>
    <row r="200" spans="1:5" x14ac:dyDescent="0.3">
      <c r="A200" t="s">
        <v>41</v>
      </c>
      <c r="B200" s="2">
        <v>5617</v>
      </c>
      <c r="C200" s="2">
        <v>5646</v>
      </c>
      <c r="D200" s="2">
        <v>6018</v>
      </c>
      <c r="E200" s="162">
        <v>5971</v>
      </c>
    </row>
    <row r="201" spans="1:5" x14ac:dyDescent="0.3">
      <c r="A201" t="s">
        <v>300</v>
      </c>
      <c r="B201" s="2">
        <v>328</v>
      </c>
      <c r="C201" s="2">
        <v>366</v>
      </c>
      <c r="D201" s="2">
        <v>403</v>
      </c>
      <c r="E201" s="162">
        <v>438</v>
      </c>
    </row>
    <row r="202" spans="1:5" x14ac:dyDescent="0.3">
      <c r="A202" t="s">
        <v>43</v>
      </c>
      <c r="B202" s="2">
        <v>694</v>
      </c>
      <c r="C202" s="2">
        <v>686</v>
      </c>
      <c r="D202" s="2">
        <v>634</v>
      </c>
      <c r="E202" s="162">
        <v>583</v>
      </c>
    </row>
    <row r="203" spans="1:5" x14ac:dyDescent="0.3">
      <c r="A203" t="s">
        <v>44</v>
      </c>
      <c r="B203" s="2">
        <v>-5236</v>
      </c>
      <c r="C203" s="2">
        <v>-5280</v>
      </c>
      <c r="D203" s="2">
        <v>-5650</v>
      </c>
      <c r="E203" s="162">
        <v>-5442</v>
      </c>
    </row>
    <row r="204" spans="1:5" ht="15" thickBot="1" x14ac:dyDescent="0.35">
      <c r="B204" s="6">
        <f t="shared" ref="B204:D204" si="9">SUM(B198:B203)</f>
        <v>3621</v>
      </c>
      <c r="C204" s="6">
        <f t="shared" si="9"/>
        <v>3569</v>
      </c>
      <c r="D204" s="6">
        <f t="shared" si="9"/>
        <v>3716</v>
      </c>
      <c r="E204" s="177">
        <f t="shared" ref="E204" si="10">SUM(E198:E203)</f>
        <v>3731</v>
      </c>
    </row>
    <row r="205" spans="1:5" ht="15" thickTop="1" x14ac:dyDescent="0.3">
      <c r="A205" s="13"/>
      <c r="B205" s="8"/>
      <c r="C205" s="8"/>
      <c r="D205" s="8"/>
      <c r="E205" s="8"/>
    </row>
    <row r="206" spans="1:5" x14ac:dyDescent="0.3">
      <c r="A206" s="13" t="s">
        <v>302</v>
      </c>
      <c r="B206" s="8"/>
      <c r="C206" s="8"/>
      <c r="D206" s="8"/>
      <c r="E206" s="8"/>
    </row>
    <row r="207" spans="1:5" x14ac:dyDescent="0.3">
      <c r="A207" t="s">
        <v>303</v>
      </c>
      <c r="B207" s="8">
        <v>231</v>
      </c>
      <c r="C207" s="8">
        <v>66</v>
      </c>
      <c r="D207" s="8">
        <v>252</v>
      </c>
      <c r="E207" s="52">
        <v>228</v>
      </c>
    </row>
    <row r="208" spans="1:5" x14ac:dyDescent="0.3">
      <c r="A208" t="s">
        <v>304</v>
      </c>
      <c r="B208" s="8">
        <v>0</v>
      </c>
      <c r="C208" s="8">
        <v>170</v>
      </c>
      <c r="D208" s="8">
        <v>246</v>
      </c>
      <c r="E208" s="52">
        <v>246</v>
      </c>
    </row>
    <row r="209" spans="1:5" x14ac:dyDescent="0.3">
      <c r="A209" t="s">
        <v>37</v>
      </c>
      <c r="B209" s="8">
        <f>471+14</f>
        <v>485</v>
      </c>
      <c r="C209" s="8">
        <v>393</v>
      </c>
      <c r="D209" s="8">
        <v>529</v>
      </c>
      <c r="E209" s="52">
        <v>594</v>
      </c>
    </row>
    <row r="210" spans="1:5" ht="15" thickBot="1" x14ac:dyDescent="0.35">
      <c r="B210" s="17">
        <f>SUM(B207:B209)</f>
        <v>716</v>
      </c>
      <c r="C210" s="17">
        <f>SUM(C207:C209)</f>
        <v>629</v>
      </c>
      <c r="D210" s="17">
        <f>SUM(D207:D209)</f>
        <v>1027</v>
      </c>
      <c r="E210" s="172">
        <f>SUM(E207:E209)</f>
        <v>1068</v>
      </c>
    </row>
    <row r="211" spans="1:5" ht="15" thickTop="1" x14ac:dyDescent="0.3">
      <c r="A211" s="13"/>
      <c r="B211" s="8"/>
      <c r="C211" s="8"/>
      <c r="D211" s="8"/>
      <c r="E211" s="8"/>
    </row>
    <row r="212" spans="1:5" x14ac:dyDescent="0.3">
      <c r="A212" s="13" t="s">
        <v>305</v>
      </c>
      <c r="B212" s="8"/>
      <c r="C212" s="8"/>
      <c r="D212" s="8"/>
      <c r="E212" s="8"/>
    </row>
    <row r="213" spans="1:5" x14ac:dyDescent="0.3">
      <c r="A213" t="s">
        <v>306</v>
      </c>
      <c r="B213" s="8">
        <v>42</v>
      </c>
      <c r="C213" s="8">
        <v>47</v>
      </c>
      <c r="D213" s="8">
        <v>30</v>
      </c>
      <c r="E213" s="52">
        <v>48</v>
      </c>
    </row>
    <row r="214" spans="1:5" x14ac:dyDescent="0.3">
      <c r="A214" t="s">
        <v>307</v>
      </c>
      <c r="B214" s="8">
        <v>325</v>
      </c>
      <c r="C214" s="8">
        <v>318</v>
      </c>
      <c r="D214" s="8">
        <v>311</v>
      </c>
      <c r="E214" s="52">
        <v>309</v>
      </c>
    </row>
    <row r="215" spans="1:5" x14ac:dyDescent="0.3">
      <c r="A215" t="s">
        <v>308</v>
      </c>
      <c r="B215" s="8">
        <v>447</v>
      </c>
      <c r="C215" s="8">
        <v>436</v>
      </c>
      <c r="D215" s="8">
        <v>582</v>
      </c>
      <c r="E215" s="52">
        <v>557</v>
      </c>
    </row>
    <row r="216" spans="1:5" x14ac:dyDescent="0.3">
      <c r="A216" t="s">
        <v>37</v>
      </c>
      <c r="B216" s="8">
        <v>548</v>
      </c>
      <c r="C216" s="8">
        <v>590</v>
      </c>
      <c r="D216" s="8">
        <v>551</v>
      </c>
      <c r="E216" s="52">
        <v>502</v>
      </c>
    </row>
    <row r="217" spans="1:5" ht="15" thickBot="1" x14ac:dyDescent="0.35">
      <c r="B217" s="17">
        <f>SUM(B213:B216)</f>
        <v>1362</v>
      </c>
      <c r="C217" s="17">
        <f>SUM(C213:C216)</f>
        <v>1391</v>
      </c>
      <c r="D217" s="17">
        <f>SUM(D213:D216)</f>
        <v>1474</v>
      </c>
      <c r="E217" s="172">
        <f>SUM(E213:E216)</f>
        <v>1416</v>
      </c>
    </row>
    <row r="218" spans="1:5" ht="15" thickTop="1" x14ac:dyDescent="0.3">
      <c r="B218" s="8"/>
      <c r="C218" s="8"/>
      <c r="D218" s="8"/>
      <c r="E218" s="8"/>
    </row>
    <row r="219" spans="1:5" x14ac:dyDescent="0.3">
      <c r="A219" s="13" t="s">
        <v>309</v>
      </c>
      <c r="B219" s="8"/>
      <c r="C219" s="8"/>
      <c r="D219" s="8"/>
      <c r="E219" s="8"/>
    </row>
    <row r="220" spans="1:5" x14ac:dyDescent="0.3">
      <c r="A220" t="s">
        <v>310</v>
      </c>
      <c r="B220" s="8">
        <v>0</v>
      </c>
      <c r="C220" s="8">
        <v>48</v>
      </c>
      <c r="D220" s="8">
        <v>192</v>
      </c>
      <c r="E220" s="52">
        <v>115</v>
      </c>
    </row>
    <row r="221" spans="1:5" x14ac:dyDescent="0.3">
      <c r="A221" t="s">
        <v>311</v>
      </c>
      <c r="B221" s="8">
        <v>77</v>
      </c>
      <c r="C221" s="8">
        <v>40</v>
      </c>
      <c r="D221" s="8">
        <v>40</v>
      </c>
      <c r="E221" s="52">
        <v>34</v>
      </c>
    </row>
    <row r="222" spans="1:5" x14ac:dyDescent="0.3">
      <c r="A222" t="s">
        <v>37</v>
      </c>
      <c r="B222" s="8">
        <v>391</v>
      </c>
      <c r="C222" s="8">
        <v>376</v>
      </c>
      <c r="D222" s="8">
        <v>373</v>
      </c>
      <c r="E222" s="52">
        <v>355</v>
      </c>
    </row>
    <row r="223" spans="1:5" ht="15" thickBot="1" x14ac:dyDescent="0.35">
      <c r="B223" s="17">
        <f>SUM(B220:B222)</f>
        <v>468</v>
      </c>
      <c r="C223" s="17">
        <f>SUM(C220:C222)</f>
        <v>464</v>
      </c>
      <c r="D223" s="17">
        <f>SUM(D220:D222)</f>
        <v>605</v>
      </c>
      <c r="E223" s="172">
        <f>SUM(E220:E222)</f>
        <v>504</v>
      </c>
    </row>
    <row r="224" spans="1:5" ht="15" thickTop="1" x14ac:dyDescent="0.3"/>
    <row r="225" spans="1:5" x14ac:dyDescent="0.3">
      <c r="A225" t="s">
        <v>312</v>
      </c>
      <c r="B225">
        <v>4</v>
      </c>
      <c r="C225" s="38">
        <v>9</v>
      </c>
      <c r="D225" s="38">
        <v>14</v>
      </c>
      <c r="E225" s="88">
        <v>4</v>
      </c>
    </row>
    <row r="229" spans="1:5" x14ac:dyDescent="0.3">
      <c r="A229" s="184"/>
      <c r="B229" s="184"/>
      <c r="C229" s="184"/>
      <c r="D229" s="184"/>
      <c r="E229" s="184"/>
    </row>
    <row r="230" spans="1:5" x14ac:dyDescent="0.3">
      <c r="A230" s="178" t="s">
        <v>483</v>
      </c>
      <c r="B230" s="185" t="s">
        <v>484</v>
      </c>
    </row>
    <row r="231" spans="1:5" x14ac:dyDescent="0.3">
      <c r="A231" s="13" t="s">
        <v>314</v>
      </c>
      <c r="B231" s="8"/>
      <c r="C231" s="8"/>
      <c r="D231" s="8"/>
      <c r="E231" s="8"/>
    </row>
    <row r="232" spans="1:5" x14ac:dyDescent="0.3">
      <c r="A232" t="s">
        <v>304</v>
      </c>
      <c r="B232" s="82">
        <f t="shared" ref="B232:D232" si="11">+B193</f>
        <v>227</v>
      </c>
      <c r="C232" s="82">
        <f t="shared" si="11"/>
        <v>0</v>
      </c>
      <c r="D232" s="82">
        <f t="shared" si="11"/>
        <v>0</v>
      </c>
      <c r="E232" s="82">
        <f t="shared" ref="E232" si="12">+E193</f>
        <v>0</v>
      </c>
    </row>
    <row r="233" spans="1:5" x14ac:dyDescent="0.3">
      <c r="A233" t="s">
        <v>37</v>
      </c>
      <c r="B233" s="8">
        <f t="shared" ref="B233:D233" si="13">+B194</f>
        <v>164</v>
      </c>
      <c r="C233" s="8">
        <f t="shared" si="13"/>
        <v>191</v>
      </c>
      <c r="D233" s="8">
        <f t="shared" si="13"/>
        <v>149</v>
      </c>
      <c r="E233" s="8">
        <f>+E194</f>
        <v>131</v>
      </c>
    </row>
    <row r="234" spans="1:5" ht="15" thickBot="1" x14ac:dyDescent="0.35">
      <c r="B234" s="17">
        <f>SUM(B232:B233)</f>
        <v>391</v>
      </c>
      <c r="C234" s="17">
        <f>SUM(C232:C233)</f>
        <v>191</v>
      </c>
      <c r="D234" s="17">
        <f>SUM(D232:D233)</f>
        <v>149</v>
      </c>
      <c r="E234" s="17">
        <f>SUM(E232:E233)</f>
        <v>131</v>
      </c>
    </row>
    <row r="235" spans="1:5" ht="15" thickTop="1" x14ac:dyDescent="0.3"/>
    <row r="236" spans="1:5" x14ac:dyDescent="0.3">
      <c r="A236" s="13" t="s">
        <v>302</v>
      </c>
      <c r="B236" s="8"/>
      <c r="C236" s="8"/>
      <c r="D236" s="8"/>
      <c r="E236" s="8"/>
    </row>
    <row r="237" spans="1:5" x14ac:dyDescent="0.3">
      <c r="A237" t="s">
        <v>303</v>
      </c>
      <c r="B237" s="82">
        <f>+B207</f>
        <v>231</v>
      </c>
      <c r="C237" s="82">
        <f>+C207</f>
        <v>66</v>
      </c>
      <c r="D237" s="82">
        <f>+D207</f>
        <v>252</v>
      </c>
      <c r="E237" s="82">
        <f>+E207</f>
        <v>228</v>
      </c>
    </row>
    <row r="238" spans="1:5" x14ac:dyDescent="0.3">
      <c r="A238" t="s">
        <v>304</v>
      </c>
      <c r="B238" s="82">
        <f>+B208+B133</f>
        <v>147</v>
      </c>
      <c r="C238" s="82">
        <f>+C208</f>
        <v>170</v>
      </c>
      <c r="D238" s="82">
        <f>+D208</f>
        <v>246</v>
      </c>
      <c r="E238" s="82">
        <f>+E208</f>
        <v>246</v>
      </c>
    </row>
    <row r="239" spans="1:5" x14ac:dyDescent="0.3">
      <c r="A239" s="14" t="s">
        <v>331</v>
      </c>
      <c r="B239" s="82">
        <f>+B83</f>
        <v>0</v>
      </c>
      <c r="C239" s="82">
        <f>+C83</f>
        <v>17</v>
      </c>
      <c r="D239" s="82">
        <f>+D83</f>
        <v>144</v>
      </c>
      <c r="E239" s="82">
        <f>+E83</f>
        <v>107</v>
      </c>
    </row>
    <row r="240" spans="1:5" x14ac:dyDescent="0.3">
      <c r="A240" t="s">
        <v>37</v>
      </c>
      <c r="B240" s="8">
        <f>+B209-B133-B83</f>
        <v>338</v>
      </c>
      <c r="C240" s="8">
        <f>+C209-C83</f>
        <v>376</v>
      </c>
      <c r="D240" s="8">
        <f>+D209-D83</f>
        <v>385</v>
      </c>
      <c r="E240" s="8">
        <f>+E209-E83</f>
        <v>487</v>
      </c>
    </row>
    <row r="241" spans="1:5" ht="15" thickBot="1" x14ac:dyDescent="0.35">
      <c r="B241" s="17">
        <f>SUM(B237:B240)</f>
        <v>716</v>
      </c>
      <c r="C241" s="17">
        <f>SUM(C237:C240)</f>
        <v>629</v>
      </c>
      <c r="D241" s="17">
        <f>SUM(D237:D240)</f>
        <v>1027</v>
      </c>
      <c r="E241" s="17">
        <f>SUM(E237:E240)</f>
        <v>1068</v>
      </c>
    </row>
    <row r="242" spans="1:5" ht="15" thickTop="1" x14ac:dyDescent="0.3">
      <c r="B242" s="19"/>
      <c r="C242" s="19"/>
      <c r="D242" s="19"/>
      <c r="E242" s="19"/>
    </row>
    <row r="243" spans="1:5" x14ac:dyDescent="0.3">
      <c r="A243" s="13" t="s">
        <v>305</v>
      </c>
      <c r="B243" s="8"/>
      <c r="C243" s="8"/>
      <c r="D243" s="8"/>
      <c r="E243" s="8"/>
    </row>
    <row r="244" spans="1:5" x14ac:dyDescent="0.3">
      <c r="A244" t="s">
        <v>306</v>
      </c>
      <c r="B244" s="8">
        <f t="shared" ref="B244:D244" si="14">-B213</f>
        <v>-42</v>
      </c>
      <c r="C244" s="8">
        <f t="shared" si="14"/>
        <v>-47</v>
      </c>
      <c r="D244" s="8">
        <f t="shared" si="14"/>
        <v>-30</v>
      </c>
      <c r="E244" s="8">
        <f t="shared" ref="E244:E246" si="15">-E213</f>
        <v>-48</v>
      </c>
    </row>
    <row r="245" spans="1:5" x14ac:dyDescent="0.3">
      <c r="A245" t="s">
        <v>307</v>
      </c>
      <c r="B245" s="8">
        <f t="shared" ref="B245:D245" si="16">-B214</f>
        <v>-325</v>
      </c>
      <c r="C245" s="8">
        <f t="shared" si="16"/>
        <v>-318</v>
      </c>
      <c r="D245" s="8">
        <f t="shared" si="16"/>
        <v>-311</v>
      </c>
      <c r="E245" s="8">
        <f t="shared" si="15"/>
        <v>-309</v>
      </c>
    </row>
    <row r="246" spans="1:5" x14ac:dyDescent="0.3">
      <c r="A246" t="s">
        <v>308</v>
      </c>
      <c r="B246" s="8">
        <f t="shared" ref="B246:D246" si="17">-B215</f>
        <v>-447</v>
      </c>
      <c r="C246" s="8">
        <f t="shared" si="17"/>
        <v>-436</v>
      </c>
      <c r="D246" s="8">
        <f t="shared" si="17"/>
        <v>-582</v>
      </c>
      <c r="E246" s="8">
        <f t="shared" si="15"/>
        <v>-557</v>
      </c>
    </row>
    <row r="247" spans="1:5" x14ac:dyDescent="0.3">
      <c r="A247" t="s">
        <v>304</v>
      </c>
      <c r="B247" s="82">
        <f>+B132</f>
        <v>-9</v>
      </c>
      <c r="C247" s="82">
        <f>+C132</f>
        <v>0</v>
      </c>
      <c r="D247" s="82">
        <f>+D132</f>
        <v>0</v>
      </c>
      <c r="E247" s="82">
        <f>+E132</f>
        <v>0</v>
      </c>
    </row>
    <row r="248" spans="1:5" x14ac:dyDescent="0.3">
      <c r="A248" t="s">
        <v>303</v>
      </c>
      <c r="B248" s="82">
        <f>+B58</f>
        <v>-17</v>
      </c>
      <c r="C248" s="82">
        <f>+C58</f>
        <v>-11</v>
      </c>
      <c r="D248" s="82">
        <f>+D58</f>
        <v>-19</v>
      </c>
      <c r="E248" s="82">
        <f>+E58</f>
        <v>-17</v>
      </c>
    </row>
    <row r="249" spans="1:5" x14ac:dyDescent="0.3">
      <c r="A249" t="s">
        <v>330</v>
      </c>
      <c r="B249" s="82">
        <f t="shared" ref="B249:D249" si="18">+B108</f>
        <v>-8</v>
      </c>
      <c r="C249" s="82">
        <f t="shared" si="18"/>
        <v>-8</v>
      </c>
      <c r="D249" s="82">
        <f t="shared" si="18"/>
        <v>-4</v>
      </c>
      <c r="E249" s="82">
        <f t="shared" ref="E249" si="19">+E108</f>
        <v>-5</v>
      </c>
    </row>
    <row r="250" spans="1:5" x14ac:dyDescent="0.3">
      <c r="A250" s="14" t="s">
        <v>331</v>
      </c>
      <c r="B250" s="82">
        <f>+B84</f>
        <v>-2</v>
      </c>
      <c r="C250" s="82">
        <f>+C84</f>
        <v>-2</v>
      </c>
      <c r="D250" s="82">
        <f>+D84</f>
        <v>-2</v>
      </c>
      <c r="E250" s="82">
        <f>+E84</f>
        <v>-2</v>
      </c>
    </row>
    <row r="251" spans="1:5" x14ac:dyDescent="0.3">
      <c r="A251" t="s">
        <v>37</v>
      </c>
      <c r="B251" s="8">
        <f>-B216-B132-B108-B84-B58</f>
        <v>-512</v>
      </c>
      <c r="C251" s="8">
        <f>-C216-C132-C108-C84-C58</f>
        <v>-569</v>
      </c>
      <c r="D251" s="8">
        <f>-D216-D132-D108-D84-D58</f>
        <v>-526</v>
      </c>
      <c r="E251" s="8">
        <f>-E216-E132-E108-E84-E58</f>
        <v>-478</v>
      </c>
    </row>
    <row r="252" spans="1:5" ht="15" thickBot="1" x14ac:dyDescent="0.35">
      <c r="B252" s="17">
        <f>SUM(B244:B251)</f>
        <v>-1362</v>
      </c>
      <c r="C252" s="17">
        <f>SUM(C244:C251)</f>
        <v>-1391</v>
      </c>
      <c r="D252" s="17">
        <f>SUM(D244:D251)</f>
        <v>-1474</v>
      </c>
      <c r="E252" s="17">
        <f>SUM(E244:E251)</f>
        <v>-1416</v>
      </c>
    </row>
    <row r="253" spans="1:5" ht="15" thickTop="1" x14ac:dyDescent="0.3">
      <c r="B253" s="8"/>
      <c r="C253" s="8"/>
      <c r="D253" s="8"/>
      <c r="E253" s="8"/>
    </row>
    <row r="254" spans="1:5" x14ac:dyDescent="0.3">
      <c r="A254" s="13" t="s">
        <v>309</v>
      </c>
      <c r="B254" s="8"/>
      <c r="C254" s="8"/>
      <c r="D254" s="8"/>
      <c r="E254" s="8"/>
    </row>
    <row r="255" spans="1:5" x14ac:dyDescent="0.3">
      <c r="A255" t="s">
        <v>310</v>
      </c>
      <c r="B255" s="8">
        <f t="shared" ref="B255:D255" si="20">-B220</f>
        <v>0</v>
      </c>
      <c r="C255" s="8">
        <f t="shared" si="20"/>
        <v>-48</v>
      </c>
      <c r="D255" s="8">
        <f t="shared" si="20"/>
        <v>-192</v>
      </c>
      <c r="E255" s="8">
        <f t="shared" ref="E255:E256" si="21">-E220</f>
        <v>-115</v>
      </c>
    </row>
    <row r="256" spans="1:5" x14ac:dyDescent="0.3">
      <c r="A256" t="s">
        <v>311</v>
      </c>
      <c r="B256" s="8">
        <f t="shared" ref="B256:D256" si="22">-B221</f>
        <v>-77</v>
      </c>
      <c r="C256" s="8">
        <f t="shared" si="22"/>
        <v>-40</v>
      </c>
      <c r="D256" s="8">
        <f t="shared" si="22"/>
        <v>-40</v>
      </c>
      <c r="E256" s="8">
        <f t="shared" si="21"/>
        <v>-34</v>
      </c>
    </row>
    <row r="257" spans="1:5" x14ac:dyDescent="0.3">
      <c r="A257" t="s">
        <v>330</v>
      </c>
      <c r="B257" s="82">
        <f>+B109</f>
        <v>-100</v>
      </c>
      <c r="C257" s="82">
        <f>+C109</f>
        <v>-79</v>
      </c>
      <c r="D257" s="82">
        <f>+D109</f>
        <v>-39</v>
      </c>
      <c r="E257" s="82">
        <f>+E109</f>
        <v>-37</v>
      </c>
    </row>
    <row r="258" spans="1:5" x14ac:dyDescent="0.3">
      <c r="A258" s="14" t="s">
        <v>331</v>
      </c>
      <c r="B258" s="82">
        <f>+B85</f>
        <v>-77</v>
      </c>
      <c r="C258" s="82">
        <f>+C85</f>
        <v>-40</v>
      </c>
      <c r="D258" s="82">
        <f>+D85</f>
        <v>-40</v>
      </c>
      <c r="E258" s="82">
        <f>+E85</f>
        <v>-34</v>
      </c>
    </row>
    <row r="259" spans="1:5" x14ac:dyDescent="0.3">
      <c r="A259" s="14" t="s">
        <v>333</v>
      </c>
      <c r="B259" s="82">
        <f>+B59-B264</f>
        <v>0</v>
      </c>
      <c r="C259" s="82">
        <f>+C59-C264</f>
        <v>3</v>
      </c>
      <c r="D259" s="82">
        <f>+D59-D264</f>
        <v>1</v>
      </c>
      <c r="E259" s="82">
        <f>+E59-E264</f>
        <v>0</v>
      </c>
    </row>
    <row r="260" spans="1:5" x14ac:dyDescent="0.3">
      <c r="A260" t="s">
        <v>37</v>
      </c>
      <c r="B260" s="8">
        <f>-B222-B109-B85-B259</f>
        <v>-214</v>
      </c>
      <c r="C260" s="8">
        <f>-C222-C109-C85-C259</f>
        <v>-260</v>
      </c>
      <c r="D260" s="8">
        <f>-D222-D109-D85-D259</f>
        <v>-295</v>
      </c>
      <c r="E260" s="8">
        <f>-E222-E109-E85-E259</f>
        <v>-284</v>
      </c>
    </row>
    <row r="261" spans="1:5" ht="15" thickBot="1" x14ac:dyDescent="0.35">
      <c r="B261" s="17">
        <f>SUM(B255:B260)</f>
        <v>-468</v>
      </c>
      <c r="C261" s="17">
        <f>SUM(C255:C260)</f>
        <v>-464</v>
      </c>
      <c r="D261" s="17">
        <f>SUM(D255:D260)</f>
        <v>-605</v>
      </c>
      <c r="E261" s="17">
        <f>SUM(E255:E260)</f>
        <v>-504</v>
      </c>
    </row>
    <row r="262" spans="1:5" ht="15" thickTop="1" x14ac:dyDescent="0.3">
      <c r="B262" s="19"/>
      <c r="C262" s="19"/>
      <c r="D262" s="19"/>
      <c r="E262" s="19"/>
    </row>
    <row r="263" spans="1:5" x14ac:dyDescent="0.3">
      <c r="A263" t="s">
        <v>329</v>
      </c>
      <c r="B263" s="83">
        <f>+'3 BS Reported'!C26</f>
        <v>-685</v>
      </c>
      <c r="C263" s="83">
        <f>+'3 BS Reported'!D26</f>
        <v>-525</v>
      </c>
      <c r="D263" s="83">
        <f>+'3 BS Reported'!E26</f>
        <v>-355</v>
      </c>
      <c r="E263" s="83">
        <f>+'3 BS Reported'!F26</f>
        <v>-730</v>
      </c>
    </row>
    <row r="264" spans="1:5" x14ac:dyDescent="0.3">
      <c r="A264" t="s">
        <v>332</v>
      </c>
      <c r="B264" s="186">
        <f>+'3 BS Reported'!C27</f>
        <v>-946</v>
      </c>
      <c r="C264" s="186">
        <f>+'3 BS Reported'!D27</f>
        <v>-1024</v>
      </c>
      <c r="D264" s="186">
        <f>+'3 BS Reported'!E27</f>
        <v>-839</v>
      </c>
      <c r="E264" s="186">
        <f>+'3 BS Reported'!F27</f>
        <v>-651</v>
      </c>
    </row>
    <row r="266" spans="1:5" x14ac:dyDescent="0.3">
      <c r="A266" t="s">
        <v>453</v>
      </c>
      <c r="B266" s="85">
        <f t="shared" ref="B266:D266" si="23">+B232+B238+B247+B263</f>
        <v>-320</v>
      </c>
      <c r="C266" s="85">
        <f t="shared" si="23"/>
        <v>-355</v>
      </c>
      <c r="D266" s="85">
        <f t="shared" si="23"/>
        <v>-109</v>
      </c>
      <c r="E266" s="86">
        <f t="shared" ref="E266" si="24">+E232+E238+E247+E263</f>
        <v>-484</v>
      </c>
    </row>
    <row r="267" spans="1:5" x14ac:dyDescent="0.3">
      <c r="A267" t="s">
        <v>485</v>
      </c>
      <c r="B267" s="187">
        <f t="shared" ref="B267:D267" si="25">+B237+B248+B259+B264</f>
        <v>-732</v>
      </c>
      <c r="C267" s="187">
        <f t="shared" si="25"/>
        <v>-966</v>
      </c>
      <c r="D267" s="187">
        <f t="shared" si="25"/>
        <v>-605</v>
      </c>
      <c r="E267" s="188">
        <f t="shared" ref="E267" si="26">+E237+E248+E259+E264</f>
        <v>-440</v>
      </c>
    </row>
    <row r="268" spans="1:5" x14ac:dyDescent="0.3">
      <c r="A268" t="s">
        <v>486</v>
      </c>
      <c r="B268" s="187">
        <f>+B239+B250+B258</f>
        <v>-79</v>
      </c>
      <c r="C268" s="187">
        <f>+C239+C250+C258</f>
        <v>-25</v>
      </c>
      <c r="D268" s="187">
        <f>+D239+D250+D258</f>
        <v>102</v>
      </c>
      <c r="E268" s="188">
        <f>+E239+E250+E258</f>
        <v>71</v>
      </c>
    </row>
    <row r="269" spans="1:5" x14ac:dyDescent="0.3">
      <c r="A269" t="s">
        <v>487</v>
      </c>
      <c r="B269" s="189">
        <f t="shared" ref="B269:D269" si="27">+B249+B257</f>
        <v>-108</v>
      </c>
      <c r="C269" s="189">
        <f t="shared" si="27"/>
        <v>-87</v>
      </c>
      <c r="D269" s="189">
        <f t="shared" si="27"/>
        <v>-43</v>
      </c>
      <c r="E269" s="190">
        <f t="shared" ref="E269" si="28">+E249+E257</f>
        <v>-42</v>
      </c>
    </row>
  </sheetData>
  <pageMargins left="0.7" right="0.7" top="0.75" bottom="0.75" header="0.3" footer="0.3"/>
  <pageSetup scale="87" fitToHeight="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124"/>
  <sheetViews>
    <sheetView zoomScaleNormal="100" workbookViewId="0">
      <pane xSplit="3" ySplit="3" topLeftCell="D91" activePane="bottomRight" state="frozen"/>
      <selection activeCell="H23" sqref="H23"/>
      <selection pane="topRight" activeCell="H23" sqref="H23"/>
      <selection pane="bottomLeft" activeCell="H23" sqref="H23"/>
      <selection pane="bottomRight" activeCell="H23" sqref="H23"/>
    </sheetView>
  </sheetViews>
  <sheetFormatPr defaultRowHeight="14.4" x14ac:dyDescent="0.3"/>
  <cols>
    <col min="1" max="1" width="61.21875" style="14" bestFit="1" customWidth="1"/>
    <col min="2" max="3" width="9.88671875" style="51" bestFit="1" customWidth="1"/>
    <col min="4" max="4" width="8.77734375" style="14" bestFit="1" customWidth="1"/>
    <col min="5" max="7" width="10.77734375" style="14" bestFit="1" customWidth="1"/>
    <col min="8" max="40" width="9.109375" style="14"/>
  </cols>
  <sheetData>
    <row r="1" spans="1:40" s="13" customFormat="1" x14ac:dyDescent="0.3">
      <c r="A1" s="13" t="str">
        <f>+'3 BS Reported'!A1</f>
        <v>Kellogg</v>
      </c>
      <c r="B1" s="191"/>
      <c r="C1" s="191"/>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row>
    <row r="2" spans="1:40" s="13" customFormat="1" x14ac:dyDescent="0.3">
      <c r="B2" s="191" t="s">
        <v>26</v>
      </c>
      <c r="C2" s="191"/>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row>
    <row r="3" spans="1:40" s="13" customFormat="1" ht="15" thickBot="1" x14ac:dyDescent="0.35">
      <c r="A3" s="13" t="str">
        <f>+'3 BS Reported'!A3</f>
        <v>Amounts in millions</v>
      </c>
      <c r="B3" s="191" t="s">
        <v>27</v>
      </c>
      <c r="C3" s="191" t="s">
        <v>24</v>
      </c>
      <c r="D3" s="149">
        <f>+'3 IS Reported'!C3</f>
        <v>42371</v>
      </c>
      <c r="E3" s="149">
        <f>+'3 IS Reported'!D3</f>
        <v>42735</v>
      </c>
      <c r="F3" s="149">
        <f>+'3 IS Reported'!E3</f>
        <v>43099</v>
      </c>
      <c r="G3" s="149">
        <f>+'3 IS Reported'!F3</f>
        <v>43463</v>
      </c>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row>
    <row r="4" spans="1:40" x14ac:dyDescent="0.3">
      <c r="A4" s="74" t="s">
        <v>4</v>
      </c>
    </row>
    <row r="5" spans="1:40" x14ac:dyDescent="0.3">
      <c r="A5" s="14" t="s">
        <v>5</v>
      </c>
      <c r="B5" s="51" t="str">
        <f>IFERROR(VLOOKUP(A5,'3 BS Reported'!A:B,2,),"")</f>
        <v>Split</v>
      </c>
      <c r="D5" s="28">
        <f>+'3 BS Reported'!C6</f>
        <v>251</v>
      </c>
      <c r="E5" s="28">
        <f>+'3 BS Reported'!D6</f>
        <v>280</v>
      </c>
      <c r="F5" s="28">
        <f>+'3 BS Reported'!E6</f>
        <v>281</v>
      </c>
      <c r="G5" s="28">
        <f>+'3 BS Reported'!F6</f>
        <v>321</v>
      </c>
    </row>
    <row r="6" spans="1:40" s="43" customFormat="1" x14ac:dyDescent="0.3">
      <c r="A6" s="14" t="str">
        <f>CONCATENATE('4 Add''l Info'!A$180,'4 Add''l Info'!A181)</f>
        <v>Accounts Receivable: Trade</v>
      </c>
      <c r="B6" s="51" t="str">
        <f>IFERROR(VLOOKUP(A6,'3 BS Reported'!A:B,2,),"")</f>
        <v/>
      </c>
      <c r="C6" s="161" t="s">
        <v>187</v>
      </c>
      <c r="D6" s="28">
        <f>+'4 Add''l Info'!B181</f>
        <v>1169</v>
      </c>
      <c r="E6" s="28">
        <f>+'4 Add''l Info'!C181</f>
        <v>1106</v>
      </c>
      <c r="F6" s="28">
        <f>+'4 Add''l Info'!D181</f>
        <v>1250</v>
      </c>
      <c r="G6" s="28">
        <f>+'4 Add''l Info'!E181</f>
        <v>1163</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row>
    <row r="7" spans="1:40" s="43" customFormat="1" x14ac:dyDescent="0.3">
      <c r="A7" s="14" t="str">
        <f>CONCATENATE('4 Add''l Info'!A$180,'4 Add''l Info'!A182)</f>
        <v>Accounts Receivable: Allowance for doubtful accounts</v>
      </c>
      <c r="B7" s="51" t="str">
        <f>IFERROR(VLOOKUP(A7,'3 BS Reported'!A:B,2,),"")</f>
        <v/>
      </c>
      <c r="C7" s="161" t="s">
        <v>187</v>
      </c>
      <c r="D7" s="28">
        <f>+'4 Add''l Info'!B182</f>
        <v>-8</v>
      </c>
      <c r="E7" s="28">
        <f>+'4 Add''l Info'!C182</f>
        <v>-8</v>
      </c>
      <c r="F7" s="28">
        <f>+'4 Add''l Info'!D182</f>
        <v>-10</v>
      </c>
      <c r="G7" s="28">
        <f>+'4 Add''l Info'!E182</f>
        <v>-10</v>
      </c>
      <c r="H7" s="28"/>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s="43" customFormat="1" x14ac:dyDescent="0.3">
      <c r="A8" s="14" t="str">
        <f>CONCATENATE('4 Add''l Info'!A$180,'4 Add''l Info'!A183)</f>
        <v>Accounts Receivable: Refundable income taxes</v>
      </c>
      <c r="B8" s="51" t="str">
        <f>IFERROR(VLOOKUP(A8,'3 BS Reported'!A:B,2,),"")</f>
        <v/>
      </c>
      <c r="C8" s="161" t="s">
        <v>187</v>
      </c>
      <c r="D8" s="28">
        <f>+'4 Add''l Info'!B183</f>
        <v>27</v>
      </c>
      <c r="E8" s="28">
        <f>+'4 Add''l Info'!C183</f>
        <v>24</v>
      </c>
      <c r="F8" s="28">
        <f>+'4 Add''l Info'!D183</f>
        <v>23</v>
      </c>
      <c r="G8" s="28">
        <f>+'4 Add''l Info'!E183</f>
        <v>28</v>
      </c>
      <c r="H8" s="28"/>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row>
    <row r="9" spans="1:40" s="43" customFormat="1" x14ac:dyDescent="0.3">
      <c r="A9" s="14" t="str">
        <f>CONCATENATE('4 Add''l Info'!A$180,'4 Add''l Info'!A184)</f>
        <v>Accounts Receivable: Other receivables</v>
      </c>
      <c r="B9" s="51" t="str">
        <f>IFERROR(VLOOKUP(A9,'3 BS Reported'!A:B,2,),"")</f>
        <v/>
      </c>
      <c r="C9" s="161" t="s">
        <v>187</v>
      </c>
      <c r="D9" s="28">
        <f>+'4 Add''l Info'!B184</f>
        <v>156</v>
      </c>
      <c r="E9" s="28">
        <f>+'4 Add''l Info'!C184</f>
        <v>109</v>
      </c>
      <c r="F9" s="28">
        <f>+'4 Add''l Info'!D184</f>
        <v>126</v>
      </c>
      <c r="G9" s="28">
        <f>+'4 Add''l Info'!E184</f>
        <v>194</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row>
    <row r="10" spans="1:40" s="43" customFormat="1" x14ac:dyDescent="0.3">
      <c r="A10" s="14" t="str">
        <f>CONCATENATE('4 Add''l Info'!A$187,'4 Add''l Info'!A188)</f>
        <v>Inventories: Raw materials and supplies</v>
      </c>
      <c r="B10" s="51" t="str">
        <f>IFERROR(VLOOKUP(A10,'3 BS Reported'!A:B,2,),"")</f>
        <v/>
      </c>
      <c r="C10" s="161" t="s">
        <v>187</v>
      </c>
      <c r="D10" s="28">
        <f>+'4 Add''l Info'!B188</f>
        <v>315</v>
      </c>
      <c r="E10" s="28">
        <f>+'4 Add''l Info'!C188</f>
        <v>315</v>
      </c>
      <c r="F10" s="28">
        <f>+'4 Add''l Info'!D188</f>
        <v>333</v>
      </c>
      <c r="G10" s="28">
        <f>+'4 Add''l Info'!E188</f>
        <v>339</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row r="11" spans="1:40" s="43" customFormat="1" x14ac:dyDescent="0.3">
      <c r="A11" s="14" t="str">
        <f>CONCATENATE('4 Add''l Info'!A$187,'4 Add''l Info'!A189)</f>
        <v>Inventories: Finished goods and materials in progress</v>
      </c>
      <c r="B11" s="51" t="str">
        <f>IFERROR(VLOOKUP(A11,'3 BS Reported'!A:B,2,),"")</f>
        <v/>
      </c>
      <c r="C11" s="161" t="s">
        <v>187</v>
      </c>
      <c r="D11" s="28">
        <f>+'4 Add''l Info'!B189</f>
        <v>935</v>
      </c>
      <c r="E11" s="28">
        <f>+'4 Add''l Info'!C189</f>
        <v>923</v>
      </c>
      <c r="F11" s="28">
        <f>+'4 Add''l Info'!D189</f>
        <v>884</v>
      </c>
      <c r="G11" s="28">
        <f>+'4 Add''l Info'!E189</f>
        <v>991</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row>
    <row r="12" spans="1:40" s="43" customFormat="1" x14ac:dyDescent="0.3">
      <c r="A12" s="14" t="s">
        <v>22</v>
      </c>
      <c r="B12" s="51" t="str">
        <f>IFERROR(VLOOKUP(A12,'3 BS Reported'!A:B,2,),"")</f>
        <v>Operating</v>
      </c>
      <c r="C12" s="51"/>
      <c r="D12" s="28">
        <f>+'4 Add''l Info'!B233</f>
        <v>164</v>
      </c>
      <c r="E12" s="28">
        <f>+'4 Add''l Info'!C233</f>
        <v>191</v>
      </c>
      <c r="F12" s="28">
        <f>+'4 Add''l Info'!D233</f>
        <v>149</v>
      </c>
      <c r="G12" s="28">
        <f>+'4 Add''l Info'!E233</f>
        <v>131</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row>
    <row r="13" spans="1:40" s="43" customFormat="1" x14ac:dyDescent="0.3">
      <c r="A13" s="14" t="str">
        <f>CONCATENATE('4 Add''l Info'!A$197,'4 Add''l Info'!A198)</f>
        <v>Property, net: Land</v>
      </c>
      <c r="B13" s="51" t="str">
        <f>IFERROR(VLOOKUP(A13,'3 BS Reported'!A:B,2,),"")</f>
        <v/>
      </c>
      <c r="C13" s="161" t="s">
        <v>187</v>
      </c>
      <c r="D13" s="28">
        <f>+'4 Add''l Info'!B198</f>
        <v>142</v>
      </c>
      <c r="E13" s="28">
        <f>+'4 Add''l Info'!C198</f>
        <v>131</v>
      </c>
      <c r="F13" s="28">
        <f>+'4 Add''l Info'!D198</f>
        <v>111</v>
      </c>
      <c r="G13" s="28">
        <f>+'4 Add''l Info'!E198</f>
        <v>120</v>
      </c>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0" s="43" customFormat="1" x14ac:dyDescent="0.3">
      <c r="A14" s="14" t="str">
        <f>CONCATENATE('4 Add''l Info'!A$197,'4 Add''l Info'!A199)</f>
        <v>Property, net: Buildings</v>
      </c>
      <c r="B14" s="51" t="str">
        <f>IFERROR(VLOOKUP(A14,'3 BS Reported'!A:B,2,),"")</f>
        <v/>
      </c>
      <c r="C14" s="161" t="s">
        <v>187</v>
      </c>
      <c r="D14" s="28">
        <f>+'4 Add''l Info'!B199</f>
        <v>2076</v>
      </c>
      <c r="E14" s="28">
        <f>+'4 Add''l Info'!C199</f>
        <v>2020</v>
      </c>
      <c r="F14" s="28">
        <f>+'4 Add''l Info'!D199</f>
        <v>2200</v>
      </c>
      <c r="G14" s="28">
        <f>+'4 Add''l Info'!E199</f>
        <v>2061</v>
      </c>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row>
    <row r="15" spans="1:40" s="43" customFormat="1" x14ac:dyDescent="0.3">
      <c r="A15" s="14" t="str">
        <f>CONCATENATE('4 Add''l Info'!A$197,'4 Add''l Info'!A200)</f>
        <v>Property, net: Machinery and equipment</v>
      </c>
      <c r="B15" s="51" t="str">
        <f>IFERROR(VLOOKUP(A15,'3 BS Reported'!A:B,2,),"")</f>
        <v/>
      </c>
      <c r="C15" s="161" t="s">
        <v>187</v>
      </c>
      <c r="D15" s="28">
        <f>+'4 Add''l Info'!B200</f>
        <v>5617</v>
      </c>
      <c r="E15" s="28">
        <f>+'4 Add''l Info'!C200</f>
        <v>5646</v>
      </c>
      <c r="F15" s="28">
        <f>+'4 Add''l Info'!D200</f>
        <v>6018</v>
      </c>
      <c r="G15" s="28">
        <f>+'4 Add''l Info'!E200</f>
        <v>5971</v>
      </c>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row>
    <row r="16" spans="1:40" s="43" customFormat="1" x14ac:dyDescent="0.3">
      <c r="A16" s="14" t="str">
        <f>CONCATENATE('4 Add''l Info'!A$197,'4 Add''l Info'!A201)</f>
        <v>Property, net: Capitalized software</v>
      </c>
      <c r="B16" s="51" t="str">
        <f>IFERROR(VLOOKUP(A16,'3 BS Reported'!A:B,2,),"")</f>
        <v/>
      </c>
      <c r="C16" s="161" t="s">
        <v>187</v>
      </c>
      <c r="D16" s="28">
        <f>+'4 Add''l Info'!B201</f>
        <v>328</v>
      </c>
      <c r="E16" s="28">
        <f>+'4 Add''l Info'!C201</f>
        <v>366</v>
      </c>
      <c r="F16" s="28">
        <f>+'4 Add''l Info'!D201</f>
        <v>403</v>
      </c>
      <c r="G16" s="28">
        <f>+'4 Add''l Info'!E201</f>
        <v>438</v>
      </c>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row>
    <row r="17" spans="1:40" s="43" customFormat="1" x14ac:dyDescent="0.3">
      <c r="A17" s="14" t="str">
        <f>CONCATENATE('4 Add''l Info'!A$197,'4 Add''l Info'!A202)</f>
        <v>Property, net: Construction in progress</v>
      </c>
      <c r="B17" s="51" t="str">
        <f>IFERROR(VLOOKUP(A17,'3 BS Reported'!A:B,2,),"")</f>
        <v/>
      </c>
      <c r="C17" s="161" t="s">
        <v>187</v>
      </c>
      <c r="D17" s="28">
        <f>+'4 Add''l Info'!B202</f>
        <v>694</v>
      </c>
      <c r="E17" s="28">
        <f>+'4 Add''l Info'!C202</f>
        <v>686</v>
      </c>
      <c r="F17" s="28">
        <f>+'4 Add''l Info'!D202</f>
        <v>634</v>
      </c>
      <c r="G17" s="28">
        <f>+'4 Add''l Info'!E202</f>
        <v>583</v>
      </c>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spans="1:40" s="43" customFormat="1" x14ac:dyDescent="0.3">
      <c r="A18" s="14" t="str">
        <f>CONCATENATE('4 Add''l Info'!A$197,'4 Add''l Info'!A203)</f>
        <v>Property, net: Accumulated depreciation</v>
      </c>
      <c r="B18" s="51" t="str">
        <f>IFERROR(VLOOKUP(A18,'3 BS Reported'!A:B,2,),"")</f>
        <v/>
      </c>
      <c r="C18" s="161" t="s">
        <v>187</v>
      </c>
      <c r="D18" s="28">
        <f>+'4 Add''l Info'!B203</f>
        <v>-5236</v>
      </c>
      <c r="E18" s="28">
        <f>+'4 Add''l Info'!C203</f>
        <v>-5280</v>
      </c>
      <c r="F18" s="28">
        <f>+'4 Add''l Info'!D203</f>
        <v>-5650</v>
      </c>
      <c r="G18" s="28">
        <f>+'4 Add''l Info'!E203</f>
        <v>-5442</v>
      </c>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row>
    <row r="19" spans="1:40" x14ac:dyDescent="0.3">
      <c r="A19" s="14" t="str">
        <f>CONCATENATE('4 Add''l Info'!A$4,'4 Add''l Info'!A5)</f>
        <v>Goodwill: US Morning Foods</v>
      </c>
      <c r="B19" s="51" t="str">
        <f>IFERROR(VLOOKUP(A19,'3 BS Reported'!A:B,2,),"")</f>
        <v/>
      </c>
      <c r="C19" s="161" t="s">
        <v>187</v>
      </c>
      <c r="D19" s="28">
        <f>+'4 Add''l Info'!B5</f>
        <v>131</v>
      </c>
      <c r="E19" s="28">
        <f>+'4 Add''l Info'!C5</f>
        <v>131</v>
      </c>
      <c r="F19" s="28">
        <f>+'4 Add''l Info'!D5</f>
        <v>131</v>
      </c>
      <c r="G19" s="28">
        <f>+'4 Add''l Info'!E5</f>
        <v>131</v>
      </c>
    </row>
    <row r="20" spans="1:40" s="42" customFormat="1" x14ac:dyDescent="0.3">
      <c r="A20" s="14" t="str">
        <f>CONCATENATE('4 Add''l Info'!A$4,'4 Add''l Info'!A6)</f>
        <v>Goodwill: US Snacks</v>
      </c>
      <c r="B20" s="51" t="str">
        <f>IFERROR(VLOOKUP(A20,'3 BS Reported'!A:B,2,),"")</f>
        <v/>
      </c>
      <c r="C20" s="161" t="s">
        <v>187</v>
      </c>
      <c r="D20" s="28">
        <f>+'4 Add''l Info'!B6</f>
        <v>3568</v>
      </c>
      <c r="E20" s="28">
        <f>+'4 Add''l Info'!C6</f>
        <v>3568</v>
      </c>
      <c r="F20" s="28">
        <f>+'4 Add''l Info'!D6</f>
        <v>3568</v>
      </c>
      <c r="G20" s="28">
        <f>+'4 Add''l Info'!E6</f>
        <v>3568</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0" s="42" customFormat="1" x14ac:dyDescent="0.3">
      <c r="A21" s="14" t="str">
        <f>CONCATENATE('4 Add''l Info'!A$4,'4 Add''l Info'!A7)</f>
        <v>Goodwill: US Specialty</v>
      </c>
      <c r="B21" s="51" t="str">
        <f>IFERROR(VLOOKUP(A21,'3 BS Reported'!A:B,2,),"")</f>
        <v/>
      </c>
      <c r="C21" s="161" t="s">
        <v>187</v>
      </c>
      <c r="D21" s="28">
        <f>+'4 Add''l Info'!B7</f>
        <v>82</v>
      </c>
      <c r="E21" s="28">
        <f>+'4 Add''l Info'!C7</f>
        <v>82</v>
      </c>
      <c r="F21" s="28">
        <f>+'4 Add''l Info'!D7</f>
        <v>82</v>
      </c>
      <c r="G21" s="28">
        <f>+'4 Add''l Info'!E7</f>
        <v>82</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row>
    <row r="22" spans="1:40" s="42" customFormat="1" x14ac:dyDescent="0.3">
      <c r="A22" s="14" t="str">
        <f>CONCATENATE('4 Add''l Info'!A$4,'4 Add''l Info'!A8)</f>
        <v>Goodwill: North America Other</v>
      </c>
      <c r="B22" s="51" t="str">
        <f>IFERROR(VLOOKUP(A22,'3 BS Reported'!A:B,2,),"")</f>
        <v/>
      </c>
      <c r="C22" s="161" t="s">
        <v>187</v>
      </c>
      <c r="D22" s="28">
        <f>+'4 Add''l Info'!B8</f>
        <v>456</v>
      </c>
      <c r="E22" s="28">
        <f>+'4 Add''l Info'!C8</f>
        <v>457</v>
      </c>
      <c r="F22" s="28">
        <f>+'4 Add''l Info'!D8</f>
        <v>836</v>
      </c>
      <c r="G22" s="28">
        <f>+'4 Add''l Info'!E8</f>
        <v>830</v>
      </c>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row>
    <row r="23" spans="1:40" s="42" customFormat="1" x14ac:dyDescent="0.3">
      <c r="A23" s="14" t="str">
        <f>CONCATENATE('4 Add''l Info'!A$4,'4 Add''l Info'!A9)</f>
        <v>Goodwill: Europe</v>
      </c>
      <c r="B23" s="51" t="str">
        <f>IFERROR(VLOOKUP(A23,'3 BS Reported'!A:B,2,),"")</f>
        <v/>
      </c>
      <c r="C23" s="161" t="s">
        <v>187</v>
      </c>
      <c r="D23" s="28">
        <f>+'4 Add''l Info'!B9</f>
        <v>431</v>
      </c>
      <c r="E23" s="28">
        <f>+'4 Add''l Info'!C9</f>
        <v>376</v>
      </c>
      <c r="F23" s="28">
        <f>+'4 Add''l Info'!D9</f>
        <v>414</v>
      </c>
      <c r="G23" s="28">
        <f>+'4 Add''l Info'!E9</f>
        <v>392</v>
      </c>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row>
    <row r="24" spans="1:40" s="42" customFormat="1" x14ac:dyDescent="0.3">
      <c r="A24" s="14" t="str">
        <f>CONCATENATE('4 Add''l Info'!A$4,'4 Add''l Info'!A10)</f>
        <v>Goodwill: Latin America</v>
      </c>
      <c r="B24" s="51" t="str">
        <f>IFERROR(VLOOKUP(A24,'3 BS Reported'!A:B,2,),"")</f>
        <v/>
      </c>
      <c r="C24" s="161" t="s">
        <v>187</v>
      </c>
      <c r="D24" s="28">
        <f>+'4 Add''l Info'!B10</f>
        <v>76</v>
      </c>
      <c r="E24" s="28">
        <f>+'4 Add''l Info'!C10</f>
        <v>328</v>
      </c>
      <c r="F24" s="28">
        <f>+'4 Add''l Info'!D10</f>
        <v>244</v>
      </c>
      <c r="G24" s="28">
        <f>+'4 Add''l Info'!E10</f>
        <v>218</v>
      </c>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row>
    <row r="25" spans="1:40" s="42" customFormat="1" x14ac:dyDescent="0.3">
      <c r="A25" s="14" t="str">
        <f>CONCATENATE('4 Add''l Info'!A$4,'4 Add''l Info'!A11)</f>
        <v>Goodwill: Asia Pacific</v>
      </c>
      <c r="B25" s="51" t="str">
        <f>IFERROR(VLOOKUP(A25,'3 BS Reported'!A:B,2,),"")</f>
        <v/>
      </c>
      <c r="C25" s="161" t="s">
        <v>187</v>
      </c>
      <c r="D25" s="28">
        <f>+'4 Add''l Info'!B11</f>
        <v>224</v>
      </c>
      <c r="E25" s="28">
        <f>+'4 Add''l Info'!C11</f>
        <v>224</v>
      </c>
      <c r="F25" s="28">
        <f>+'4 Add''l Info'!D11</f>
        <v>229</v>
      </c>
      <c r="G25" s="28">
        <f>+'4 Add''l Info'!E11</f>
        <v>829</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row>
    <row r="26" spans="1:40" s="42" customFormat="1" x14ac:dyDescent="0.3">
      <c r="A26" s="14" t="str">
        <f>CONCATENATE('4 Add''l Info'!A$14,'4 Add''l Info'!A15)</f>
        <v>Intangible assets subject to amortization: US Morning Foods</v>
      </c>
      <c r="B26" s="51" t="str">
        <f>IFERROR(VLOOKUP(A26,'3 BS Reported'!A:B,2,),"")</f>
        <v/>
      </c>
      <c r="C26" s="161" t="s">
        <v>187</v>
      </c>
      <c r="D26" s="28">
        <f>+'4 Add''l Info'!B15</f>
        <v>8</v>
      </c>
      <c r="E26" s="28">
        <f>+'4 Add''l Info'!C15</f>
        <v>8</v>
      </c>
      <c r="F26" s="28">
        <f>+'4 Add''l Info'!D15</f>
        <v>8</v>
      </c>
      <c r="G26" s="28">
        <f>+'4 Add''l Info'!E15</f>
        <v>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row>
    <row r="27" spans="1:40" s="42" customFormat="1" x14ac:dyDescent="0.3">
      <c r="A27" s="14" t="str">
        <f>CONCATENATE('4 Add''l Info'!A$14,'4 Add''l Info'!A16)</f>
        <v>Intangible assets subject to amortization: US Snacks</v>
      </c>
      <c r="B27" s="51" t="str">
        <f>IFERROR(VLOOKUP(A27,'3 BS Reported'!A:B,2,),"")</f>
        <v/>
      </c>
      <c r="C27" s="161" t="s">
        <v>187</v>
      </c>
      <c r="D27" s="28">
        <f>+'4 Add''l Info'!B16</f>
        <v>42</v>
      </c>
      <c r="E27" s="28">
        <f>+'4 Add''l Info'!C16</f>
        <v>42</v>
      </c>
      <c r="F27" s="28">
        <f>+'4 Add''l Info'!D16</f>
        <v>42</v>
      </c>
      <c r="G27" s="28">
        <f>+'4 Add''l Info'!E16</f>
        <v>42</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row>
    <row r="28" spans="1:40" s="42" customFormat="1" x14ac:dyDescent="0.3">
      <c r="A28" s="14" t="str">
        <f>CONCATENATE('4 Add''l Info'!A$14,'4 Add''l Info'!A18)</f>
        <v>Intangible assets subject to amortization: North America Other</v>
      </c>
      <c r="B28" s="51" t="str">
        <f>IFERROR(VLOOKUP(A28,'3 BS Reported'!A:B,2,),"")</f>
        <v/>
      </c>
      <c r="C28" s="161" t="s">
        <v>187</v>
      </c>
      <c r="D28" s="28">
        <f>+'4 Add''l Info'!B18</f>
        <v>5</v>
      </c>
      <c r="E28" s="28">
        <f>+'4 Add''l Info'!C18</f>
        <v>5</v>
      </c>
      <c r="F28" s="28">
        <f>+'4 Add''l Info'!D18</f>
        <v>22</v>
      </c>
      <c r="G28" s="28">
        <f>+'4 Add''l Info'!E18</f>
        <v>24</v>
      </c>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row>
    <row r="29" spans="1:40" s="42" customFormat="1" x14ac:dyDescent="0.3">
      <c r="A29" s="14" t="str">
        <f>CONCATENATE('4 Add''l Info'!A$14,'4 Add''l Info'!A19)</f>
        <v>Intangible assets subject to amortization: Europe</v>
      </c>
      <c r="B29" s="51" t="str">
        <f>IFERROR(VLOOKUP(A29,'3 BS Reported'!A:B,2,),"")</f>
        <v/>
      </c>
      <c r="C29" s="161" t="s">
        <v>187</v>
      </c>
      <c r="D29" s="28">
        <f>+'4 Add''l Info'!B19</f>
        <v>45</v>
      </c>
      <c r="E29" s="28">
        <f>+'4 Add''l Info'!C19</f>
        <v>40</v>
      </c>
      <c r="F29" s="28">
        <f>+'4 Add''l Info'!D19</f>
        <v>45</v>
      </c>
      <c r="G29" s="28">
        <f>+'4 Add''l Info'!E19</f>
        <v>43</v>
      </c>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row>
    <row r="30" spans="1:40" s="42" customFormat="1" x14ac:dyDescent="0.3">
      <c r="A30" s="14" t="str">
        <f>CONCATENATE('4 Add''l Info'!A$14,'4 Add''l Info'!A20)</f>
        <v>Intangible assets subject to amortization: Latin America</v>
      </c>
      <c r="B30" s="51" t="str">
        <f>IFERROR(VLOOKUP(A30,'3 BS Reported'!A:B,2,),"")</f>
        <v/>
      </c>
      <c r="C30" s="161" t="s">
        <v>187</v>
      </c>
      <c r="D30" s="28">
        <f>+'4 Add''l Info'!B20</f>
        <v>6</v>
      </c>
      <c r="E30" s="28">
        <f>+'4 Add''l Info'!C20</f>
        <v>36</v>
      </c>
      <c r="F30" s="28">
        <f>+'4 Add''l Info'!D20</f>
        <v>74</v>
      </c>
      <c r="G30" s="28">
        <f>+'4 Add''l Info'!E20</f>
        <v>63</v>
      </c>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row>
    <row r="31" spans="1:40" s="42" customFormat="1" x14ac:dyDescent="0.3">
      <c r="A31" s="14" t="str">
        <f>CONCATENATE('4 Add''l Info'!A$14,'4 Add''l Info'!A21)</f>
        <v>Intangible assets subject to amortization: Asia Pacific</v>
      </c>
      <c r="B31" s="51" t="str">
        <f>IFERROR(VLOOKUP(A31,'3 BS Reported'!A:B,2,),"")</f>
        <v/>
      </c>
      <c r="C31" s="161" t="s">
        <v>187</v>
      </c>
      <c r="D31" s="28">
        <f>+'4 Add''l Info'!B21</f>
        <v>10</v>
      </c>
      <c r="E31" s="28">
        <f>+'4 Add''l Info'!C21</f>
        <v>10</v>
      </c>
      <c r="F31" s="28">
        <f>+'4 Add''l Info'!D21</f>
        <v>10</v>
      </c>
      <c r="G31" s="28">
        <f>+'4 Add''l Info'!E21</f>
        <v>428</v>
      </c>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row>
    <row r="32" spans="1:40" s="42" customFormat="1" x14ac:dyDescent="0.3">
      <c r="A32" s="14" t="str">
        <f>CONCATENATE('4 Add''l Info'!A$24,'4 Add''l Info'!A25)</f>
        <v>Intangible assets accumulated amortization: US Morning Foods</v>
      </c>
      <c r="B32" s="51" t="str">
        <f>IFERROR(VLOOKUP(A32,'3 BS Reported'!A:B,2,),"")</f>
        <v/>
      </c>
      <c r="C32" s="161" t="s">
        <v>187</v>
      </c>
      <c r="D32" s="28">
        <f>-'4 Add''l Info'!B25</f>
        <v>-8</v>
      </c>
      <c r="E32" s="28">
        <f>-'4 Add''l Info'!C25</f>
        <v>-8</v>
      </c>
      <c r="F32" s="28">
        <f>-'4 Add''l Info'!D25</f>
        <v>-8</v>
      </c>
      <c r="G32" s="28">
        <f>-'4 Add''l Info'!E25</f>
        <v>-8</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row>
    <row r="33" spans="1:40" s="42" customFormat="1" x14ac:dyDescent="0.3">
      <c r="A33" s="14" t="str">
        <f>CONCATENATE('4 Add''l Info'!A$24,'4 Add''l Info'!A26)</f>
        <v>Intangible assets accumulated amortization: US Snacks</v>
      </c>
      <c r="B33" s="51" t="str">
        <f>IFERROR(VLOOKUP(A33,'3 BS Reported'!A:B,2,),"")</f>
        <v/>
      </c>
      <c r="C33" s="161" t="s">
        <v>187</v>
      </c>
      <c r="D33" s="28">
        <f>-'4 Add''l Info'!B26</f>
        <v>-16</v>
      </c>
      <c r="E33" s="28">
        <f>-'4 Add''l Info'!C26</f>
        <v>-19</v>
      </c>
      <c r="F33" s="28">
        <f>-'4 Add''l Info'!D26</f>
        <v>-22</v>
      </c>
      <c r="G33" s="28">
        <f>-'4 Add''l Info'!E26</f>
        <v>-25</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row>
    <row r="34" spans="1:40" s="42" customFormat="1" x14ac:dyDescent="0.3">
      <c r="A34" s="14" t="str">
        <f>CONCATENATE('4 Add''l Info'!A$24,'4 Add''l Info'!A28)</f>
        <v>Intangible assets accumulated amortization: North America Other</v>
      </c>
      <c r="B34" s="51" t="str">
        <f>IFERROR(VLOOKUP(A34,'3 BS Reported'!A:B,2,),"")</f>
        <v/>
      </c>
      <c r="C34" s="161" t="s">
        <v>187</v>
      </c>
      <c r="D34" s="28">
        <f>-'4 Add''l Info'!B28</f>
        <v>-4</v>
      </c>
      <c r="E34" s="28">
        <f>-'4 Add''l Info'!C28</f>
        <v>-4</v>
      </c>
      <c r="F34" s="28">
        <f>-'4 Add''l Info'!D28</f>
        <v>-5</v>
      </c>
      <c r="G34" s="28">
        <f>-'4 Add''l Info'!E28</f>
        <v>-6</v>
      </c>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row>
    <row r="35" spans="1:40" s="42" customFormat="1" x14ac:dyDescent="0.3">
      <c r="A35" s="14" t="str">
        <f>CONCATENATE('4 Add''l Info'!A$24,'4 Add''l Info'!A29)</f>
        <v>Intangible assets accumulated amortization: Europe</v>
      </c>
      <c r="B35" s="51" t="str">
        <f>IFERROR(VLOOKUP(A35,'3 BS Reported'!A:B,2,),"")</f>
        <v/>
      </c>
      <c r="C35" s="161" t="s">
        <v>187</v>
      </c>
      <c r="D35" s="28">
        <f>-'4 Add''l Info'!B29</f>
        <v>-11</v>
      </c>
      <c r="E35" s="28">
        <f>-'4 Add''l Info'!C29</f>
        <v>-14</v>
      </c>
      <c r="F35" s="28">
        <f>-'4 Add''l Info'!D29</f>
        <v>-18</v>
      </c>
      <c r="G35" s="28">
        <f>-'4 Add''l Info'!E29</f>
        <v>-20</v>
      </c>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row>
    <row r="36" spans="1:40" s="42" customFormat="1" x14ac:dyDescent="0.3">
      <c r="A36" s="14" t="str">
        <f>CONCATENATE('4 Add''l Info'!A$24,'4 Add''l Info'!A30)</f>
        <v>Intangible assets accumulated amortization: Latin America</v>
      </c>
      <c r="B36" s="51" t="str">
        <f>IFERROR(VLOOKUP(A36,'3 BS Reported'!A:B,2,),"")</f>
        <v/>
      </c>
      <c r="C36" s="161" t="s">
        <v>187</v>
      </c>
      <c r="D36" s="28">
        <f>-'4 Add''l Info'!B30</f>
        <v>-6</v>
      </c>
      <c r="E36" s="28">
        <f>-'4 Add''l Info'!C30</f>
        <v>-6</v>
      </c>
      <c r="F36" s="28">
        <f>-'4 Add''l Info'!D30</f>
        <v>-10</v>
      </c>
      <c r="G36" s="28">
        <f>-'4 Add''l Info'!E30</f>
        <v>-12</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s="42" customFormat="1" x14ac:dyDescent="0.3">
      <c r="A37" s="14" t="str">
        <f>CONCATENATE('4 Add''l Info'!A$24,'4 Add''l Info'!A31)</f>
        <v>Intangible assets accumulated amortization: Asia Pacific</v>
      </c>
      <c r="B37" s="51" t="str">
        <f>IFERROR(VLOOKUP(A37,'3 BS Reported'!A:B,2,),"")</f>
        <v/>
      </c>
      <c r="C37" s="161" t="s">
        <v>187</v>
      </c>
      <c r="D37" s="28">
        <f>-'4 Add''l Info'!B31</f>
        <v>-2</v>
      </c>
      <c r="E37" s="28">
        <f>-'4 Add''l Info'!C31</f>
        <v>-3</v>
      </c>
      <c r="F37" s="28">
        <f>-'4 Add''l Info'!D31</f>
        <v>-4</v>
      </c>
      <c r="G37" s="28">
        <f>-'4 Add''l Info'!E31</f>
        <v>-16</v>
      </c>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row>
    <row r="38" spans="1:40" s="42" customFormat="1" x14ac:dyDescent="0.3">
      <c r="A38" s="14" t="str">
        <f>CONCATENATE('4 Add''l Info'!A$34,'4 Add''l Info'!A36)</f>
        <v>Intangible assets not subject to amortization: US Snacks</v>
      </c>
      <c r="B38" s="51" t="str">
        <f>IFERROR(VLOOKUP(A38,'3 BS Reported'!A:B,2,),"")</f>
        <v/>
      </c>
      <c r="C38" s="161" t="s">
        <v>187</v>
      </c>
      <c r="D38" s="28">
        <f>'4 Add''l Info'!B36</f>
        <v>1625</v>
      </c>
      <c r="E38" s="28">
        <f>'4 Add''l Info'!C36</f>
        <v>1625</v>
      </c>
      <c r="F38" s="28">
        <f>'4 Add''l Info'!D36</f>
        <v>1625</v>
      </c>
      <c r="G38" s="28">
        <f>'4 Add''l Info'!E36</f>
        <v>1625</v>
      </c>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row>
    <row r="39" spans="1:40" s="42" customFormat="1" x14ac:dyDescent="0.3">
      <c r="A39" s="14" t="str">
        <f>CONCATENATE('4 Add''l Info'!A$34,'4 Add''l Info'!A38)</f>
        <v>Intangible assets not subject to amortization: North America Other</v>
      </c>
      <c r="B39" s="51" t="str">
        <f>IFERROR(VLOOKUP(A39,'3 BS Reported'!A:B,2,),"")</f>
        <v/>
      </c>
      <c r="C39" s="161" t="s">
        <v>187</v>
      </c>
      <c r="D39" s="28">
        <f>'4 Add''l Info'!B38</f>
        <v>158</v>
      </c>
      <c r="E39" s="28">
        <f>'4 Add''l Info'!C38</f>
        <v>176</v>
      </c>
      <c r="F39" s="28">
        <f>'4 Add''l Info'!D38</f>
        <v>360</v>
      </c>
      <c r="G39" s="28">
        <f>'4 Add''l Info'!E38</f>
        <v>360</v>
      </c>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row>
    <row r="40" spans="1:40" s="42" customFormat="1" x14ac:dyDescent="0.3">
      <c r="A40" s="14" t="str">
        <f>CONCATENATE('4 Add''l Info'!A$34,'4 Add''l Info'!A39)</f>
        <v>Intangible assets not subject to amortization: Europe</v>
      </c>
      <c r="B40" s="51" t="str">
        <f>IFERROR(VLOOKUP(A40,'3 BS Reported'!A:B,2,),"")</f>
        <v/>
      </c>
      <c r="C40" s="161" t="s">
        <v>187</v>
      </c>
      <c r="D40" s="28">
        <f>'4 Add''l Info'!B39</f>
        <v>416</v>
      </c>
      <c r="E40" s="28">
        <f>'4 Add''l Info'!C39</f>
        <v>383</v>
      </c>
      <c r="F40" s="28">
        <f>'4 Add''l Info'!D39</f>
        <v>434</v>
      </c>
      <c r="G40" s="28">
        <f>'4 Add''l Info'!E39</f>
        <v>415</v>
      </c>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row>
    <row r="41" spans="1:40" s="42" customFormat="1" x14ac:dyDescent="0.3">
      <c r="A41" s="14" t="str">
        <f>CONCATENATE('4 Add''l Info'!A$34,'4 Add''l Info'!A40)</f>
        <v>Intangible assets not subject to amortization: Latin America</v>
      </c>
      <c r="B41" s="51" t="str">
        <f>IFERROR(VLOOKUP(A41,'3 BS Reported'!A:B,2,),"")</f>
        <v/>
      </c>
      <c r="C41" s="161" t="s">
        <v>187</v>
      </c>
      <c r="D41" s="28">
        <f>'4 Add''l Info'!B40</f>
        <v>0</v>
      </c>
      <c r="E41" s="28">
        <f>'4 Add''l Info'!C40</f>
        <v>98</v>
      </c>
      <c r="F41" s="28">
        <f>'4 Add''l Info'!D40</f>
        <v>86</v>
      </c>
      <c r="G41" s="28">
        <f>'4 Add''l Info'!E40</f>
        <v>73</v>
      </c>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row>
    <row r="42" spans="1:40" s="42" customFormat="1" x14ac:dyDescent="0.3">
      <c r="A42" s="14" t="str">
        <f>CONCATENATE('4 Add''l Info'!A$34,'4 Add''l Info'!A41)</f>
        <v>Intangible assets not subject to amortization: Asia Pacific</v>
      </c>
      <c r="B42" s="51" t="str">
        <f>IFERROR(VLOOKUP(A42,'3 BS Reported'!A:B,2,),"")</f>
        <v/>
      </c>
      <c r="C42" s="161" t="s">
        <v>187</v>
      </c>
      <c r="D42" s="28">
        <f>'4 Add''l Info'!B41</f>
        <v>0</v>
      </c>
      <c r="E42" s="28">
        <f>'4 Add''l Info'!C41</f>
        <v>0</v>
      </c>
      <c r="F42" s="28">
        <f>'4 Add''l Info'!D41</f>
        <v>0</v>
      </c>
      <c r="G42" s="28">
        <f>'4 Add''l Info'!E41</f>
        <v>367</v>
      </c>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row>
    <row r="43" spans="1:40" s="42" customFormat="1" x14ac:dyDescent="0.3">
      <c r="A43" s="14" t="s">
        <v>232</v>
      </c>
      <c r="B43" s="51" t="str">
        <f>IFERROR(VLOOKUP(A43,'3 BS Reported'!A:B,2,),"")</f>
        <v>Operating</v>
      </c>
      <c r="C43" s="51"/>
      <c r="D43" s="28">
        <f>+'3 BS Reported'!C14</f>
        <v>456</v>
      </c>
      <c r="E43" s="28">
        <f>+'3 BS Reported'!D14</f>
        <v>438</v>
      </c>
      <c r="F43" s="28">
        <f>+'3 BS Reported'!E14</f>
        <v>429</v>
      </c>
      <c r="G43" s="28">
        <f>+'3 BS Reported'!F14</f>
        <v>413</v>
      </c>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row>
    <row r="44" spans="1:40" s="42" customFormat="1" x14ac:dyDescent="0.3">
      <c r="A44" s="14" t="str">
        <f>CONCATENATE('4 Add''l Info'!A$137,'4 Add''l Info'!A138)</f>
        <v>Deferred tax assets: US state income taxes</v>
      </c>
      <c r="B44" s="51" t="str">
        <f>IFERROR(VLOOKUP(A44,'3 BS Reported'!A:B,2,),"")</f>
        <v/>
      </c>
      <c r="C44" s="161" t="s">
        <v>187</v>
      </c>
      <c r="D44" s="28">
        <f>+'4 Add''l Info'!B138</f>
        <v>13</v>
      </c>
      <c r="E44" s="28">
        <f>+'4 Add''l Info'!C138</f>
        <v>0</v>
      </c>
      <c r="F44" s="28">
        <f>+'4 Add''l Info'!D138</f>
        <v>0</v>
      </c>
      <c r="G44" s="28">
        <f>+'4 Add''l Info'!E138</f>
        <v>0</v>
      </c>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row>
    <row r="45" spans="1:40" s="42" customFormat="1" x14ac:dyDescent="0.3">
      <c r="A45" s="14" t="str">
        <f>CONCATENATE('4 Add''l Info'!A$137,'4 Add''l Info'!A139)</f>
        <v>Deferred tax assets: Advertising and promotion-related</v>
      </c>
      <c r="B45" s="51" t="str">
        <f>IFERROR(VLOOKUP(A45,'3 BS Reported'!A:B,2,),"")</f>
        <v/>
      </c>
      <c r="C45" s="161" t="s">
        <v>187</v>
      </c>
      <c r="D45" s="28">
        <f>+'4 Add''l Info'!B139</f>
        <v>15</v>
      </c>
      <c r="E45" s="28">
        <f>+'4 Add''l Info'!C139</f>
        <v>17</v>
      </c>
      <c r="F45" s="28">
        <f>+'4 Add''l Info'!D139</f>
        <v>22</v>
      </c>
      <c r="G45" s="28">
        <f>+'4 Add''l Info'!E139</f>
        <v>11</v>
      </c>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row>
    <row r="46" spans="1:40" s="42" customFormat="1" x14ac:dyDescent="0.3">
      <c r="A46" s="14" t="str">
        <f>CONCATENATE('4 Add''l Info'!A$137,'4 Add''l Info'!A140)</f>
        <v>Deferred tax assets: Wages and payroll taxes</v>
      </c>
      <c r="B46" s="51" t="str">
        <f>IFERROR(VLOOKUP(A46,'3 BS Reported'!A:B,2,),"")</f>
        <v/>
      </c>
      <c r="C46" s="161" t="s">
        <v>187</v>
      </c>
      <c r="D46" s="28">
        <f>+'4 Add''l Info'!B140</f>
        <v>21</v>
      </c>
      <c r="E46" s="28">
        <f>+'4 Add''l Info'!C140</f>
        <v>42</v>
      </c>
      <c r="F46" s="28">
        <f>+'4 Add''l Info'!D140</f>
        <v>26</v>
      </c>
      <c r="G46" s="28">
        <f>+'4 Add''l Info'!E140</f>
        <v>20</v>
      </c>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row>
    <row r="47" spans="1:40" s="42" customFormat="1" x14ac:dyDescent="0.3">
      <c r="A47" s="14" t="str">
        <f>CONCATENATE('4 Add''l Info'!A$137,'4 Add''l Info'!A141)</f>
        <v>Deferred tax assets: Inventory valuation</v>
      </c>
      <c r="B47" s="51" t="str">
        <f>IFERROR(VLOOKUP(A47,'3 BS Reported'!A:B,2,),"")</f>
        <v/>
      </c>
      <c r="C47" s="161" t="s">
        <v>187</v>
      </c>
      <c r="D47" s="28">
        <f>+'4 Add''l Info'!B141</f>
        <v>31</v>
      </c>
      <c r="E47" s="28">
        <f>+'4 Add''l Info'!C141</f>
        <v>28</v>
      </c>
      <c r="F47" s="28">
        <f>+'4 Add''l Info'!D141</f>
        <v>20</v>
      </c>
      <c r="G47" s="28">
        <f>+'4 Add''l Info'!E141</f>
        <v>14</v>
      </c>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row>
    <row r="48" spans="1:40" s="42" customFormat="1" x14ac:dyDescent="0.3">
      <c r="A48" s="14" t="str">
        <f>CONCATENATE('4 Add''l Info'!A$137,'4 Add''l Info'!A142)</f>
        <v>Deferred tax assets: Employee benefits</v>
      </c>
      <c r="B48" s="51" t="str">
        <f>IFERROR(VLOOKUP(A48,'3 BS Reported'!A:B,2,),"")</f>
        <v/>
      </c>
      <c r="C48" s="161" t="s">
        <v>144</v>
      </c>
      <c r="D48" s="28">
        <f>+'4 Add''l Info'!B142</f>
        <v>366</v>
      </c>
      <c r="E48" s="28">
        <f>+'4 Add''l Info'!C142</f>
        <v>403</v>
      </c>
      <c r="F48" s="28">
        <f>+'4 Add''l Info'!D142</f>
        <v>154</v>
      </c>
      <c r="G48" s="28">
        <f>+'4 Add''l Info'!E142</f>
        <v>132</v>
      </c>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row>
    <row r="49" spans="1:40" s="42" customFormat="1" x14ac:dyDescent="0.3">
      <c r="A49" s="14" t="str">
        <f>CONCATENATE('4 Add''l Info'!A$137,'4 Add''l Info'!A143)</f>
        <v>Deferred tax assets: Operating loss, credit and other carryforwards</v>
      </c>
      <c r="B49" s="51" t="str">
        <f>IFERROR(VLOOKUP(A49,'3 BS Reported'!A:B,2,),"")</f>
        <v/>
      </c>
      <c r="C49" s="161" t="s">
        <v>187</v>
      </c>
      <c r="D49" s="28">
        <f>+'4 Add''l Info'!B143</f>
        <v>55</v>
      </c>
      <c r="E49" s="28">
        <f>+'4 Add''l Info'!C143</f>
        <v>181</v>
      </c>
      <c r="F49" s="28">
        <f>+'4 Add''l Info'!D143</f>
        <v>239</v>
      </c>
      <c r="G49" s="28">
        <f>+'4 Add''l Info'!E143</f>
        <v>270</v>
      </c>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row>
    <row r="50" spans="1:40" s="42" customFormat="1" x14ac:dyDescent="0.3">
      <c r="A50" s="14" t="str">
        <f>CONCATENATE('4 Add''l Info'!A$137,'4 Add''l Info'!A144)</f>
        <v>Deferred tax assets: Hedging transactions</v>
      </c>
      <c r="B50" s="51" t="str">
        <f>IFERROR(VLOOKUP(A50,'3 BS Reported'!A:B,2,),"")</f>
        <v/>
      </c>
      <c r="C50" s="161" t="s">
        <v>187</v>
      </c>
      <c r="D50" s="28">
        <f>+'4 Add''l Info'!B144</f>
        <v>43</v>
      </c>
      <c r="E50" s="28">
        <f>+'4 Add''l Info'!C144</f>
        <v>0</v>
      </c>
      <c r="F50" s="28">
        <f>+'4 Add''l Info'!D144</f>
        <v>42</v>
      </c>
      <c r="G50" s="28">
        <f>+'4 Add''l Info'!E144</f>
        <v>10</v>
      </c>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row>
    <row r="51" spans="1:40" s="42" customFormat="1" x14ac:dyDescent="0.3">
      <c r="A51" s="14" t="str">
        <f>CONCATENATE('4 Add''l Info'!A$137,'4 Add''l Info'!A145)</f>
        <v>Deferred tax assets: Deferred compensation</v>
      </c>
      <c r="B51" s="51"/>
      <c r="C51" s="161" t="s">
        <v>144</v>
      </c>
      <c r="D51" s="28">
        <f>+'4 Add''l Info'!B145</f>
        <v>35</v>
      </c>
      <c r="E51" s="28">
        <f>+'4 Add''l Info'!C145</f>
        <v>38</v>
      </c>
      <c r="F51" s="28">
        <f>+'4 Add''l Info'!D145</f>
        <v>25</v>
      </c>
      <c r="G51" s="28">
        <f>+'4 Add''l Info'!E145</f>
        <v>20</v>
      </c>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row>
    <row r="52" spans="1:40" s="42" customFormat="1" x14ac:dyDescent="0.3">
      <c r="A52" s="14" t="str">
        <f>CONCATENATE('4 Add''l Info'!A$137,'4 Add''l Info'!A146)</f>
        <v>Deferred tax assets: Stock options</v>
      </c>
      <c r="B52" s="51"/>
      <c r="C52" s="161" t="s">
        <v>144</v>
      </c>
      <c r="D52" s="28">
        <f>+'4 Add''l Info'!B146</f>
        <v>42</v>
      </c>
      <c r="E52" s="28">
        <f>+'4 Add''l Info'!C146</f>
        <v>41</v>
      </c>
      <c r="F52" s="28">
        <f>+'4 Add''l Info'!D146</f>
        <v>33</v>
      </c>
      <c r="G52" s="28">
        <f>+'4 Add''l Info'!E146</f>
        <v>31</v>
      </c>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row>
    <row r="53" spans="1:40" s="42" customFormat="1" x14ac:dyDescent="0.3">
      <c r="A53" s="14" t="str">
        <f>CONCATENATE('4 Add''l Info'!A$137,'4 Add''l Info'!A147)</f>
        <v>Deferred tax assets: Other</v>
      </c>
      <c r="B53" s="51"/>
      <c r="C53" s="161" t="s">
        <v>187</v>
      </c>
      <c r="D53" s="28">
        <f>+'4 Add''l Info'!B147</f>
        <v>86</v>
      </c>
      <c r="E53" s="28">
        <f>+'4 Add''l Info'!C147</f>
        <v>31</v>
      </c>
      <c r="F53" s="28">
        <f>+'4 Add''l Info'!D147</f>
        <v>71</v>
      </c>
      <c r="G53" s="28">
        <f>+'4 Add''l Info'!E147</f>
        <v>26</v>
      </c>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row>
    <row r="54" spans="1:40" s="42" customFormat="1" x14ac:dyDescent="0.3">
      <c r="A54" s="14" t="str">
        <f>CONCATENATE('4 Add''l Info'!A$137,'4 Add''l Info'!A148)</f>
        <v>Deferred tax assets: Valuation allowance</v>
      </c>
      <c r="B54" s="51"/>
      <c r="C54" s="161" t="s">
        <v>187</v>
      </c>
      <c r="D54" s="28">
        <f>+'4 Add''l Info'!B148</f>
        <v>-63</v>
      </c>
      <c r="E54" s="28">
        <f>+'4 Add''l Info'!C148</f>
        <v>-131</v>
      </c>
      <c r="F54" s="28">
        <f>+'4 Add''l Info'!D148</f>
        <v>-153</v>
      </c>
      <c r="G54" s="28">
        <f>+'4 Add''l Info'!E148</f>
        <v>-166</v>
      </c>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row>
    <row r="55" spans="1:40" s="42" customFormat="1" x14ac:dyDescent="0.3">
      <c r="A55" s="14" t="str">
        <f>CONCATENATE('4 Add''l Info'!A$63,'4 Add''l Info'!A65)</f>
        <v>Pension: Plan assets</v>
      </c>
      <c r="B55" s="51" t="str">
        <f>IFERROR(VLOOKUP(A55,'3 BS Reported'!A:B,2,),"")</f>
        <v/>
      </c>
      <c r="C55" s="161" t="s">
        <v>144</v>
      </c>
      <c r="D55" s="28">
        <f>+'4 Add''l Info'!B65</f>
        <v>4584</v>
      </c>
      <c r="E55" s="28">
        <f>+'4 Add''l Info'!C65</f>
        <v>4544</v>
      </c>
      <c r="F55" s="28">
        <f>+'4 Add''l Info'!D65</f>
        <v>5043</v>
      </c>
      <c r="G55" s="28">
        <f>+'4 Add''l Info'!E65</f>
        <v>4677</v>
      </c>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row>
    <row r="56" spans="1:40" s="42" customFormat="1" x14ac:dyDescent="0.3">
      <c r="A56" s="14" t="str">
        <f>CONCATENATE('4 Add''l Info'!A$89,'4 Add''l Info'!A91)</f>
        <v>Postretirement: Plan assets</v>
      </c>
      <c r="B56" s="51" t="str">
        <f>IFERROR(VLOOKUP(A56,'3 BS Reported'!A:B,2,),"")</f>
        <v/>
      </c>
      <c r="C56" s="161" t="s">
        <v>144</v>
      </c>
      <c r="D56" s="28">
        <f>+'4 Add''l Info'!B91</f>
        <v>1084</v>
      </c>
      <c r="E56" s="28">
        <f>+'4 Add''l Info'!C91</f>
        <v>1136</v>
      </c>
      <c r="F56" s="28">
        <f>+'4 Add''l Info'!D91</f>
        <v>1292</v>
      </c>
      <c r="G56" s="28">
        <f>+'4 Add''l Info'!E91</f>
        <v>1140</v>
      </c>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row>
    <row r="57" spans="1:40" x14ac:dyDescent="0.3">
      <c r="A57" s="14" t="s">
        <v>164</v>
      </c>
      <c r="B57" s="51" t="str">
        <f>IFERROR(VLOOKUP(A57,'3 BS Reported'!A:B,2,),"")</f>
        <v>Operating</v>
      </c>
      <c r="D57" s="28">
        <f>+'4 Add''l Info'!B240</f>
        <v>338</v>
      </c>
      <c r="E57" s="28">
        <f>+'4 Add''l Info'!C240</f>
        <v>376</v>
      </c>
      <c r="F57" s="28">
        <f>+'4 Add''l Info'!D240</f>
        <v>385</v>
      </c>
      <c r="G57" s="28">
        <f>+'4 Add''l Info'!E240</f>
        <v>487</v>
      </c>
    </row>
    <row r="58" spans="1:40" s="13" customFormat="1" ht="15" thickBot="1" x14ac:dyDescent="0.35">
      <c r="A58" s="74" t="s">
        <v>157</v>
      </c>
      <c r="B58" s="191"/>
      <c r="C58" s="191"/>
      <c r="D58" s="192">
        <f>SUM(D5:D57)</f>
        <v>20972</v>
      </c>
      <c r="E58" s="192">
        <f t="shared" ref="E58" si="0">SUM(E5:E57)</f>
        <v>21188</v>
      </c>
      <c r="F58" s="192">
        <f t="shared" ref="F58:G58" si="1">SUM(F5:F57)</f>
        <v>22523</v>
      </c>
      <c r="G58" s="192">
        <f t="shared" si="1"/>
        <v>23384</v>
      </c>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row>
    <row r="59" spans="1:40" ht="15" thickTop="1" x14ac:dyDescent="0.3">
      <c r="B59" s="28"/>
      <c r="D59" s="28"/>
      <c r="E59" s="28"/>
      <c r="F59" s="28"/>
      <c r="G59" s="28"/>
    </row>
    <row r="60" spans="1:40" x14ac:dyDescent="0.3">
      <c r="A60" s="74" t="s">
        <v>7</v>
      </c>
      <c r="D60" s="28"/>
      <c r="E60" s="28"/>
      <c r="F60" s="28"/>
      <c r="G60" s="28"/>
    </row>
    <row r="61" spans="1:40" s="13" customFormat="1" x14ac:dyDescent="0.3">
      <c r="A61" s="13" t="s">
        <v>158</v>
      </c>
      <c r="B61" s="191"/>
      <c r="C61" s="191"/>
      <c r="D61" s="193"/>
      <c r="E61" s="193"/>
      <c r="F61" s="193"/>
      <c r="G61" s="193"/>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row>
    <row r="62" spans="1:40" x14ac:dyDescent="0.3">
      <c r="A62" s="14" t="s">
        <v>233</v>
      </c>
      <c r="B62" s="51" t="str">
        <f>IFERROR(VLOOKUP(A62,'3 BS Reported'!A:B,2,),"")</f>
        <v>Financial</v>
      </c>
      <c r="D62" s="28">
        <f>+'3 BS Reported'!C20</f>
        <v>-1266</v>
      </c>
      <c r="E62" s="28">
        <f>+'3 BS Reported'!D20</f>
        <v>-631</v>
      </c>
      <c r="F62" s="28">
        <f>+'3 BS Reported'!E20</f>
        <v>-409</v>
      </c>
      <c r="G62" s="28">
        <f>+'3 BS Reported'!F20</f>
        <v>-510</v>
      </c>
    </row>
    <row r="63" spans="1:40" x14ac:dyDescent="0.3">
      <c r="A63" s="14" t="str">
        <f>CONCATENATE('4 Add''l Info'!A$45,'4 Add''l Info'!A46)</f>
        <v>Notes payable: US commercial paper</v>
      </c>
      <c r="B63" s="51" t="str">
        <f>IFERROR(VLOOKUP(A63,'3 BS Reported'!A:B,2,),"")</f>
        <v/>
      </c>
      <c r="C63" s="161" t="s">
        <v>144</v>
      </c>
      <c r="D63" s="28">
        <f>-'4 Add''l Info'!B46</f>
        <v>-899</v>
      </c>
      <c r="E63" s="28">
        <f>-'4 Add''l Info'!C46</f>
        <v>-80</v>
      </c>
      <c r="F63" s="28">
        <f>-'4 Add''l Info'!D46</f>
        <v>-196</v>
      </c>
      <c r="G63" s="28">
        <f>-'4 Add''l Info'!E46</f>
        <v>-15</v>
      </c>
    </row>
    <row r="64" spans="1:40" x14ac:dyDescent="0.3">
      <c r="A64" s="14" t="str">
        <f>CONCATENATE('4 Add''l Info'!A$45,'4 Add''l Info'!A47)</f>
        <v>Notes payable: Europe commercial paper</v>
      </c>
      <c r="B64" s="51" t="str">
        <f>IFERROR(VLOOKUP(A64,'3 BS Reported'!A:B,2,),"")</f>
        <v/>
      </c>
      <c r="C64" s="161" t="s">
        <v>144</v>
      </c>
      <c r="D64" s="28">
        <f>-'4 Add''l Info'!B47</f>
        <v>-261</v>
      </c>
      <c r="E64" s="28">
        <f>-'4 Add''l Info'!C47</f>
        <v>-306</v>
      </c>
      <c r="F64" s="28">
        <f>-'4 Add''l Info'!D47</f>
        <v>-96</v>
      </c>
      <c r="G64" s="28">
        <f>-'4 Add''l Info'!E47</f>
        <v>0</v>
      </c>
    </row>
    <row r="65" spans="1:40" x14ac:dyDescent="0.3">
      <c r="A65" s="14" t="str">
        <f>CONCATENATE('4 Add''l Info'!A$45,'4 Add''l Info'!A48)</f>
        <v>Notes payable: Bank borrowings</v>
      </c>
      <c r="B65" s="51" t="str">
        <f>IFERROR(VLOOKUP(A65,'3 BS Reported'!A:B,2,),"")</f>
        <v/>
      </c>
      <c r="C65" s="161" t="s">
        <v>144</v>
      </c>
      <c r="D65" s="28">
        <f>-'4 Add''l Info'!B48</f>
        <v>-44</v>
      </c>
      <c r="E65" s="28">
        <f>-'4 Add''l Info'!C48</f>
        <v>-52</v>
      </c>
      <c r="F65" s="28">
        <f>-'4 Add''l Info'!D48</f>
        <v>-78</v>
      </c>
      <c r="G65" s="28">
        <f>-'4 Add''l Info'!E48</f>
        <v>-161</v>
      </c>
    </row>
    <row r="66" spans="1:40" x14ac:dyDescent="0.3">
      <c r="A66" s="14" t="s">
        <v>234</v>
      </c>
      <c r="B66" s="51" t="str">
        <f>IFERROR(VLOOKUP(A66,'3 BS Reported'!A:B,2,),"")</f>
        <v>Operating</v>
      </c>
      <c r="D66" s="28">
        <f>+'3 BS Reported'!C22</f>
        <v>-1907</v>
      </c>
      <c r="E66" s="28">
        <f>+'3 BS Reported'!D22</f>
        <v>-2014</v>
      </c>
      <c r="F66" s="28">
        <f>+'3 BS Reported'!E22</f>
        <v>-2269</v>
      </c>
      <c r="G66" s="28">
        <f>+'3 BS Reported'!F22</f>
        <v>-2427</v>
      </c>
    </row>
    <row r="67" spans="1:40" s="43" customFormat="1" x14ac:dyDescent="0.3">
      <c r="A67" s="14" t="str">
        <f>CONCATENATE('4 Add''l Info'!A$212,'4 Add''l Info'!A213)</f>
        <v>Other current liabilities: Accrued income taxes</v>
      </c>
      <c r="B67" s="51" t="str">
        <f>IFERROR(VLOOKUP(A67,'3 BS Reported'!A:B,2,),"")</f>
        <v/>
      </c>
      <c r="C67" s="161" t="s">
        <v>187</v>
      </c>
      <c r="D67" s="28">
        <f>+'4 Add''l Info'!B244</f>
        <v>-42</v>
      </c>
      <c r="E67" s="28">
        <f>+'4 Add''l Info'!C244</f>
        <v>-47</v>
      </c>
      <c r="F67" s="28">
        <f>+'4 Add''l Info'!D244</f>
        <v>-30</v>
      </c>
      <c r="G67" s="28">
        <f>+'4 Add''l Info'!E244</f>
        <v>-48</v>
      </c>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row>
    <row r="68" spans="1:40" s="43" customFormat="1" x14ac:dyDescent="0.3">
      <c r="A68" s="14" t="str">
        <f>CONCATENATE('4 Add''l Info'!A$212,'4 Add''l Info'!A214)</f>
        <v>Other current liabilities: Accrued salaries and wages</v>
      </c>
      <c r="B68" s="51" t="str">
        <f>IFERROR(VLOOKUP(A68,'3 BS Reported'!A:B,2,),"")</f>
        <v/>
      </c>
      <c r="C68" s="161" t="s">
        <v>187</v>
      </c>
      <c r="D68" s="28">
        <f>+'4 Add''l Info'!B245</f>
        <v>-325</v>
      </c>
      <c r="E68" s="28">
        <f>+'4 Add''l Info'!C245</f>
        <v>-318</v>
      </c>
      <c r="F68" s="28">
        <f>+'4 Add''l Info'!D245</f>
        <v>-311</v>
      </c>
      <c r="G68" s="28">
        <f>+'4 Add''l Info'!E245</f>
        <v>-309</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row>
    <row r="69" spans="1:40" s="43" customFormat="1" x14ac:dyDescent="0.3">
      <c r="A69" s="14" t="str">
        <f>CONCATENATE('4 Add''l Info'!A$212,'4 Add''l Info'!A215)</f>
        <v>Other current liabilities: Accured advertising and promotion</v>
      </c>
      <c r="B69" s="51" t="str">
        <f>IFERROR(VLOOKUP(A69,'3 BS Reported'!A:B,2,),"")</f>
        <v/>
      </c>
      <c r="C69" s="161" t="s">
        <v>187</v>
      </c>
      <c r="D69" s="28">
        <f>+'4 Add''l Info'!B246</f>
        <v>-447</v>
      </c>
      <c r="E69" s="28">
        <f>+'4 Add''l Info'!C246</f>
        <v>-436</v>
      </c>
      <c r="F69" s="28">
        <f>+'4 Add''l Info'!D246</f>
        <v>-582</v>
      </c>
      <c r="G69" s="28">
        <f>+'4 Add''l Info'!E246</f>
        <v>-557</v>
      </c>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row>
    <row r="70" spans="1:40" s="43" customFormat="1" x14ac:dyDescent="0.3">
      <c r="A70" s="14" t="str">
        <f>CONCATENATE('4 Add''l Info'!A$212,'4 Add''l Info'!A216)</f>
        <v>Other current liabilities: Other</v>
      </c>
      <c r="B70" s="51" t="str">
        <f>IFERROR(VLOOKUP(A70,'3 BS Reported'!A:B,2,),"")</f>
        <v/>
      </c>
      <c r="C70" s="161" t="s">
        <v>187</v>
      </c>
      <c r="D70" s="28">
        <f>+'4 Add''l Info'!B251</f>
        <v>-512</v>
      </c>
      <c r="E70" s="28">
        <f>+'4 Add''l Info'!C251</f>
        <v>-569</v>
      </c>
      <c r="F70" s="28">
        <f>+'4 Add''l Info'!D251</f>
        <v>-526</v>
      </c>
      <c r="G70" s="28">
        <f>+'4 Add''l Info'!E251</f>
        <v>-478</v>
      </c>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row>
    <row r="71" spans="1:40" x14ac:dyDescent="0.3">
      <c r="A71" s="14" t="s">
        <v>9</v>
      </c>
      <c r="B71" s="51" t="str">
        <f>IFERROR(VLOOKUP(A71,'3 BS Reported'!A:B,2,),"")</f>
        <v>Financial</v>
      </c>
      <c r="D71" s="23">
        <f>+'3 BS Reported'!C25</f>
        <v>-5289</v>
      </c>
      <c r="E71" s="23">
        <f>+'3 BS Reported'!D25</f>
        <v>-6698</v>
      </c>
      <c r="F71" s="23">
        <f>+'3 BS Reported'!E25</f>
        <v>-7836</v>
      </c>
      <c r="G71" s="23">
        <f>+'3 BS Reported'!F25</f>
        <v>-8207</v>
      </c>
    </row>
    <row r="72" spans="1:40" x14ac:dyDescent="0.3">
      <c r="A72" s="14" t="str">
        <f>CONCATENATE('4 Add''l Info'!A$150,'4 Add''l Info'!A151)</f>
        <v>Deferred tax liabilities: US state income taxes</v>
      </c>
      <c r="B72" s="51" t="str">
        <f>IFERROR(VLOOKUP(A72,'3 BS Reported'!A:B,2,),"")</f>
        <v/>
      </c>
      <c r="C72" s="161" t="s">
        <v>187</v>
      </c>
      <c r="D72" s="26">
        <f>-'4 Add''l Info'!B151</f>
        <v>-43</v>
      </c>
      <c r="E72" s="26">
        <f>-'4 Add''l Info'!C151</f>
        <v>-34</v>
      </c>
      <c r="F72" s="26">
        <f>-'4 Add''l Info'!D151</f>
        <v>-48</v>
      </c>
      <c r="G72" s="26">
        <f>-'4 Add''l Info'!E151</f>
        <v>-19</v>
      </c>
    </row>
    <row r="73" spans="1:40" s="42" customFormat="1" x14ac:dyDescent="0.3">
      <c r="A73" s="14" t="str">
        <f>CONCATENATE('4 Add''l Info'!A$150,'4 Add''l Info'!A152)</f>
        <v>Deferred tax liabilities: Hedging transactions</v>
      </c>
      <c r="B73" s="51" t="str">
        <f>IFERROR(VLOOKUP(A73,'3 BS Reported'!A:B,2,),"")</f>
        <v/>
      </c>
      <c r="C73" s="161" t="s">
        <v>187</v>
      </c>
      <c r="D73" s="26">
        <f>-'4 Add''l Info'!B152</f>
        <v>0</v>
      </c>
      <c r="E73" s="26">
        <f>-'4 Add''l Info'!C152</f>
        <v>-51</v>
      </c>
      <c r="F73" s="26">
        <f>-'4 Add''l Info'!D152</f>
        <v>0</v>
      </c>
      <c r="G73" s="26">
        <f>-'4 Add''l Info'!E152</f>
        <v>0</v>
      </c>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row>
    <row r="74" spans="1:40" s="42" customFormat="1" x14ac:dyDescent="0.3">
      <c r="A74" s="14" t="str">
        <f>CONCATENATE('4 Add''l Info'!A$150,'4 Add''l Info'!A153)</f>
        <v>Deferred tax liabilities: Depreciation and asset disposals</v>
      </c>
      <c r="B74" s="51" t="str">
        <f>IFERROR(VLOOKUP(A74,'3 BS Reported'!A:B,2,),"")</f>
        <v/>
      </c>
      <c r="C74" s="161" t="s">
        <v>187</v>
      </c>
      <c r="D74" s="26">
        <f>-'4 Add''l Info'!B153</f>
        <v>-345</v>
      </c>
      <c r="E74" s="26">
        <f>-'4 Add''l Info'!C153</f>
        <v>-318</v>
      </c>
      <c r="F74" s="26">
        <f>-'4 Add''l Info'!D153</f>
        <v>-208</v>
      </c>
      <c r="G74" s="26">
        <f>-'4 Add''l Info'!E153</f>
        <v>-220</v>
      </c>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row>
    <row r="75" spans="1:40" s="42" customFormat="1" x14ac:dyDescent="0.3">
      <c r="A75" s="14" t="str">
        <f>CONCATENATE('4 Add''l Info'!A$150,'4 Add''l Info'!A154)</f>
        <v>Deferred tax liabilities: Trademarks and other intangibles</v>
      </c>
      <c r="B75" s="51" t="str">
        <f>IFERROR(VLOOKUP(A75,'3 BS Reported'!A:B,2,),"")</f>
        <v/>
      </c>
      <c r="C75" s="161" t="s">
        <v>187</v>
      </c>
      <c r="D75" s="26">
        <f>-'4 Add''l Info'!B154</f>
        <v>-576</v>
      </c>
      <c r="E75" s="26">
        <f>-'4 Add''l Info'!C154</f>
        <v>-602</v>
      </c>
      <c r="F75" s="26">
        <f>-'4 Add''l Info'!D154</f>
        <v>-332</v>
      </c>
      <c r="G75" s="26">
        <f>-'4 Add''l Info'!E154</f>
        <v>-613</v>
      </c>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row>
    <row r="76" spans="1:40" s="42" customFormat="1" x14ac:dyDescent="0.3">
      <c r="A76" s="14" t="str">
        <f>CONCATENATE('4 Add''l Info'!A$150,'4 Add''l Info'!A155)</f>
        <v>Deferred tax liabilities: Unremitted foreign earnings</v>
      </c>
      <c r="B76" s="51" t="str">
        <f>IFERROR(VLOOKUP(A76,'3 BS Reported'!A:B,2,),"")</f>
        <v/>
      </c>
      <c r="C76" s="161" t="s">
        <v>187</v>
      </c>
      <c r="D76" s="26">
        <f>-'4 Add''l Info'!B155</f>
        <v>0</v>
      </c>
      <c r="E76" s="26">
        <f>-'4 Add''l Info'!C155</f>
        <v>0</v>
      </c>
      <c r="F76" s="26">
        <f>-'4 Add''l Info'!D155</f>
        <v>0</v>
      </c>
      <c r="G76" s="26">
        <f>-'4 Add''l Info'!E155</f>
        <v>0</v>
      </c>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row>
    <row r="77" spans="1:40" s="42" customFormat="1" x14ac:dyDescent="0.3">
      <c r="A77" s="14" t="str">
        <f>CONCATENATE('4 Add''l Info'!A$63,'4 Add''l Info'!A64)</f>
        <v>Pension: Benefit obligation</v>
      </c>
      <c r="B77" s="51" t="str">
        <f>IFERROR(VLOOKUP(A77,'3 BS Reported'!A:B,2,),"")</f>
        <v/>
      </c>
      <c r="C77" s="161" t="s">
        <v>144</v>
      </c>
      <c r="D77" s="26">
        <f>'4 Add''l Info'!B64</f>
        <v>-5316</v>
      </c>
      <c r="E77" s="26">
        <f>'4 Add''l Info'!C64</f>
        <v>-5510</v>
      </c>
      <c r="F77" s="26">
        <f>'4 Add''l Info'!D64</f>
        <v>-5648</v>
      </c>
      <c r="G77" s="26">
        <f>'4 Add''l Info'!E64</f>
        <v>-5117</v>
      </c>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row>
    <row r="78" spans="1:40" s="42" customFormat="1" x14ac:dyDescent="0.3">
      <c r="A78" s="14" t="str">
        <f>CONCATENATE('4 Add''l Info'!A$89,'4 Add''l Info'!A90)</f>
        <v>Postretirement: Benefit obligation</v>
      </c>
      <c r="B78" s="51" t="str">
        <f>IFERROR(VLOOKUP(A78,'3 BS Reported'!A:B,2,),"")</f>
        <v/>
      </c>
      <c r="C78" s="161" t="s">
        <v>144</v>
      </c>
      <c r="D78" s="26">
        <f>'4 Add''l Info'!B90</f>
        <v>-1163</v>
      </c>
      <c r="E78" s="26">
        <f>'4 Add''l Info'!C90</f>
        <v>-1161</v>
      </c>
      <c r="F78" s="26">
        <f>'4 Add''l Info'!D90</f>
        <v>-1190</v>
      </c>
      <c r="G78" s="26">
        <f>'4 Add''l Info'!E90</f>
        <v>-1069</v>
      </c>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row>
    <row r="79" spans="1:40" s="42" customFormat="1" x14ac:dyDescent="0.3">
      <c r="A79" s="14" t="str">
        <f>CONCATENATE('4 Add''l Info'!A$113,'4 Add''l Info'!A114)</f>
        <v>Postemployment: Benefit obligation</v>
      </c>
      <c r="B79" s="51" t="str">
        <f>IFERROR(VLOOKUP(A79,'3 BS Reported'!A:B,2,),"")</f>
        <v/>
      </c>
      <c r="C79" s="161" t="s">
        <v>144</v>
      </c>
      <c r="D79" s="26">
        <f>'4 Add''l Info'!B114</f>
        <v>-108</v>
      </c>
      <c r="E79" s="26">
        <f>'4 Add''l Info'!C114</f>
        <v>-87</v>
      </c>
      <c r="F79" s="26">
        <f>'4 Add''l Info'!D114</f>
        <v>-43</v>
      </c>
      <c r="G79" s="26">
        <f>'4 Add''l Info'!E114</f>
        <v>-42</v>
      </c>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row>
    <row r="80" spans="1:40" s="42" customFormat="1" x14ac:dyDescent="0.3">
      <c r="A80" s="14" t="str">
        <f>CONCATENATE('4 Add''l Info'!A$219,'4 Add''l Info'!A220)</f>
        <v>Other liabilities: Income taxes payable</v>
      </c>
      <c r="B80" s="51" t="str">
        <f>IFERROR(VLOOKUP(A80,'3 BS Reported'!A:B,2,),"")</f>
        <v/>
      </c>
      <c r="C80" s="161" t="s">
        <v>187</v>
      </c>
      <c r="D80" s="26">
        <f>+'4 Add''l Info'!B255</f>
        <v>0</v>
      </c>
      <c r="E80" s="26">
        <f>+'4 Add''l Info'!C255</f>
        <v>-48</v>
      </c>
      <c r="F80" s="26">
        <f>+'4 Add''l Info'!D255</f>
        <v>-192</v>
      </c>
      <c r="G80" s="26">
        <f>+'4 Add''l Info'!E255</f>
        <v>-115</v>
      </c>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row>
    <row r="81" spans="1:40" s="42" customFormat="1" x14ac:dyDescent="0.3">
      <c r="A81" s="14" t="str">
        <f>CONCATENATE('4 Add''l Info'!A$219,'4 Add''l Info'!A221)</f>
        <v>Other liabilities: Nonpension postretirement benefits</v>
      </c>
      <c r="B81" s="51"/>
      <c r="C81" s="161" t="s">
        <v>144</v>
      </c>
      <c r="D81" s="26">
        <f>+'4 Add''l Info'!B256</f>
        <v>-77</v>
      </c>
      <c r="E81" s="26">
        <f>+'4 Add''l Info'!C256</f>
        <v>-40</v>
      </c>
      <c r="F81" s="26">
        <f>+'4 Add''l Info'!D256</f>
        <v>-40</v>
      </c>
      <c r="G81" s="26">
        <f>+'4 Add''l Info'!E256</f>
        <v>-34</v>
      </c>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row>
    <row r="82" spans="1:40" s="42" customFormat="1" x14ac:dyDescent="0.3">
      <c r="A82" s="14" t="s">
        <v>334</v>
      </c>
      <c r="B82" s="51" t="str">
        <f>IFERROR(VLOOKUP(A82,'3 BS Reported'!A:B,2,),"")</f>
        <v/>
      </c>
      <c r="C82" s="161" t="s">
        <v>144</v>
      </c>
      <c r="D82" s="26">
        <f>+'4 Add''l Info'!B260</f>
        <v>-214</v>
      </c>
      <c r="E82" s="26">
        <f>+'4 Add''l Info'!C260</f>
        <v>-260</v>
      </c>
      <c r="F82" s="26">
        <f>+'4 Add''l Info'!D260</f>
        <v>-295</v>
      </c>
      <c r="G82" s="26">
        <f>+'4 Add''l Info'!E260</f>
        <v>-284</v>
      </c>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row>
    <row r="83" spans="1:40" s="13" customFormat="1" x14ac:dyDescent="0.3">
      <c r="A83" s="13" t="s">
        <v>160</v>
      </c>
      <c r="B83" s="191"/>
      <c r="C83" s="191"/>
      <c r="D83" s="194">
        <f>SUM(D61:D82)</f>
        <v>-18834</v>
      </c>
      <c r="E83" s="194">
        <f t="shared" ref="E83" si="2">SUM(E61:E82)</f>
        <v>-19262</v>
      </c>
      <c r="F83" s="194">
        <f t="shared" ref="F83:G83" si="3">SUM(F61:F82)</f>
        <v>-20329</v>
      </c>
      <c r="G83" s="194">
        <f t="shared" si="3"/>
        <v>-20225</v>
      </c>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row>
    <row r="84" spans="1:40" s="13" customFormat="1" x14ac:dyDescent="0.3">
      <c r="A84" s="13" t="s">
        <v>161</v>
      </c>
      <c r="B84" s="191"/>
      <c r="C84" s="191"/>
      <c r="D84" s="193"/>
      <c r="E84" s="193"/>
      <c r="F84" s="193"/>
      <c r="G84" s="193"/>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row>
    <row r="85" spans="1:40" x14ac:dyDescent="0.3">
      <c r="A85" s="14" t="s">
        <v>226</v>
      </c>
      <c r="B85" s="51" t="str">
        <f>IFERROR(VLOOKUP(A85,'3 BS Reported'!A:B,2,),"")</f>
        <v>Equity</v>
      </c>
      <c r="D85" s="28">
        <f>+'3 BS Reported'!C31</f>
        <v>-105</v>
      </c>
      <c r="E85" s="28">
        <f>+'3 BS Reported'!D31</f>
        <v>-105</v>
      </c>
      <c r="F85" s="28">
        <f>+'3 BS Reported'!E31</f>
        <v>-105</v>
      </c>
      <c r="G85" s="28">
        <f>+'3 BS Reported'!F31</f>
        <v>-105</v>
      </c>
    </row>
    <row r="86" spans="1:40" x14ac:dyDescent="0.3">
      <c r="A86" s="14" t="s">
        <v>236</v>
      </c>
      <c r="B86" s="51" t="str">
        <f>IFERROR(VLOOKUP(A86,'3 BS Reported'!A:B,2,),"")</f>
        <v>Equity</v>
      </c>
      <c r="D86" s="28">
        <f>+'3 BS Reported'!C32</f>
        <v>-745</v>
      </c>
      <c r="E86" s="28">
        <f>+'3 BS Reported'!D32</f>
        <v>-806</v>
      </c>
      <c r="F86" s="28">
        <f>+'3 BS Reported'!E32</f>
        <v>-878</v>
      </c>
      <c r="G86" s="28">
        <f>+'3 BS Reported'!F32</f>
        <v>-895</v>
      </c>
    </row>
    <row r="87" spans="1:40" x14ac:dyDescent="0.3">
      <c r="A87" s="14" t="s">
        <v>8</v>
      </c>
      <c r="B87" s="51" t="str">
        <f>IFERROR(VLOOKUP(A87,'3 BS Reported'!A:B,2,),"")</f>
        <v>Equity</v>
      </c>
      <c r="D87" s="28">
        <f>+'3 BS Reported'!C33</f>
        <v>-6597</v>
      </c>
      <c r="E87" s="28">
        <f>+'3 BS Reported'!D33</f>
        <v>-6571</v>
      </c>
      <c r="F87" s="28">
        <f>+'3 BS Reported'!E33</f>
        <v>-7069</v>
      </c>
      <c r="G87" s="28">
        <f>+'3 BS Reported'!F33</f>
        <v>-7652</v>
      </c>
    </row>
    <row r="88" spans="1:40" x14ac:dyDescent="0.3">
      <c r="A88" s="14" t="s">
        <v>237</v>
      </c>
      <c r="B88" s="51" t="str">
        <f>IFERROR(VLOOKUP(A88,'3 BS Reported'!A:B,2,),"")</f>
        <v>Equity</v>
      </c>
      <c r="D88" s="28">
        <f>+'3 BS Reported'!C34</f>
        <v>3943</v>
      </c>
      <c r="E88" s="28">
        <f>+'3 BS Reported'!D34</f>
        <v>3997</v>
      </c>
      <c r="F88" s="28">
        <f>+'3 BS Reported'!E34</f>
        <v>4417</v>
      </c>
      <c r="G88" s="28">
        <f>+'3 BS Reported'!F34</f>
        <v>4551</v>
      </c>
    </row>
    <row r="89" spans="1:40" x14ac:dyDescent="0.3">
      <c r="A89" s="14" t="s">
        <v>228</v>
      </c>
      <c r="B89" s="51" t="str">
        <f>IFERROR(VLOOKUP(A89,'3 BS Reported'!A:B,2,),"")</f>
        <v>Equity</v>
      </c>
      <c r="D89" s="28">
        <f>+'3 BS Reported'!C35</f>
        <v>1376</v>
      </c>
      <c r="E89" s="28">
        <f>+'3 BS Reported'!D35</f>
        <v>1575</v>
      </c>
      <c r="F89" s="28">
        <f>+'3 BS Reported'!E35</f>
        <v>1457</v>
      </c>
      <c r="G89" s="28">
        <f>+'3 BS Reported'!F35</f>
        <v>1500</v>
      </c>
    </row>
    <row r="90" spans="1:40" x14ac:dyDescent="0.3">
      <c r="A90" s="14" t="s">
        <v>238</v>
      </c>
      <c r="B90" s="51" t="str">
        <f>IFERROR(VLOOKUP(A90,'3 BS Reported'!A:B,2,),"")</f>
        <v>Financial</v>
      </c>
      <c r="D90" s="41">
        <f>+'3 BS Reported'!C36</f>
        <v>-10</v>
      </c>
      <c r="E90" s="41">
        <f>+'3 BS Reported'!D36</f>
        <v>-16</v>
      </c>
      <c r="F90" s="41">
        <f>+'3 BS Reported'!E36</f>
        <v>-16</v>
      </c>
      <c r="G90" s="41">
        <f>+'3 BS Reported'!F36</f>
        <v>-558</v>
      </c>
    </row>
    <row r="91" spans="1:40" s="13" customFormat="1" x14ac:dyDescent="0.3">
      <c r="A91" s="74" t="s">
        <v>162</v>
      </c>
      <c r="B91" s="191"/>
      <c r="C91" s="191"/>
      <c r="D91" s="193">
        <f>SUM(D85:D90)</f>
        <v>-2138</v>
      </c>
      <c r="E91" s="193">
        <f t="shared" ref="E91" si="4">SUM(E85:E90)</f>
        <v>-1926</v>
      </c>
      <c r="F91" s="193">
        <f t="shared" ref="F91:G91" si="5">SUM(F85:F90)</f>
        <v>-2194</v>
      </c>
      <c r="G91" s="193">
        <f t="shared" si="5"/>
        <v>-3159</v>
      </c>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row>
    <row r="92" spans="1:40" s="13" customFormat="1" ht="15" thickBot="1" x14ac:dyDescent="0.35">
      <c r="A92" s="74" t="s">
        <v>163</v>
      </c>
      <c r="B92" s="191"/>
      <c r="C92" s="191"/>
      <c r="D92" s="192">
        <f>+D83+D91</f>
        <v>-20972</v>
      </c>
      <c r="E92" s="192">
        <f t="shared" ref="E92" si="6">+E83+E91</f>
        <v>-21188</v>
      </c>
      <c r="F92" s="192">
        <f t="shared" ref="F92:G92" si="7">+F83+F91</f>
        <v>-22523</v>
      </c>
      <c r="G92" s="192">
        <f t="shared" si="7"/>
        <v>-23384</v>
      </c>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row>
    <row r="93" spans="1:40" ht="15" thickTop="1" x14ac:dyDescent="0.3">
      <c r="B93" s="51" t="str">
        <f>IFERROR(VLOOKUP(A93,'3 BS Reported'!A:F,8,),"")</f>
        <v/>
      </c>
      <c r="D93" s="28"/>
      <c r="E93" s="28"/>
      <c r="F93" s="28"/>
      <c r="G93" s="28"/>
    </row>
    <row r="94" spans="1:40" x14ac:dyDescent="0.3">
      <c r="A94" s="195"/>
      <c r="B94" s="196"/>
      <c r="C94" s="196"/>
      <c r="D94" s="197"/>
      <c r="E94" s="197"/>
      <c r="F94" s="197"/>
      <c r="G94" s="197"/>
    </row>
    <row r="95" spans="1:40" ht="15" thickBot="1" x14ac:dyDescent="0.35">
      <c r="A95" s="195"/>
      <c r="B95" s="196"/>
      <c r="C95" s="196"/>
      <c r="D95" s="198">
        <f>+D3</f>
        <v>42371</v>
      </c>
      <c r="E95" s="198">
        <f>+E3</f>
        <v>42735</v>
      </c>
      <c r="F95" s="198">
        <f>+F3</f>
        <v>43099</v>
      </c>
      <c r="G95" s="198">
        <f>+G3</f>
        <v>43463</v>
      </c>
    </row>
    <row r="96" spans="1:40" x14ac:dyDescent="0.3">
      <c r="A96" s="199" t="s">
        <v>146</v>
      </c>
      <c r="B96" s="196"/>
      <c r="C96" s="196"/>
      <c r="D96" s="195"/>
      <c r="E96" s="195"/>
      <c r="F96" s="195"/>
      <c r="G96" s="195"/>
    </row>
    <row r="97" spans="1:40" x14ac:dyDescent="0.3">
      <c r="A97" s="195" t="s">
        <v>226</v>
      </c>
      <c r="B97" s="196"/>
      <c r="C97" s="196"/>
      <c r="D97" s="197">
        <f>+'3 BS Reported'!C43</f>
        <v>-105</v>
      </c>
      <c r="E97" s="197">
        <f>+'3 BS Reported'!D43</f>
        <v>-105</v>
      </c>
      <c r="F97" s="197">
        <f>+'3 BS Reported'!E43</f>
        <v>-105</v>
      </c>
      <c r="G97" s="197">
        <f>+'3 BS Reported'!F43</f>
        <v>-105</v>
      </c>
    </row>
    <row r="98" spans="1:40" x14ac:dyDescent="0.3">
      <c r="A98" s="195" t="s">
        <v>236</v>
      </c>
      <c r="B98" s="196"/>
      <c r="C98" s="196"/>
      <c r="D98" s="197">
        <f>+'3 BS Reported'!C44</f>
        <v>-745</v>
      </c>
      <c r="E98" s="197">
        <f>+'3 BS Reported'!D44</f>
        <v>-806</v>
      </c>
      <c r="F98" s="197">
        <f>+'3 BS Reported'!E44</f>
        <v>-878</v>
      </c>
      <c r="G98" s="197">
        <f>+'3 BS Reported'!F44</f>
        <v>-895</v>
      </c>
    </row>
    <row r="99" spans="1:40" x14ac:dyDescent="0.3">
      <c r="A99" s="195" t="s">
        <v>8</v>
      </c>
      <c r="B99" s="196"/>
      <c r="C99" s="196"/>
      <c r="D99" s="197">
        <f>+'3 BS Reported'!C45</f>
        <v>-6597</v>
      </c>
      <c r="E99" s="197">
        <f>+'3 BS Reported'!D45</f>
        <v>-6571</v>
      </c>
      <c r="F99" s="197">
        <f>+'3 BS Reported'!E45</f>
        <v>-7069</v>
      </c>
      <c r="G99" s="197">
        <f>+'3 BS Reported'!F45</f>
        <v>-7652</v>
      </c>
    </row>
    <row r="100" spans="1:40" x14ac:dyDescent="0.3">
      <c r="A100" s="195" t="s">
        <v>237</v>
      </c>
      <c r="B100" s="196"/>
      <c r="C100" s="196"/>
      <c r="D100" s="197">
        <f>+'3 BS Reported'!C46</f>
        <v>3943</v>
      </c>
      <c r="E100" s="197">
        <f>+'3 BS Reported'!D46</f>
        <v>3997</v>
      </c>
      <c r="F100" s="197">
        <f>+'3 BS Reported'!E46</f>
        <v>4417</v>
      </c>
      <c r="G100" s="197">
        <f>+'3 BS Reported'!F46</f>
        <v>4551</v>
      </c>
    </row>
    <row r="101" spans="1:40" x14ac:dyDescent="0.3">
      <c r="A101" s="195" t="s">
        <v>228</v>
      </c>
      <c r="B101" s="196"/>
      <c r="C101" s="196"/>
      <c r="D101" s="197">
        <f>+'3 BS Reported'!C47</f>
        <v>1376</v>
      </c>
      <c r="E101" s="197">
        <f>+'3 BS Reported'!D47</f>
        <v>1575</v>
      </c>
      <c r="F101" s="197">
        <f>+'3 BS Reported'!E47</f>
        <v>1457</v>
      </c>
      <c r="G101" s="197">
        <f>+'3 BS Reported'!F47</f>
        <v>1500</v>
      </c>
    </row>
    <row r="102" spans="1:40" ht="15" thickBot="1" x14ac:dyDescent="0.35">
      <c r="A102" s="195"/>
      <c r="B102" s="196" t="str">
        <f>IFERROR(VLOOKUP(A102,'3 BS Reported'!A:F,8,),"")</f>
        <v/>
      </c>
      <c r="C102" s="196"/>
      <c r="D102" s="200">
        <f t="shared" ref="D102:E102" si="8">SUM(D97:D101)</f>
        <v>-2128</v>
      </c>
      <c r="E102" s="200">
        <f t="shared" si="8"/>
        <v>-1910</v>
      </c>
      <c r="F102" s="200">
        <f t="shared" ref="F102:G102" si="9">SUM(F97:F101)</f>
        <v>-2178</v>
      </c>
      <c r="G102" s="200">
        <f t="shared" si="9"/>
        <v>-2601</v>
      </c>
    </row>
    <row r="103" spans="1:40" ht="15" thickTop="1" x14ac:dyDescent="0.3">
      <c r="A103" s="195"/>
      <c r="B103" s="196"/>
      <c r="C103" s="196"/>
      <c r="D103" s="197"/>
      <c r="E103" s="197"/>
      <c r="F103" s="197"/>
      <c r="G103" s="197"/>
    </row>
    <row r="104" spans="1:40" x14ac:dyDescent="0.3">
      <c r="A104" s="195"/>
      <c r="B104" s="196"/>
      <c r="C104" s="196"/>
      <c r="D104" s="197"/>
      <c r="E104" s="197"/>
      <c r="F104" s="197"/>
      <c r="G104" s="197"/>
    </row>
    <row r="105" spans="1:40" x14ac:dyDescent="0.3">
      <c r="A105" s="199" t="s">
        <v>476</v>
      </c>
      <c r="B105" s="196"/>
      <c r="C105" s="196"/>
      <c r="D105" s="195"/>
      <c r="E105" s="195"/>
      <c r="F105" s="195"/>
      <c r="G105" s="195"/>
    </row>
    <row r="106" spans="1:40" x14ac:dyDescent="0.3">
      <c r="A106" s="195" t="s">
        <v>251</v>
      </c>
      <c r="B106" s="196"/>
      <c r="C106" s="196"/>
      <c r="D106" s="197"/>
      <c r="E106" s="197">
        <f>+'3 BS Reported'!D52</f>
        <v>426</v>
      </c>
      <c r="F106" s="197">
        <f>+'3 BS Reported'!E52</f>
        <v>516</v>
      </c>
      <c r="G106" s="197">
        <f>+'3 BS Reported'!F52</f>
        <v>320</v>
      </c>
    </row>
    <row r="107" spans="1:40" x14ac:dyDescent="0.3">
      <c r="A107" s="195" t="s">
        <v>254</v>
      </c>
      <c r="B107" s="196"/>
      <c r="C107" s="196"/>
      <c r="D107" s="197"/>
      <c r="E107" s="197">
        <f>+'3 BS Reported'!D53</f>
        <v>716</v>
      </c>
      <c r="F107" s="197">
        <f>+'3 BS Reported'!E53</f>
        <v>736</v>
      </c>
      <c r="G107" s="197">
        <f>+'3 BS Reported'!F53</f>
        <v>762</v>
      </c>
      <c r="V107"/>
      <c r="W107"/>
      <c r="X107"/>
      <c r="Y107"/>
      <c r="Z107"/>
      <c r="AA107"/>
      <c r="AB107"/>
      <c r="AC107"/>
      <c r="AD107"/>
      <c r="AE107"/>
      <c r="AF107"/>
      <c r="AG107"/>
      <c r="AH107"/>
      <c r="AI107"/>
      <c r="AJ107"/>
      <c r="AK107"/>
      <c r="AL107"/>
      <c r="AM107"/>
      <c r="AN107"/>
    </row>
    <row r="108" spans="1:40" x14ac:dyDescent="0.3">
      <c r="A108" s="195" t="s">
        <v>252</v>
      </c>
      <c r="B108" s="196"/>
      <c r="C108" s="196"/>
      <c r="D108" s="197"/>
      <c r="E108" s="197">
        <f>+'3 BS Reported'!D54</f>
        <v>-63</v>
      </c>
      <c r="F108" s="197">
        <f>+'3 BS Reported'!E54</f>
        <v>-66</v>
      </c>
      <c r="G108" s="197">
        <f>+'3 BS Reported'!F54</f>
        <v>-59</v>
      </c>
    </row>
    <row r="109" spans="1:40" x14ac:dyDescent="0.3">
      <c r="A109" s="195" t="s">
        <v>253</v>
      </c>
      <c r="B109" s="196"/>
      <c r="C109" s="196"/>
      <c r="D109" s="197"/>
      <c r="E109" s="197">
        <f>+'3 BS Reported'!D55</f>
        <v>-366</v>
      </c>
      <c r="F109" s="197">
        <f>+'3 BS Reported'!E55</f>
        <v>-101</v>
      </c>
      <c r="G109" s="197">
        <f>+'3 BS Reported'!F55</f>
        <v>-153</v>
      </c>
    </row>
    <row r="110" spans="1:40" x14ac:dyDescent="0.3">
      <c r="A110" s="195" t="s">
        <v>448</v>
      </c>
      <c r="B110" s="196"/>
      <c r="C110" s="196"/>
      <c r="D110" s="197"/>
      <c r="E110" s="197">
        <f>+'3 BS Reported'!D56</f>
        <v>5</v>
      </c>
      <c r="F110" s="197">
        <f>+'3 BS Reported'!E56</f>
        <v>19</v>
      </c>
      <c r="G110" s="197">
        <f>+'3 BS Reported'!F56</f>
        <v>0</v>
      </c>
    </row>
    <row r="111" spans="1:40" ht="15" thickBot="1" x14ac:dyDescent="0.35">
      <c r="A111" s="195"/>
      <c r="B111" s="196"/>
      <c r="C111" s="196"/>
      <c r="D111" s="200"/>
      <c r="E111" s="200">
        <f t="shared" ref="E111:G111" si="10">SUM(E106:E110)</f>
        <v>718</v>
      </c>
      <c r="F111" s="200">
        <f t="shared" si="10"/>
        <v>1104</v>
      </c>
      <c r="G111" s="200">
        <f t="shared" si="10"/>
        <v>870</v>
      </c>
    </row>
    <row r="112" spans="1:40" ht="15" thickTop="1" x14ac:dyDescent="0.3">
      <c r="A112" s="195"/>
      <c r="B112" s="196" t="str">
        <f>IFERROR(VLOOKUP(A112,'3 BS Reported'!A:F,8,),"")</f>
        <v/>
      </c>
      <c r="C112" s="196"/>
      <c r="D112" s="197"/>
      <c r="E112" s="197"/>
      <c r="F112" s="197"/>
      <c r="G112" s="197"/>
    </row>
    <row r="113" spans="1:40" x14ac:dyDescent="0.3">
      <c r="A113" s="195"/>
      <c r="B113" s="196"/>
      <c r="C113" s="196"/>
      <c r="D113" s="195"/>
      <c r="E113" s="195"/>
      <c r="F113" s="195"/>
      <c r="G113" s="195"/>
    </row>
    <row r="114" spans="1:40" x14ac:dyDescent="0.3">
      <c r="A114" s="199" t="s">
        <v>147</v>
      </c>
      <c r="B114" s="196"/>
      <c r="C114" s="196"/>
      <c r="D114" s="195"/>
      <c r="E114" s="195"/>
      <c r="F114" s="195"/>
      <c r="G114" s="195"/>
    </row>
    <row r="115" spans="1:40" x14ac:dyDescent="0.3">
      <c r="A115" s="195" t="s">
        <v>185</v>
      </c>
      <c r="B115" s="196"/>
      <c r="C115" s="196"/>
      <c r="D115" s="197"/>
      <c r="E115" s="197">
        <f t="shared" ref="E115:G115" si="11">+D118</f>
        <v>-2128</v>
      </c>
      <c r="F115" s="197">
        <f t="shared" si="11"/>
        <v>-1910</v>
      </c>
      <c r="G115" s="197">
        <f t="shared" si="11"/>
        <v>-2178</v>
      </c>
    </row>
    <row r="116" spans="1:40" x14ac:dyDescent="0.3">
      <c r="A116" s="195" t="s">
        <v>250</v>
      </c>
      <c r="B116" s="196"/>
      <c r="C116" s="196"/>
      <c r="D116" s="197"/>
      <c r="E116" s="197">
        <f>-'4 IS Expanded'!E55</f>
        <v>-500</v>
      </c>
      <c r="F116" s="197">
        <f>-'4 IS Expanded'!F55</f>
        <v>-1372</v>
      </c>
      <c r="G116" s="197">
        <f>-'4 IS Expanded'!G55</f>
        <v>-1293</v>
      </c>
      <c r="AC116"/>
      <c r="AD116"/>
      <c r="AE116"/>
      <c r="AF116"/>
      <c r="AG116"/>
      <c r="AH116"/>
      <c r="AI116"/>
      <c r="AJ116"/>
      <c r="AK116"/>
      <c r="AL116"/>
      <c r="AM116"/>
      <c r="AN116"/>
    </row>
    <row r="117" spans="1:40" x14ac:dyDescent="0.3">
      <c r="A117" s="195" t="str">
        <f>+A105</f>
        <v>Free cash flow to equity holders</v>
      </c>
      <c r="B117" s="196"/>
      <c r="C117" s="195"/>
      <c r="D117" s="201"/>
      <c r="E117" s="201">
        <f t="shared" ref="E117" si="12">E111</f>
        <v>718</v>
      </c>
      <c r="F117" s="201">
        <f t="shared" ref="F117:G117" si="13">F111</f>
        <v>1104</v>
      </c>
      <c r="G117" s="201">
        <f t="shared" si="13"/>
        <v>870</v>
      </c>
    </row>
    <row r="118" spans="1:40" ht="15" thickBot="1" x14ac:dyDescent="0.35">
      <c r="A118" s="195" t="s">
        <v>186</v>
      </c>
      <c r="B118" s="196"/>
      <c r="C118" s="195"/>
      <c r="D118" s="202">
        <f>+D102</f>
        <v>-2128</v>
      </c>
      <c r="E118" s="202">
        <f t="shared" ref="E118" si="14">SUM(E115:E117)</f>
        <v>-1910</v>
      </c>
      <c r="F118" s="202">
        <f t="shared" ref="F118:G118" si="15">SUM(F115:F117)</f>
        <v>-2178</v>
      </c>
      <c r="G118" s="202">
        <f t="shared" si="15"/>
        <v>-2601</v>
      </c>
    </row>
    <row r="119" spans="1:40" ht="15" thickTop="1" x14ac:dyDescent="0.3">
      <c r="A119" s="195"/>
      <c r="B119" s="196"/>
      <c r="C119" s="195"/>
      <c r="D119" s="197"/>
      <c r="E119" s="197"/>
      <c r="F119" s="197"/>
      <c r="G119" s="197"/>
      <c r="AN119"/>
    </row>
    <row r="120" spans="1:40" x14ac:dyDescent="0.3">
      <c r="A120" s="195"/>
      <c r="B120" s="196"/>
      <c r="C120" s="195"/>
      <c r="D120" s="197"/>
      <c r="E120" s="197"/>
      <c r="F120" s="197"/>
      <c r="G120" s="197"/>
      <c r="AN120"/>
    </row>
    <row r="121" spans="1:40" s="13" customFormat="1" x14ac:dyDescent="0.3">
      <c r="A121" s="203" t="s">
        <v>118</v>
      </c>
      <c r="B121" s="204"/>
      <c r="C121" s="204"/>
      <c r="D121" s="205"/>
      <c r="E121" s="205"/>
      <c r="F121" s="205"/>
      <c r="G121" s="205"/>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row>
    <row r="122" spans="1:40" s="13" customFormat="1" x14ac:dyDescent="0.3">
      <c r="A122" s="203" t="s">
        <v>117</v>
      </c>
      <c r="B122" s="204"/>
      <c r="C122" s="204"/>
      <c r="D122" s="205">
        <f>+D58+D92</f>
        <v>0</v>
      </c>
      <c r="E122" s="205">
        <f t="shared" ref="E122" si="16">+E58+E92</f>
        <v>0</v>
      </c>
      <c r="F122" s="205">
        <f t="shared" ref="F122:G122" si="17">+F58+F92</f>
        <v>0</v>
      </c>
      <c r="G122" s="205">
        <f t="shared" si="17"/>
        <v>0</v>
      </c>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row>
    <row r="123" spans="1:40" s="13" customFormat="1" x14ac:dyDescent="0.3">
      <c r="A123" s="203" t="s">
        <v>150</v>
      </c>
      <c r="B123" s="204"/>
      <c r="C123" s="204"/>
      <c r="D123" s="206">
        <f>+D118-D102</f>
        <v>0</v>
      </c>
      <c r="E123" s="206">
        <f>+E118-E102</f>
        <v>0</v>
      </c>
      <c r="F123" s="206">
        <f>+F118-F102</f>
        <v>0</v>
      </c>
      <c r="G123" s="206">
        <f>+G118-G102</f>
        <v>0</v>
      </c>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row>
    <row r="124" spans="1:40" s="13" customFormat="1" x14ac:dyDescent="0.3">
      <c r="A124" s="203" t="s">
        <v>169</v>
      </c>
      <c r="B124" s="204"/>
      <c r="C124" s="204"/>
      <c r="D124" s="205">
        <f>+D102-'3 BS Reported'!C48</f>
        <v>0</v>
      </c>
      <c r="E124" s="205">
        <f>+E102-'3 BS Reported'!D48</f>
        <v>0</v>
      </c>
      <c r="F124" s="205">
        <f>+F102-'3 BS Reported'!E48</f>
        <v>0</v>
      </c>
      <c r="G124" s="205">
        <f>+G102-'3 BS Reported'!F48</f>
        <v>0</v>
      </c>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row>
  </sheetData>
  <pageMargins left="0.7" right="0.7" top="0.75" bottom="0.75" header="0.3" footer="0.3"/>
  <pageSetup scale="7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59"/>
  <sheetViews>
    <sheetView zoomScaleNormal="100" workbookViewId="0">
      <pane xSplit="3" ySplit="3" topLeftCell="D4" activePane="bottomRight" state="frozen"/>
      <selection activeCell="H23" sqref="H23"/>
      <selection pane="topRight" activeCell="H23" sqref="H23"/>
      <selection pane="bottomLeft" activeCell="H23" sqref="H23"/>
      <selection pane="bottomRight" activeCell="C38" sqref="C38"/>
    </sheetView>
  </sheetViews>
  <sheetFormatPr defaultRowHeight="14.4" x14ac:dyDescent="0.3"/>
  <cols>
    <col min="1" max="1" width="68.21875" style="14" bestFit="1" customWidth="1"/>
    <col min="2" max="2" width="9.88671875" style="51" bestFit="1" customWidth="1"/>
    <col min="3" max="3" width="9.88671875" style="14" bestFit="1" customWidth="1"/>
    <col min="4" max="4" width="8.77734375" style="14" bestFit="1" customWidth="1"/>
    <col min="5" max="7" width="10.77734375" style="14" bestFit="1" customWidth="1"/>
    <col min="8" max="39" width="9.109375" style="14"/>
  </cols>
  <sheetData>
    <row r="1" spans="1:39" s="13" customFormat="1" x14ac:dyDescent="0.3">
      <c r="A1" s="13" t="str">
        <f>+'3 BS Reported'!A1</f>
        <v>Kellogg</v>
      </c>
      <c r="B1" s="191"/>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s="13" customFormat="1" x14ac:dyDescent="0.3">
      <c r="B2" s="191" t="s">
        <v>26</v>
      </c>
      <c r="C2" s="191"/>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row>
    <row r="3" spans="1:39" s="13" customFormat="1" ht="15" thickBot="1" x14ac:dyDescent="0.35">
      <c r="A3" s="13" t="str">
        <f>+'3 BS Reported'!A3</f>
        <v>Amounts in millions</v>
      </c>
      <c r="B3" s="191" t="s">
        <v>27</v>
      </c>
      <c r="C3" s="191" t="s">
        <v>24</v>
      </c>
      <c r="D3" s="149">
        <f>+'3 IS Reported'!C3</f>
        <v>42371</v>
      </c>
      <c r="E3" s="149">
        <f>+'3 IS Reported'!D3</f>
        <v>42735</v>
      </c>
      <c r="F3" s="149">
        <f>+'3 IS Reported'!E3</f>
        <v>43099</v>
      </c>
      <c r="G3" s="149">
        <f>+'3 IS Reported'!F3</f>
        <v>43463</v>
      </c>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row>
    <row r="4" spans="1:39" x14ac:dyDescent="0.3">
      <c r="C4" s="51"/>
      <c r="D4" s="33"/>
      <c r="E4" s="33"/>
      <c r="F4" s="33"/>
      <c r="G4" s="33"/>
    </row>
    <row r="5" spans="1:39" s="42" customFormat="1" x14ac:dyDescent="0.3">
      <c r="A5" s="14" t="str">
        <f>CONCATENATE("Net sales -",'4 Add''l Info'!A166)</f>
        <v>Net sales - US Morning Foods</v>
      </c>
      <c r="B5" s="51" t="str">
        <f>IFERROR(VLOOKUP(A5,'3 IS Reported'!A:B,2,),"")</f>
        <v/>
      </c>
      <c r="C5" s="161" t="s">
        <v>187</v>
      </c>
      <c r="D5" s="26">
        <f>+'4 Add''l Info'!B166</f>
        <v>2992</v>
      </c>
      <c r="E5" s="26">
        <f>+'4 Add''l Info'!C166</f>
        <v>2917</v>
      </c>
      <c r="F5" s="26">
        <f>+'4 Add''l Info'!D166</f>
        <v>2709</v>
      </c>
      <c r="G5" s="26">
        <f>+'4 Add''l Info'!E166</f>
        <v>2643</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s="42" customFormat="1" x14ac:dyDescent="0.3">
      <c r="A6" s="14" t="str">
        <f>CONCATENATE("Net sales -",'4 Add''l Info'!A167)</f>
        <v>Net sales - US Snacks</v>
      </c>
      <c r="B6" s="51" t="str">
        <f>IFERROR(VLOOKUP(A6,'3 IS Reported'!A:B,2,),"")</f>
        <v/>
      </c>
      <c r="C6" s="161" t="s">
        <v>187</v>
      </c>
      <c r="D6" s="26">
        <f>+'4 Add''l Info'!B167</f>
        <v>3234</v>
      </c>
      <c r="E6" s="26">
        <f>+'4 Add''l Info'!C167</f>
        <v>3197</v>
      </c>
      <c r="F6" s="26">
        <f>+'4 Add''l Info'!D167</f>
        <v>3110</v>
      </c>
      <c r="G6" s="26">
        <f>+'4 Add''l Info'!E167</f>
        <v>2957</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s="42" customFormat="1" x14ac:dyDescent="0.3">
      <c r="A7" s="14" t="str">
        <f>CONCATENATE("Net sales -",'4 Add''l Info'!A168)</f>
        <v>Net sales - US Specialty Channels</v>
      </c>
      <c r="B7" s="51" t="str">
        <f>IFERROR(VLOOKUP(A7,'3 IS Reported'!A:B,2,),"")</f>
        <v/>
      </c>
      <c r="C7" s="161" t="s">
        <v>187</v>
      </c>
      <c r="D7" s="26">
        <f>+'4 Add''l Info'!B168</f>
        <v>1181</v>
      </c>
      <c r="E7" s="26">
        <f>+'4 Add''l Info'!C168</f>
        <v>1207</v>
      </c>
      <c r="F7" s="26">
        <f>+'4 Add''l Info'!D168</f>
        <v>1242</v>
      </c>
      <c r="G7" s="26">
        <f>+'4 Add''l Info'!E168</f>
        <v>1235</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s="42" customFormat="1" x14ac:dyDescent="0.3">
      <c r="A8" s="14" t="str">
        <f>CONCATENATE("Net sales -",'4 Add''l Info'!A169)</f>
        <v>Net sales - North America Other</v>
      </c>
      <c r="B8" s="51" t="str">
        <f>IFERROR(VLOOKUP(A8,'3 IS Reported'!A:B,2,),"")</f>
        <v/>
      </c>
      <c r="C8" s="161" t="s">
        <v>187</v>
      </c>
      <c r="D8" s="26">
        <f>+'4 Add''l Info'!B169</f>
        <v>1687</v>
      </c>
      <c r="E8" s="26">
        <f>+'4 Add''l Info'!C169</f>
        <v>1593</v>
      </c>
      <c r="F8" s="26">
        <f>+'4 Add''l Info'!D169</f>
        <v>1612</v>
      </c>
      <c r="G8" s="26">
        <f>+'4 Add''l Info'!E169</f>
        <v>1853</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1:39" s="42" customFormat="1" x14ac:dyDescent="0.3">
      <c r="A9" s="14" t="str">
        <f>CONCATENATE("Net sales -",'4 Add''l Info'!A170)</f>
        <v>Net sales - Europe</v>
      </c>
      <c r="B9" s="51"/>
      <c r="C9" s="161" t="s">
        <v>187</v>
      </c>
      <c r="D9" s="26">
        <f>+'4 Add''l Info'!B170</f>
        <v>2497</v>
      </c>
      <c r="E9" s="26">
        <f>+'4 Add''l Info'!C170</f>
        <v>2383</v>
      </c>
      <c r="F9" s="26">
        <f>+'4 Add''l Info'!D170</f>
        <v>2291</v>
      </c>
      <c r="G9" s="26">
        <f>+'4 Add''l Info'!E170</f>
        <v>2395</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s="42" customFormat="1" x14ac:dyDescent="0.3">
      <c r="A10" s="14" t="str">
        <f>CONCATENATE("Net sales -",'4 Add''l Info'!A171)</f>
        <v>Net sales - Latin America</v>
      </c>
      <c r="B10" s="51"/>
      <c r="C10" s="161" t="s">
        <v>187</v>
      </c>
      <c r="D10" s="26">
        <f>+'4 Add''l Info'!B171</f>
        <v>1015</v>
      </c>
      <c r="E10" s="26">
        <f>+'4 Add''l Info'!C171</f>
        <v>772</v>
      </c>
      <c r="F10" s="26">
        <f>+'4 Add''l Info'!D171</f>
        <v>944</v>
      </c>
      <c r="G10" s="26">
        <f>+'4 Add''l Info'!E171</f>
        <v>947</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1:39" s="42" customFormat="1" x14ac:dyDescent="0.3">
      <c r="A11" s="14" t="str">
        <f>CONCATENATE("Net sales -",'4 Add''l Info'!A172)</f>
        <v>Net sales - Asia Pacific</v>
      </c>
      <c r="B11" s="51"/>
      <c r="C11" s="161" t="s">
        <v>187</v>
      </c>
      <c r="D11" s="26">
        <f>+'4 Add''l Info'!B172</f>
        <v>919</v>
      </c>
      <c r="E11" s="26">
        <f>+'4 Add''l Info'!C172</f>
        <v>896</v>
      </c>
      <c r="F11" s="26">
        <f>+'4 Add''l Info'!D172</f>
        <v>946</v>
      </c>
      <c r="G11" s="26">
        <f>+'4 Add''l Info'!E172</f>
        <v>1517</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3">
      <c r="A12" t="s">
        <v>143</v>
      </c>
      <c r="B12" s="51" t="str">
        <f>IFERROR(VLOOKUP(A12,'3 IS Reported'!A:B,2,),"")</f>
        <v>Operating</v>
      </c>
      <c r="C12" s="51"/>
      <c r="D12" s="38"/>
      <c r="E12" s="29">
        <f>+'3 IS Reported'!D6</f>
        <v>-8131</v>
      </c>
      <c r="F12" s="29">
        <f>+'3 IS Reported'!E6</f>
        <v>-8155</v>
      </c>
      <c r="G12" s="29">
        <f>+'3 IS Reported'!F6</f>
        <v>-8821</v>
      </c>
      <c r="H12" s="51"/>
    </row>
    <row r="13" spans="1:39" s="13" customFormat="1" x14ac:dyDescent="0.3">
      <c r="A13" s="74" t="s">
        <v>166</v>
      </c>
      <c r="B13" s="191"/>
      <c r="C13" s="191"/>
      <c r="D13" s="151"/>
      <c r="E13" s="150">
        <f>SUM(E5:E12)</f>
        <v>4834</v>
      </c>
      <c r="F13" s="150">
        <f>SUM(F5:F12)</f>
        <v>4699</v>
      </c>
      <c r="G13" s="150">
        <f>SUM(G5:G12)</f>
        <v>4726</v>
      </c>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row>
    <row r="14" spans="1:39" x14ac:dyDescent="0.3">
      <c r="A14" s="14" t="str">
        <f>+'4 Add''l Info'!A53</f>
        <v>401k plan expense</v>
      </c>
      <c r="C14" s="161" t="s">
        <v>187</v>
      </c>
      <c r="D14" s="38"/>
      <c r="E14" s="26">
        <f>-'4 Add''l Info'!C53</f>
        <v>-39</v>
      </c>
      <c r="F14" s="26">
        <f>-'4 Add''l Info'!D53</f>
        <v>-41</v>
      </c>
      <c r="G14" s="26">
        <f>-'4 Add''l Info'!E53</f>
        <v>-38</v>
      </c>
    </row>
    <row r="15" spans="1:39" x14ac:dyDescent="0.3">
      <c r="A15" s="14" t="str">
        <f>CONCATENATE('4 Add''l Info'!A$69," - ",'4 Add''l Info'!A70)</f>
        <v>Pension -  Service cost</v>
      </c>
      <c r="C15" s="161" t="s">
        <v>187</v>
      </c>
      <c r="D15" s="38"/>
      <c r="E15" s="26">
        <f>-'4 Add''l Info'!C70</f>
        <v>-98</v>
      </c>
      <c r="F15" s="26">
        <f>-'4 Add''l Info'!D70</f>
        <v>-96</v>
      </c>
      <c r="G15" s="26">
        <f>-'4 Add''l Info'!E70</f>
        <v>-87</v>
      </c>
    </row>
    <row r="16" spans="1:39" x14ac:dyDescent="0.3">
      <c r="A16" s="14" t="str">
        <f>CONCATENATE('4 Add''l Info'!A$69," - ",'4 Add''l Info'!A71)</f>
        <v>Pension -  Interest cost</v>
      </c>
      <c r="C16" s="161" t="s">
        <v>144</v>
      </c>
      <c r="D16" s="38"/>
      <c r="E16" s="26">
        <f>-'4 Add''l Info'!C71</f>
        <v>-174</v>
      </c>
      <c r="F16" s="26">
        <f>-'4 Add''l Info'!D71</f>
        <v>-164</v>
      </c>
      <c r="G16" s="26">
        <f>-'4 Add''l Info'!E71</f>
        <v>-165</v>
      </c>
    </row>
    <row r="17" spans="1:39" x14ac:dyDescent="0.3">
      <c r="A17" s="14" t="str">
        <f>CONCATENATE('4 Add''l Info'!A$69," - ",'4 Add''l Info'!A72)</f>
        <v>Pension -  Expected return on plan assets</v>
      </c>
      <c r="C17" s="161" t="s">
        <v>144</v>
      </c>
      <c r="D17" s="38"/>
      <c r="E17" s="26">
        <f>-'4 Add''l Info'!C72</f>
        <v>352</v>
      </c>
      <c r="F17" s="26">
        <f>-'4 Add''l Info'!D72</f>
        <v>371</v>
      </c>
      <c r="G17" s="26">
        <f>-'4 Add''l Info'!E72</f>
        <v>361</v>
      </c>
    </row>
    <row r="18" spans="1:39" x14ac:dyDescent="0.3">
      <c r="A18" s="14" t="str">
        <f>CONCATENATE('4 Add''l Info'!A$69," - ",'4 Add''l Info'!A73)</f>
        <v>Pension -  Amortization of unrecognized prior service cost</v>
      </c>
      <c r="C18" s="161" t="s">
        <v>144</v>
      </c>
      <c r="D18" s="38"/>
      <c r="E18" s="26">
        <f>-'4 Add''l Info'!C73</f>
        <v>-13</v>
      </c>
      <c r="F18" s="26">
        <f>-'4 Add''l Info'!D73</f>
        <v>-9</v>
      </c>
      <c r="G18" s="26">
        <f>-'4 Add''l Info'!E73</f>
        <v>-8</v>
      </c>
    </row>
    <row r="19" spans="1:39" x14ac:dyDescent="0.3">
      <c r="A19" s="14" t="str">
        <f>CONCATENATE('4 Add''l Info'!A$69," - ",'4 Add''l Info'!A74)</f>
        <v>Pension -  Recognized net actuarial loss</v>
      </c>
      <c r="C19" s="161" t="s">
        <v>144</v>
      </c>
      <c r="D19" s="38"/>
      <c r="E19" s="26">
        <f>-'4 Add''l Info'!C74</f>
        <v>-323</v>
      </c>
      <c r="F19" s="26">
        <f>-'4 Add''l Info'!D74</f>
        <v>36</v>
      </c>
      <c r="G19" s="26">
        <f>-'4 Add''l Info'!E74</f>
        <v>-269</v>
      </c>
    </row>
    <row r="20" spans="1:39" x14ac:dyDescent="0.3">
      <c r="A20" s="14" t="str">
        <f>CONCATENATE('4 Add''l Info'!A$69," - ",'4 Add''l Info'!A75)</f>
        <v>Pension -  Curtailment and special termination benefits</v>
      </c>
      <c r="C20" s="161" t="s">
        <v>144</v>
      </c>
      <c r="D20" s="38"/>
      <c r="E20" s="26">
        <f>-'4 Add''l Info'!C75</f>
        <v>-1</v>
      </c>
      <c r="F20" s="26">
        <f>-'4 Add''l Info'!D75</f>
        <v>151</v>
      </c>
      <c r="G20" s="26">
        <f>-'4 Add''l Info'!E75</f>
        <v>30</v>
      </c>
    </row>
    <row r="21" spans="1:39" x14ac:dyDescent="0.3">
      <c r="A21" s="14" t="str">
        <f>CONCATENATE('4 Add''l Info'!A$69," - ",'4 Add''l Info'!A76)</f>
        <v>Pension -  Defined contribution plans</v>
      </c>
      <c r="C21" s="161" t="s">
        <v>187</v>
      </c>
      <c r="D21" s="38"/>
      <c r="E21" s="26">
        <f>-'4 Add''l Info'!C76</f>
        <v>-36</v>
      </c>
      <c r="F21" s="26">
        <f>-'4 Add''l Info'!D76</f>
        <v>-34</v>
      </c>
      <c r="G21" s="26">
        <f>-'4 Add''l Info'!E76</f>
        <v>-27</v>
      </c>
    </row>
    <row r="22" spans="1:39" x14ac:dyDescent="0.3">
      <c r="A22" s="14" t="str">
        <f>CONCATENATE('4 Add''l Info'!A$95," - ",'4 Add''l Info'!A96)</f>
        <v>Postretirement -  Service cost</v>
      </c>
      <c r="C22" s="161" t="s">
        <v>187</v>
      </c>
      <c r="D22" s="38"/>
      <c r="E22" s="26">
        <f>-'4 Add''l Info'!C96</f>
        <v>-21</v>
      </c>
      <c r="F22" s="26">
        <f>-'4 Add''l Info'!D96</f>
        <v>-18</v>
      </c>
      <c r="G22" s="26">
        <f>-'4 Add''l Info'!E96</f>
        <v>-18</v>
      </c>
    </row>
    <row r="23" spans="1:39" x14ac:dyDescent="0.3">
      <c r="A23" s="14" t="str">
        <f>CONCATENATE('4 Add''l Info'!A$95," - ",'4 Add''l Info'!A102)</f>
        <v>Postretirement -  Defined contribution plans</v>
      </c>
      <c r="C23" s="161" t="s">
        <v>187</v>
      </c>
      <c r="D23" s="38"/>
      <c r="E23" s="26">
        <f>-'4 Add''l Info'!C102</f>
        <v>-17</v>
      </c>
      <c r="F23" s="26">
        <f>-'4 Add''l Info'!D102</f>
        <v>-16</v>
      </c>
      <c r="G23" s="26">
        <f>-'4 Add''l Info'!E102</f>
        <v>-11</v>
      </c>
    </row>
    <row r="24" spans="1:39" x14ac:dyDescent="0.3">
      <c r="A24" s="14" t="str">
        <f>CONCATENATE('4 Add''l Info'!A$119," - ",'4 Add''l Info'!A120)</f>
        <v>Postemployment -  Service cost</v>
      </c>
      <c r="C24" s="161" t="s">
        <v>187</v>
      </c>
      <c r="D24" s="38"/>
      <c r="E24" s="26">
        <f>-'4 Add''l Info'!C120</f>
        <v>-7</v>
      </c>
      <c r="F24" s="26">
        <f>-'4 Add''l Info'!D120</f>
        <v>-6</v>
      </c>
      <c r="G24" s="26">
        <f>-'4 Add''l Info'!E120</f>
        <v>-3</v>
      </c>
    </row>
    <row r="25" spans="1:39" s="43" customFormat="1" x14ac:dyDescent="0.3">
      <c r="A25" s="14" t="str">
        <f>+'4 Add''l Info'!A177</f>
        <v>Research and development expense</v>
      </c>
      <c r="B25" s="51" t="str">
        <f>IFERROR(VLOOKUP(A25,'3 IS Reported'!A:B,2,),"")</f>
        <v/>
      </c>
      <c r="C25" s="161" t="s">
        <v>187</v>
      </c>
      <c r="D25" s="38"/>
      <c r="E25" s="26">
        <f>-'4 Add''l Info'!C177</f>
        <v>-182</v>
      </c>
      <c r="F25" s="26">
        <f>-'4 Add''l Info'!D177</f>
        <v>-148</v>
      </c>
      <c r="G25" s="26">
        <f>-'4 Add''l Info'!E177</f>
        <v>-154</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s="43" customFormat="1" x14ac:dyDescent="0.3">
      <c r="A26" s="14" t="str">
        <f>+'4 Add''l Info'!A178</f>
        <v>Advertising expense</v>
      </c>
      <c r="B26" s="51" t="str">
        <f>IFERROR(VLOOKUP(A26,'3 IS Reported'!A:B,2,),"")</f>
        <v/>
      </c>
      <c r="C26" s="161" t="s">
        <v>187</v>
      </c>
      <c r="D26" s="38"/>
      <c r="E26" s="26">
        <f>-'4 Add''l Info'!C178</f>
        <v>-735</v>
      </c>
      <c r="F26" s="26">
        <f>-'4 Add''l Info'!D178</f>
        <v>-732</v>
      </c>
      <c r="G26" s="26">
        <f>-'4 Add''l Info'!E178</f>
        <v>-752</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row>
    <row r="27" spans="1:39" x14ac:dyDescent="0.3">
      <c r="A27" s="14" t="s">
        <v>335</v>
      </c>
      <c r="C27" s="161" t="s">
        <v>187</v>
      </c>
      <c r="D27" s="143"/>
      <c r="E27" s="26">
        <f>-'4 Add''l Info'!C225</f>
        <v>-9</v>
      </c>
      <c r="F27" s="26">
        <f>-'4 Add''l Info'!D225</f>
        <v>-14</v>
      </c>
      <c r="G27" s="26">
        <f>-'4 Add''l Info'!E225</f>
        <v>-4</v>
      </c>
    </row>
    <row r="28" spans="1:39" x14ac:dyDescent="0.3">
      <c r="A28" t="s">
        <v>336</v>
      </c>
      <c r="B28" s="51" t="str">
        <f>IFERROR(VLOOKUP(#REF!,'3 IS Reported'!A:B,2,),"")</f>
        <v/>
      </c>
      <c r="C28" s="161" t="s">
        <v>187</v>
      </c>
      <c r="D28" s="38"/>
      <c r="E28" s="29">
        <f>+'3 IS Reported'!D7-SUM('4 IS Expanded'!E14:E27)</f>
        <v>-2048</v>
      </c>
      <c r="F28" s="29">
        <f>+'3 IS Reported'!E7-SUM('4 IS Expanded'!F14:F27)</f>
        <v>-2592</v>
      </c>
      <c r="G28" s="29">
        <f>+'3 IS Reported'!F7-SUM('4 IS Expanded'!G14:G27)</f>
        <v>-1875</v>
      </c>
    </row>
    <row r="29" spans="1:39" s="13" customFormat="1" x14ac:dyDescent="0.3">
      <c r="A29" s="74" t="s">
        <v>151</v>
      </c>
      <c r="B29" s="191"/>
      <c r="C29" s="191"/>
      <c r="D29" s="151"/>
      <c r="E29" s="150">
        <f>SUM(E13:E28)</f>
        <v>1483</v>
      </c>
      <c r="F29" s="150">
        <f>SUM(F13:F28)</f>
        <v>1387</v>
      </c>
      <c r="G29" s="150">
        <f>SUM(G13:G28)</f>
        <v>1706</v>
      </c>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row>
    <row r="30" spans="1:39" x14ac:dyDescent="0.3">
      <c r="A30" s="14" t="s">
        <v>3</v>
      </c>
      <c r="B30" s="51" t="str">
        <f>IFERROR(VLOOKUP(A30,'3 IS Reported'!A:B,2,),"")</f>
        <v>Financial</v>
      </c>
      <c r="C30" s="51"/>
      <c r="D30" s="38"/>
      <c r="E30" s="38">
        <f>+'3 IS Reported'!D9</f>
        <v>-406</v>
      </c>
      <c r="F30" s="38">
        <f>+'3 IS Reported'!E9</f>
        <v>-256</v>
      </c>
      <c r="G30" s="38">
        <f>+'3 IS Reported'!F9</f>
        <v>-287</v>
      </c>
    </row>
    <row r="31" spans="1:39" x14ac:dyDescent="0.3">
      <c r="A31" s="14" t="str">
        <f>CONCATENATE('4 Add''l Info'!A$95," - ",'4 Add''l Info'!A97)</f>
        <v>Postretirement -  Interest cost</v>
      </c>
      <c r="C31" s="161" t="s">
        <v>144</v>
      </c>
      <c r="D31" s="38"/>
      <c r="E31" s="26">
        <f>-'4 Add''l Info'!C97</f>
        <v>-39</v>
      </c>
      <c r="F31" s="26">
        <f>-'4 Add''l Info'!D97</f>
        <v>-37</v>
      </c>
      <c r="G31" s="26">
        <f>-'4 Add''l Info'!E97</f>
        <v>-36</v>
      </c>
    </row>
    <row r="32" spans="1:39" x14ac:dyDescent="0.3">
      <c r="A32" s="14" t="str">
        <f>CONCATENATE('4 Add''l Info'!A$95," - ",'4 Add''l Info'!A98)</f>
        <v>Postretirement -  Expected return on plan assets</v>
      </c>
      <c r="C32" s="161" t="s">
        <v>144</v>
      </c>
      <c r="D32" s="38"/>
      <c r="E32" s="26">
        <f>-'4 Add''l Info'!C98</f>
        <v>90</v>
      </c>
      <c r="F32" s="26">
        <f>-'4 Add''l Info'!D98</f>
        <v>98</v>
      </c>
      <c r="G32" s="26">
        <f>-'4 Add''l Info'!E98</f>
        <v>94</v>
      </c>
    </row>
    <row r="33" spans="1:39" x14ac:dyDescent="0.3">
      <c r="A33" s="14" t="str">
        <f>CONCATENATE('4 Add''l Info'!A$95," - ",'4 Add''l Info'!A99)</f>
        <v>Postretirement -  Amortization of unrecognized prior service cost</v>
      </c>
      <c r="C33" s="161" t="s">
        <v>144</v>
      </c>
      <c r="D33" s="38"/>
      <c r="E33" s="26">
        <f>-'4 Add''l Info'!C99</f>
        <v>9</v>
      </c>
      <c r="F33" s="26">
        <f>-'4 Add''l Info'!D99</f>
        <v>9</v>
      </c>
      <c r="G33" s="26">
        <f>-'4 Add''l Info'!E99</f>
        <v>9</v>
      </c>
    </row>
    <row r="34" spans="1:39" x14ac:dyDescent="0.3">
      <c r="A34" s="14" t="str">
        <f>CONCATENATE('4 Add''l Info'!A$95," - ",'4 Add''l Info'!A100)</f>
        <v>Postretirement -  Recognized net (gain) loss</v>
      </c>
      <c r="C34" s="161" t="s">
        <v>144</v>
      </c>
      <c r="D34" s="38"/>
      <c r="E34" s="26">
        <f>-'4 Add''l Info'!C100</f>
        <v>19</v>
      </c>
      <c r="F34" s="26">
        <f>-'4 Add''l Info'!D100</f>
        <v>90</v>
      </c>
      <c r="G34" s="26">
        <f>-'4 Add''l Info'!E100</f>
        <v>-81</v>
      </c>
    </row>
    <row r="35" spans="1:39" x14ac:dyDescent="0.3">
      <c r="A35" s="14" t="str">
        <f>CONCATENATE('4 Add''l Info'!A$95," - ",'4 Add''l Info'!A101)</f>
        <v>Postretirement -  Curtailment</v>
      </c>
      <c r="C35" s="161" t="s">
        <v>144</v>
      </c>
      <c r="D35" s="38"/>
      <c r="E35" s="26">
        <f>-'4 Add''l Info'!C101</f>
        <v>0</v>
      </c>
      <c r="F35" s="26">
        <f>-'4 Add''l Info'!D101</f>
        <v>-3</v>
      </c>
      <c r="G35" s="26">
        <f>-'4 Add''l Info'!E101</f>
        <v>0</v>
      </c>
    </row>
    <row r="36" spans="1:39" x14ac:dyDescent="0.3">
      <c r="A36" s="14" t="str">
        <f>CONCATENATE('4 Add''l Info'!A$119," - ",'4 Add''l Info'!A121)</f>
        <v>Postemployment -  Interest cost</v>
      </c>
      <c r="C36" s="161" t="s">
        <v>144</v>
      </c>
      <c r="D36" s="38"/>
      <c r="E36" s="26">
        <f>-'4 Add''l Info'!C121</f>
        <v>-3</v>
      </c>
      <c r="F36" s="26">
        <f>-'4 Add''l Info'!D121</f>
        <v>-3</v>
      </c>
      <c r="G36" s="26">
        <f>-'4 Add''l Info'!E121</f>
        <v>-1</v>
      </c>
    </row>
    <row r="37" spans="1:39" x14ac:dyDescent="0.3">
      <c r="A37" s="14" t="str">
        <f>CONCATENATE('4 Add''l Info'!A$119," - ",'4 Add''l Info'!A122)</f>
        <v>Postemployment -  Amortization of unrecognized prior service cost</v>
      </c>
      <c r="C37" s="161" t="s">
        <v>144</v>
      </c>
      <c r="D37" s="38"/>
      <c r="E37" s="26">
        <f>-'4 Add''l Info'!C122</f>
        <v>-1</v>
      </c>
      <c r="F37" s="26">
        <f>-'4 Add''l Info'!D122</f>
        <v>-1</v>
      </c>
      <c r="G37" s="26">
        <f>-'4 Add''l Info'!E122</f>
        <v>-1</v>
      </c>
    </row>
    <row r="38" spans="1:39" x14ac:dyDescent="0.3">
      <c r="A38" s="14" t="str">
        <f>CONCATENATE('4 Add''l Info'!A$119," - ",'4 Add''l Info'!A123)</f>
        <v>Postemployment -  Recognized net (gain) loss</v>
      </c>
      <c r="C38" s="161" t="s">
        <v>144</v>
      </c>
      <c r="D38" s="38"/>
      <c r="E38" s="26">
        <f>-'4 Add''l Info'!C123</f>
        <v>-3</v>
      </c>
      <c r="F38" s="26">
        <f>-'4 Add''l Info'!D123</f>
        <v>0</v>
      </c>
      <c r="G38" s="26">
        <f>-'4 Add''l Info'!E123</f>
        <v>5</v>
      </c>
    </row>
    <row r="39" spans="1:39" x14ac:dyDescent="0.3">
      <c r="A39" t="s">
        <v>240</v>
      </c>
      <c r="C39" s="161" t="s">
        <v>187</v>
      </c>
      <c r="D39" s="143"/>
      <c r="E39" s="29">
        <f>+'3 IS Reported'!D10-SUM(E31:E38)</f>
        <v>-215</v>
      </c>
      <c r="F39" s="29">
        <f>+'3 IS Reported'!E10-SUM(F31:F38)</f>
        <v>373</v>
      </c>
      <c r="G39" s="29">
        <f>+'3 IS Reported'!F10-SUM(G31:G38)</f>
        <v>-79</v>
      </c>
    </row>
    <row r="40" spans="1:39" s="13" customFormat="1" x14ac:dyDescent="0.3">
      <c r="A40" s="13" t="s">
        <v>152</v>
      </c>
      <c r="B40" s="191"/>
      <c r="C40" s="191"/>
      <c r="D40" s="151"/>
      <c r="E40" s="150">
        <f>SUM(E29:E39)</f>
        <v>934</v>
      </c>
      <c r="F40" s="150">
        <f>SUM(F29:F39)</f>
        <v>1657</v>
      </c>
      <c r="G40" s="150">
        <f>SUM(G29:G39)</f>
        <v>1329</v>
      </c>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row>
    <row r="41" spans="1:39" x14ac:dyDescent="0.3">
      <c r="A41" t="s">
        <v>242</v>
      </c>
      <c r="B41" s="51" t="str">
        <f>IFERROR(VLOOKUP(A41,'3 IS Reported'!A:B,2,),"")</f>
        <v>Split</v>
      </c>
      <c r="C41" s="51"/>
      <c r="D41" s="38"/>
      <c r="E41" s="26">
        <f>+'3 IS Reported'!D12</f>
        <v>-235</v>
      </c>
      <c r="F41" s="26">
        <f>+'3 IS Reported'!E12</f>
        <v>-410</v>
      </c>
      <c r="G41" s="26">
        <f>+'3 IS Reported'!F12</f>
        <v>-181</v>
      </c>
    </row>
    <row r="42" spans="1:39" x14ac:dyDescent="0.3">
      <c r="A42" t="s">
        <v>243</v>
      </c>
      <c r="B42" s="51" t="str">
        <f>IFERROR(VLOOKUP(A42,'3 IS Reported'!A:B,2,),"")</f>
        <v>Operating</v>
      </c>
      <c r="C42" s="51"/>
      <c r="D42" s="38"/>
      <c r="E42" s="29">
        <f>+'3 IS Reported'!D13</f>
        <v>1</v>
      </c>
      <c r="F42" s="29">
        <f>+'3 IS Reported'!E13</f>
        <v>7</v>
      </c>
      <c r="G42" s="29">
        <f>+'3 IS Reported'!F13</f>
        <v>196</v>
      </c>
    </row>
    <row r="43" spans="1:39" s="13" customFormat="1" x14ac:dyDescent="0.3">
      <c r="A43" s="13" t="s">
        <v>153</v>
      </c>
      <c r="B43" s="191"/>
      <c r="C43" s="191"/>
      <c r="D43" s="151"/>
      <c r="E43" s="150">
        <f>SUM(E40:E42)</f>
        <v>700</v>
      </c>
      <c r="F43" s="150">
        <f>SUM(F40:F42)</f>
        <v>1254</v>
      </c>
      <c r="G43" s="150">
        <f>SUM(G40:G42)</f>
        <v>1344</v>
      </c>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row>
    <row r="44" spans="1:39" x14ac:dyDescent="0.3">
      <c r="A44" t="s">
        <v>23</v>
      </c>
      <c r="B44" s="51" t="str">
        <f>IFERROR(VLOOKUP(A44,'3 IS Reported'!A:B,2,),"")</f>
        <v>Financial</v>
      </c>
      <c r="C44" s="51"/>
      <c r="D44" s="38"/>
      <c r="E44" s="29">
        <f>+'3 IS Reported'!D15</f>
        <v>-1</v>
      </c>
      <c r="F44" s="29">
        <f>+'3 IS Reported'!E15</f>
        <v>0</v>
      </c>
      <c r="G44" s="29">
        <f>+'3 IS Reported'!F15</f>
        <v>-8</v>
      </c>
    </row>
    <row r="45" spans="1:39" s="13" customFormat="1" x14ac:dyDescent="0.3">
      <c r="A45" s="13" t="s">
        <v>244</v>
      </c>
      <c r="B45" s="191"/>
      <c r="C45" s="191"/>
      <c r="D45" s="151"/>
      <c r="E45" s="208">
        <f t="shared" ref="E45" si="0">SUM(E43:E44)</f>
        <v>699</v>
      </c>
      <c r="F45" s="208">
        <f t="shared" ref="F45:G45" si="1">SUM(F43:F44)</f>
        <v>1254</v>
      </c>
      <c r="G45" s="208">
        <f t="shared" si="1"/>
        <v>1336</v>
      </c>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row>
    <row r="46" spans="1:39" x14ac:dyDescent="0.3">
      <c r="A46"/>
      <c r="C46" s="51"/>
      <c r="D46" s="38"/>
      <c r="E46" s="38"/>
      <c r="F46" s="38"/>
      <c r="G46" s="38"/>
    </row>
    <row r="47" spans="1:39" s="13" customFormat="1" x14ac:dyDescent="0.3">
      <c r="A47" s="13" t="s">
        <v>154</v>
      </c>
      <c r="B47" s="191"/>
      <c r="C47" s="191"/>
      <c r="D47" s="151"/>
      <c r="E47" s="150"/>
      <c r="F47" s="150"/>
      <c r="G47" s="150"/>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row>
    <row r="48" spans="1:39" x14ac:dyDescent="0.3">
      <c r="A48" t="s">
        <v>245</v>
      </c>
      <c r="B48" s="51" t="str">
        <f>IFERROR(VLOOKUP(A48,'3 IS Reported'!A:B,2,),"")</f>
        <v>Operating</v>
      </c>
      <c r="C48" s="51"/>
      <c r="D48" s="38"/>
      <c r="E48" s="26">
        <f>+'3 IS Reported'!D19</f>
        <v>-254</v>
      </c>
      <c r="F48" s="26">
        <f>+'3 IS Reported'!E19</f>
        <v>79</v>
      </c>
      <c r="G48" s="26">
        <f>+'3 IS Reported'!F19</f>
        <v>-48</v>
      </c>
    </row>
    <row r="49" spans="1:39" x14ac:dyDescent="0.3">
      <c r="A49" t="s">
        <v>246</v>
      </c>
      <c r="B49" s="51" t="str">
        <f>IFERROR(VLOOKUP(A49,'3 IS Reported'!A:B,2,),"")</f>
        <v>Operating</v>
      </c>
      <c r="C49" s="51"/>
      <c r="D49" s="38"/>
      <c r="E49" s="26">
        <f>+'3 IS Reported'!D20</f>
        <v>-28</v>
      </c>
      <c r="F49" s="26">
        <f>+'3 IS Reported'!E20</f>
        <v>6</v>
      </c>
      <c r="G49" s="26">
        <f>+'3 IS Reported'!F20</f>
        <v>8</v>
      </c>
    </row>
    <row r="50" spans="1:39" s="14" customFormat="1" x14ac:dyDescent="0.3">
      <c r="A50" s="74" t="s">
        <v>445</v>
      </c>
      <c r="B50" s="51"/>
      <c r="C50" s="51"/>
      <c r="D50" s="38"/>
      <c r="E50" s="26"/>
      <c r="F50" s="26"/>
      <c r="G50" s="26"/>
    </row>
    <row r="51" spans="1:39" x14ac:dyDescent="0.3">
      <c r="A51" t="s">
        <v>446</v>
      </c>
      <c r="B51" s="51" t="str">
        <f>IFERROR(VLOOKUP(A51,'3 IS Reported'!A:B,2,),"")</f>
        <v>Financial</v>
      </c>
      <c r="C51" s="51"/>
      <c r="D51" s="38"/>
      <c r="E51" s="26">
        <f>+'3 IS Reported'!D22</f>
        <v>18</v>
      </c>
      <c r="F51" s="26">
        <f>+'3 IS Reported'!E22</f>
        <v>32</v>
      </c>
      <c r="G51" s="26">
        <f>+'3 IS Reported'!F22</f>
        <v>-11</v>
      </c>
    </row>
    <row r="52" spans="1:39" x14ac:dyDescent="0.3">
      <c r="A52" t="s">
        <v>447</v>
      </c>
      <c r="B52" s="51" t="str">
        <f>IFERROR(VLOOKUP(A52,'3 IS Reported'!A:B,2,),"")</f>
        <v>Operating</v>
      </c>
      <c r="C52" s="51"/>
      <c r="D52" s="38"/>
      <c r="E52" s="26">
        <f>+'3 IS Reported'!D23</f>
        <v>2</v>
      </c>
      <c r="F52" s="26">
        <f>+'3 IS Reported'!E23</f>
        <v>1</v>
      </c>
      <c r="G52" s="26">
        <f>+'3 IS Reported'!F23</f>
        <v>1</v>
      </c>
    </row>
    <row r="53" spans="1:39" x14ac:dyDescent="0.3">
      <c r="A53" t="s">
        <v>248</v>
      </c>
      <c r="B53" s="51" t="str">
        <f>IFERROR(VLOOKUP(A53,'3 IS Reported'!A:B,2,),"")</f>
        <v>Operating</v>
      </c>
      <c r="C53" s="51"/>
      <c r="D53" s="38"/>
      <c r="E53" s="26">
        <f>+'3 IS Reported'!D24</f>
        <v>63</v>
      </c>
      <c r="F53" s="26">
        <f>+'3 IS Reported'!E24</f>
        <v>0</v>
      </c>
      <c r="G53" s="26">
        <f>+'3 IS Reported'!F24</f>
        <v>0</v>
      </c>
    </row>
    <row r="54" spans="1:39" x14ac:dyDescent="0.3">
      <c r="A54" t="s">
        <v>33</v>
      </c>
      <c r="B54" s="51" t="str">
        <f>IFERROR(VLOOKUP(A54,'3 IS Reported'!A:B,2,),"")</f>
        <v>Financial</v>
      </c>
      <c r="C54" s="51"/>
      <c r="D54" s="38"/>
      <c r="E54" s="26">
        <f>+'3 IS Reported'!D25</f>
        <v>0</v>
      </c>
      <c r="F54" s="26">
        <f>+'3 IS Reported'!E25</f>
        <v>0</v>
      </c>
      <c r="G54" s="26">
        <f>+'3 IS Reported'!F25</f>
        <v>7</v>
      </c>
    </row>
    <row r="55" spans="1:39" s="13" customFormat="1" ht="15" thickBot="1" x14ac:dyDescent="0.35">
      <c r="A55" s="13" t="s">
        <v>249</v>
      </c>
      <c r="B55" s="191"/>
      <c r="C55" s="191"/>
      <c r="D55" s="151"/>
      <c r="E55" s="209">
        <f>SUM(E45:E54)</f>
        <v>500</v>
      </c>
      <c r="F55" s="209">
        <f>SUM(F45:F54)</f>
        <v>1372</v>
      </c>
      <c r="G55" s="209">
        <f>SUM(G45:G54)</f>
        <v>1293</v>
      </c>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row>
    <row r="56" spans="1:39" ht="15" thickTop="1" x14ac:dyDescent="0.3">
      <c r="D56" s="23"/>
      <c r="E56" s="28"/>
      <c r="F56" s="28"/>
      <c r="G56" s="28"/>
    </row>
    <row r="57" spans="1:39" x14ac:dyDescent="0.3">
      <c r="A57" s="75"/>
      <c r="D57" s="143"/>
    </row>
    <row r="58" spans="1:39" s="13" customFormat="1" x14ac:dyDescent="0.3">
      <c r="A58" s="203" t="s">
        <v>13</v>
      </c>
      <c r="B58" s="204"/>
      <c r="C58" s="199"/>
      <c r="D58" s="207"/>
      <c r="E58" s="199"/>
      <c r="F58" s="199"/>
      <c r="G58" s="199"/>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row>
    <row r="59" spans="1:39" s="13" customFormat="1" x14ac:dyDescent="0.3">
      <c r="A59" s="203" t="s">
        <v>170</v>
      </c>
      <c r="B59" s="204"/>
      <c r="C59" s="199"/>
      <c r="D59" s="206"/>
      <c r="E59" s="205">
        <f>+E55-'3 IS Reported'!D26</f>
        <v>0</v>
      </c>
      <c r="F59" s="205">
        <f>+F55-'3 IS Reported'!E26</f>
        <v>0</v>
      </c>
      <c r="G59" s="205">
        <f>+G55-'3 IS Reported'!F26</f>
        <v>0</v>
      </c>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67"/>
  <sheetViews>
    <sheetView zoomScale="120" zoomScaleNormal="120" workbookViewId="0">
      <pane xSplit="1" ySplit="2" topLeftCell="B3" activePane="bottomRight" state="frozen"/>
      <selection activeCell="H23" sqref="H23"/>
      <selection pane="topRight" activeCell="H23" sqref="H23"/>
      <selection pane="bottomLeft" activeCell="H23" sqref="H23"/>
      <selection pane="bottomRight" activeCell="A23" sqref="A23"/>
    </sheetView>
  </sheetViews>
  <sheetFormatPr defaultRowHeight="14.4" x14ac:dyDescent="0.3"/>
  <cols>
    <col min="1" max="1" width="43.77734375" bestFit="1" customWidth="1"/>
    <col min="2" max="2" width="8.77734375" bestFit="1" customWidth="1"/>
    <col min="3" max="3" width="10.77734375" bestFit="1" customWidth="1"/>
    <col min="4" max="4" width="12" bestFit="1" customWidth="1"/>
    <col min="5" max="5" width="11.21875" bestFit="1" customWidth="1"/>
    <col min="6" max="6" width="7" bestFit="1" customWidth="1"/>
    <col min="7" max="7" width="12" bestFit="1" customWidth="1"/>
    <col min="8" max="8" width="10.77734375" bestFit="1" customWidth="1"/>
    <col min="9" max="9" width="7" bestFit="1" customWidth="1"/>
    <col min="10" max="10" width="12" bestFit="1" customWidth="1"/>
    <col min="11" max="11" width="10.77734375" bestFit="1" customWidth="1"/>
    <col min="12" max="12" width="7" bestFit="1" customWidth="1"/>
    <col min="13" max="13" width="12" bestFit="1" customWidth="1"/>
  </cols>
  <sheetData>
    <row r="2" spans="1:5" ht="15" thickBot="1" x14ac:dyDescent="0.35">
      <c r="B2" s="94">
        <f>+'3 IS Reported'!C3</f>
        <v>42371</v>
      </c>
      <c r="C2" s="94">
        <f>+'3 IS Reported'!D3</f>
        <v>42735</v>
      </c>
      <c r="D2" s="94">
        <f>+'3 IS Reported'!E3</f>
        <v>43099</v>
      </c>
      <c r="E2" s="94">
        <f>+'3 IS Reported'!F3</f>
        <v>43463</v>
      </c>
    </row>
    <row r="3" spans="1:5" x14ac:dyDescent="0.3">
      <c r="A3" s="13" t="s">
        <v>52</v>
      </c>
      <c r="B3" s="45">
        <v>72.27</v>
      </c>
      <c r="C3" s="45">
        <v>73.709999999999994</v>
      </c>
      <c r="D3" s="45">
        <v>67.98</v>
      </c>
      <c r="E3" s="210">
        <v>57.25</v>
      </c>
    </row>
    <row r="4" spans="1:5" x14ac:dyDescent="0.3">
      <c r="B4" s="45"/>
      <c r="C4" s="45"/>
      <c r="D4" s="45"/>
      <c r="E4" s="45"/>
    </row>
    <row r="5" spans="1:5" x14ac:dyDescent="0.3">
      <c r="B5" s="22"/>
      <c r="C5" s="22"/>
      <c r="D5" s="22"/>
      <c r="E5" s="22"/>
    </row>
    <row r="6" spans="1:5" x14ac:dyDescent="0.3">
      <c r="A6" s="183" t="s">
        <v>488</v>
      </c>
    </row>
    <row r="7" spans="1:5" x14ac:dyDescent="0.3">
      <c r="A7" s="13" t="s">
        <v>477</v>
      </c>
    </row>
    <row r="8" spans="1:5" s="3" customFormat="1" x14ac:dyDescent="0.3">
      <c r="A8" s="3" t="s">
        <v>54</v>
      </c>
      <c r="B8" s="8">
        <v>19</v>
      </c>
      <c r="C8" s="8">
        <v>15</v>
      </c>
      <c r="D8" s="8">
        <v>14</v>
      </c>
      <c r="E8" s="52">
        <v>14</v>
      </c>
    </row>
    <row r="9" spans="1:5" s="3" customFormat="1" x14ac:dyDescent="0.3">
      <c r="A9" s="3" t="s">
        <v>119</v>
      </c>
      <c r="B9" s="44">
        <v>58</v>
      </c>
      <c r="C9" s="44">
        <v>62</v>
      </c>
      <c r="D9" s="44">
        <v>64</v>
      </c>
      <c r="E9" s="211">
        <v>66</v>
      </c>
    </row>
    <row r="10" spans="1:5" s="3" customFormat="1" x14ac:dyDescent="0.3">
      <c r="B10" s="44"/>
      <c r="C10" s="44"/>
      <c r="D10" s="44"/>
      <c r="E10" s="44"/>
    </row>
    <row r="11" spans="1:5" s="3" customFormat="1" x14ac:dyDescent="0.3">
      <c r="B11" s="44"/>
      <c r="C11" s="44"/>
      <c r="D11" s="44"/>
      <c r="E11" s="44"/>
    </row>
    <row r="12" spans="1:5" x14ac:dyDescent="0.3">
      <c r="A12" s="13" t="s">
        <v>478</v>
      </c>
    </row>
    <row r="13" spans="1:5" s="3" customFormat="1" x14ac:dyDescent="0.3">
      <c r="A13" s="3" t="s">
        <v>218</v>
      </c>
      <c r="B13" s="8">
        <v>806</v>
      </c>
      <c r="C13" s="8">
        <v>1166</v>
      </c>
      <c r="D13" s="8">
        <v>1673</v>
      </c>
      <c r="E13" s="52">
        <v>1708</v>
      </c>
    </row>
    <row r="14" spans="1:5" s="3" customFormat="1" x14ac:dyDescent="0.3">
      <c r="A14" s="3" t="s">
        <v>120</v>
      </c>
      <c r="B14" s="44">
        <v>57</v>
      </c>
      <c r="C14" s="44">
        <v>63</v>
      </c>
      <c r="D14" s="44">
        <v>65</v>
      </c>
      <c r="E14" s="211">
        <v>65</v>
      </c>
    </row>
    <row r="15" spans="1:5" s="3" customFormat="1" x14ac:dyDescent="0.3">
      <c r="B15" s="44"/>
      <c r="C15" s="44"/>
      <c r="D15" s="44"/>
      <c r="E15" s="44"/>
    </row>
    <row r="16" spans="1:5" s="3" customFormat="1" x14ac:dyDescent="0.3">
      <c r="B16" s="44"/>
      <c r="C16" s="44"/>
      <c r="D16" s="44"/>
      <c r="E16" s="44"/>
    </row>
    <row r="17" spans="1:7" s="3" customFormat="1" x14ac:dyDescent="0.3">
      <c r="A17" s="181"/>
      <c r="B17" s="182"/>
      <c r="C17" s="182"/>
      <c r="D17" s="182"/>
      <c r="E17" s="182"/>
      <c r="F17" s="179"/>
      <c r="G17" s="179"/>
    </row>
    <row r="18" spans="1:7" s="3" customFormat="1" x14ac:dyDescent="0.3">
      <c r="B18" s="44"/>
      <c r="C18" s="44"/>
      <c r="D18" s="44"/>
      <c r="E18" s="44"/>
    </row>
    <row r="20" spans="1:7" x14ac:dyDescent="0.3">
      <c r="A20" s="13" t="s">
        <v>35</v>
      </c>
    </row>
    <row r="21" spans="1:7" x14ac:dyDescent="0.3">
      <c r="A21" s="13" t="s">
        <v>55</v>
      </c>
    </row>
    <row r="22" spans="1:7" x14ac:dyDescent="0.3">
      <c r="A22" t="s">
        <v>56</v>
      </c>
      <c r="B22" s="8">
        <v>142</v>
      </c>
      <c r="C22" s="8">
        <v>187</v>
      </c>
      <c r="D22" s="8">
        <v>127</v>
      </c>
      <c r="E22" s="52">
        <v>121</v>
      </c>
    </row>
    <row r="23" spans="1:7" x14ac:dyDescent="0.3">
      <c r="A23" t="s">
        <v>57</v>
      </c>
      <c r="B23" s="8">
        <v>115</v>
      </c>
      <c r="C23" s="8">
        <v>137</v>
      </c>
      <c r="D23" s="8">
        <v>89</v>
      </c>
      <c r="E23" s="52">
        <v>97</v>
      </c>
    </row>
    <row r="24" spans="1:7" x14ac:dyDescent="0.3">
      <c r="A24" t="s">
        <v>58</v>
      </c>
      <c r="B24" s="8">
        <v>86</v>
      </c>
      <c r="C24" s="8">
        <v>94</v>
      </c>
      <c r="D24" s="8">
        <v>61</v>
      </c>
      <c r="E24" s="52">
        <v>73</v>
      </c>
    </row>
    <row r="25" spans="1:7" x14ac:dyDescent="0.3">
      <c r="A25" t="s">
        <v>59</v>
      </c>
      <c r="B25" s="8">
        <v>67</v>
      </c>
      <c r="C25" s="8">
        <v>67</v>
      </c>
      <c r="D25" s="8">
        <v>49</v>
      </c>
      <c r="E25" s="52">
        <v>57</v>
      </c>
    </row>
    <row r="26" spans="1:7" x14ac:dyDescent="0.3">
      <c r="A26" t="s">
        <v>60</v>
      </c>
      <c r="B26" s="8">
        <v>53</v>
      </c>
      <c r="C26" s="8">
        <v>39</v>
      </c>
      <c r="D26" s="8">
        <v>40</v>
      </c>
      <c r="E26" s="52">
        <v>48</v>
      </c>
    </row>
    <row r="27" spans="1:7" x14ac:dyDescent="0.3">
      <c r="A27" t="s">
        <v>61</v>
      </c>
      <c r="B27" s="8">
        <v>82</v>
      </c>
      <c r="C27" s="8">
        <v>73</v>
      </c>
      <c r="D27" s="8">
        <v>89</v>
      </c>
      <c r="E27" s="52">
        <v>129</v>
      </c>
    </row>
    <row r="28" spans="1:7" ht="15" thickBot="1" x14ac:dyDescent="0.35">
      <c r="B28" s="17">
        <f>SUM(B22:B27)</f>
        <v>545</v>
      </c>
      <c r="C28" s="17">
        <f>SUM(C22:C27)</f>
        <v>597</v>
      </c>
      <c r="D28" s="17">
        <f>SUM(D22:D27)</f>
        <v>455</v>
      </c>
      <c r="E28" s="172">
        <f>SUM(E22:E27)</f>
        <v>525</v>
      </c>
    </row>
    <row r="29" spans="1:7" ht="15" thickTop="1" x14ac:dyDescent="0.3"/>
    <row r="30" spans="1:7" x14ac:dyDescent="0.3">
      <c r="A30" s="13" t="s">
        <v>62</v>
      </c>
      <c r="B30" s="19">
        <f t="shared" ref="B30:D30" si="0">+B22</f>
        <v>142</v>
      </c>
      <c r="C30" s="19">
        <f t="shared" si="0"/>
        <v>187</v>
      </c>
      <c r="D30" s="19">
        <f t="shared" si="0"/>
        <v>127</v>
      </c>
      <c r="E30" s="212">
        <f>+E22</f>
        <v>121</v>
      </c>
    </row>
    <row r="31" spans="1:7" x14ac:dyDescent="0.3">
      <c r="B31" s="19">
        <f t="shared" ref="B31:D31" si="1">+B23</f>
        <v>115</v>
      </c>
      <c r="C31" s="19">
        <f t="shared" si="1"/>
        <v>137</v>
      </c>
      <c r="D31" s="19">
        <f t="shared" si="1"/>
        <v>89</v>
      </c>
      <c r="E31" s="212">
        <f t="shared" ref="E31" si="2">+E23</f>
        <v>97</v>
      </c>
    </row>
    <row r="32" spans="1:7" x14ac:dyDescent="0.3">
      <c r="B32" s="19">
        <f t="shared" ref="B32:D32" si="3">+B24</f>
        <v>86</v>
      </c>
      <c r="C32" s="19">
        <f t="shared" si="3"/>
        <v>94</v>
      </c>
      <c r="D32" s="19">
        <f t="shared" si="3"/>
        <v>61</v>
      </c>
      <c r="E32" s="212">
        <f t="shared" ref="E32" si="4">+E24</f>
        <v>73</v>
      </c>
    </row>
    <row r="33" spans="1:13" x14ac:dyDescent="0.3">
      <c r="B33" s="19">
        <f t="shared" ref="B33:D33" si="5">+B25</f>
        <v>67</v>
      </c>
      <c r="C33" s="19">
        <f t="shared" si="5"/>
        <v>67</v>
      </c>
      <c r="D33" s="19">
        <f t="shared" si="5"/>
        <v>49</v>
      </c>
      <c r="E33" s="212">
        <f t="shared" ref="E33" si="6">+E25</f>
        <v>57</v>
      </c>
    </row>
    <row r="34" spans="1:13" x14ac:dyDescent="0.3">
      <c r="B34" s="19">
        <f t="shared" ref="B34:D34" si="7">+B26</f>
        <v>53</v>
      </c>
      <c r="C34" s="19">
        <f t="shared" si="7"/>
        <v>39</v>
      </c>
      <c r="D34" s="19">
        <f t="shared" si="7"/>
        <v>40</v>
      </c>
      <c r="E34" s="212">
        <f t="shared" ref="E34" si="8">+E26</f>
        <v>48</v>
      </c>
    </row>
    <row r="35" spans="1:13" x14ac:dyDescent="0.3">
      <c r="B35" s="19">
        <f t="shared" ref="B35:D35" si="9">MIN(B27,B26)</f>
        <v>53</v>
      </c>
      <c r="C35" s="19">
        <f t="shared" si="9"/>
        <v>39</v>
      </c>
      <c r="D35" s="19">
        <f t="shared" si="9"/>
        <v>40</v>
      </c>
      <c r="E35" s="212">
        <f t="shared" ref="E35" si="10">MIN(E27,E26)</f>
        <v>48</v>
      </c>
    </row>
    <row r="36" spans="1:13" x14ac:dyDescent="0.3">
      <c r="B36" s="19">
        <f>MIN(B$27-SUM(B$35:B35),B$26)</f>
        <v>29</v>
      </c>
      <c r="C36" s="19">
        <f>MIN(C$27-SUM(C$35:C35),C$26)</f>
        <v>34</v>
      </c>
      <c r="D36" s="19">
        <f>MIN(D$27-SUM(D$35:D35),D$26)</f>
        <v>40</v>
      </c>
      <c r="E36" s="212">
        <f>MIN(E$27-SUM(E$35:E35),E$26)</f>
        <v>48</v>
      </c>
    </row>
    <row r="37" spans="1:13" x14ac:dyDescent="0.3">
      <c r="B37" s="19">
        <f>MIN(B$27-SUM(B$35:B36),B$26)</f>
        <v>0</v>
      </c>
      <c r="C37" s="19">
        <f>MIN(C$27-SUM(C$35:C36),C$26)</f>
        <v>0</v>
      </c>
      <c r="D37" s="19">
        <f>MIN(D$27-SUM(D$35:D36),D$26)</f>
        <v>9</v>
      </c>
      <c r="E37" s="212">
        <f>MIN(E$27-SUM(E$35:E36),E$26)</f>
        <v>33</v>
      </c>
    </row>
    <row r="38" spans="1:13" x14ac:dyDescent="0.3">
      <c r="B38" s="19">
        <f>MIN(B$27-SUM(B$35:B37),B$26)</f>
        <v>0</v>
      </c>
      <c r="C38" s="19">
        <f>MIN(C$27-SUM(C$35:C37),C$26)</f>
        <v>0</v>
      </c>
      <c r="D38" s="19">
        <f>MIN(D$27-SUM(D$35:D37),D$26)</f>
        <v>0</v>
      </c>
      <c r="E38" s="212">
        <f>MIN(E$27-SUM(E$35:E37),E$26)</f>
        <v>0</v>
      </c>
    </row>
    <row r="39" spans="1:13" x14ac:dyDescent="0.3">
      <c r="B39" s="19">
        <f>MIN(B$27-SUM(B$35:B38),B$26)</f>
        <v>0</v>
      </c>
      <c r="C39" s="19">
        <f>MIN(C$27-SUM(C$35:C38),C$26)</f>
        <v>0</v>
      </c>
      <c r="D39" s="19">
        <f>MIN(D$27-SUM(D$35:D38),D$26)</f>
        <v>0</v>
      </c>
      <c r="E39" s="212">
        <f>MIN(E$27-SUM(E$35:E38),E$26)</f>
        <v>0</v>
      </c>
    </row>
    <row r="40" spans="1:13" x14ac:dyDescent="0.3">
      <c r="B40" s="19">
        <f>MIN(B$27-SUM(B$35:B39),B$26)</f>
        <v>0</v>
      </c>
      <c r="C40" s="19">
        <f>MIN(C$27-SUM(C$35:C39),C$26)</f>
        <v>0</v>
      </c>
      <c r="D40" s="19">
        <f>MIN(D$27-SUM(D$35:D39),D$26)</f>
        <v>0</v>
      </c>
      <c r="E40" s="212">
        <f>MIN(E$27-SUM(E$35:E39),E$26)</f>
        <v>0</v>
      </c>
    </row>
    <row r="43" spans="1:13" x14ac:dyDescent="0.3">
      <c r="A43" s="13" t="s">
        <v>53</v>
      </c>
      <c r="B43" s="22"/>
      <c r="C43" s="22"/>
      <c r="D43" s="22"/>
      <c r="E43" s="22"/>
    </row>
    <row r="44" spans="1:13" x14ac:dyDescent="0.3">
      <c r="A44" t="s">
        <v>458</v>
      </c>
    </row>
    <row r="45" spans="1:13" x14ac:dyDescent="0.3">
      <c r="B45" s="97">
        <f>+B2</f>
        <v>42371</v>
      </c>
      <c r="E45" s="97">
        <f>C2</f>
        <v>42735</v>
      </c>
      <c r="H45" s="97">
        <f>D2</f>
        <v>43099</v>
      </c>
      <c r="K45" s="97">
        <f>E2</f>
        <v>43463</v>
      </c>
    </row>
    <row r="46" spans="1:13" x14ac:dyDescent="0.3">
      <c r="B46" s="98">
        <v>4.4999999999999998E-2</v>
      </c>
      <c r="C46" s="18">
        <v>0</v>
      </c>
      <c r="D46" s="99">
        <f t="shared" ref="D46:D65" si="11">+B46*C46/C$66</f>
        <v>0</v>
      </c>
      <c r="E46" s="98">
        <f t="shared" ref="E46:E63" si="12">+B46</f>
        <v>4.4999999999999998E-2</v>
      </c>
      <c r="F46" s="18">
        <v>637</v>
      </c>
      <c r="G46" s="99">
        <f t="shared" ref="G46:G63" si="13">+E46*F46/F$66</f>
        <v>3.718863518422418E-3</v>
      </c>
      <c r="H46" s="98">
        <f t="shared" ref="H46:H63" si="14">+E46</f>
        <v>4.4999999999999998E-2</v>
      </c>
      <c r="I46" s="18">
        <v>637</v>
      </c>
      <c r="J46" s="99">
        <f t="shared" ref="J46:J61" si="15">+H46*I46/I$66</f>
        <v>3.4834123222748812E-3</v>
      </c>
      <c r="K46" s="98">
        <f t="shared" ref="K46:K63" si="16">+H46</f>
        <v>4.4999999999999998E-2</v>
      </c>
      <c r="L46" s="213">
        <v>638</v>
      </c>
      <c r="M46" s="214">
        <f t="shared" ref="M46:M61" si="17">+K46*L46/L$66</f>
        <v>3.2969683050068899E-3</v>
      </c>
    </row>
    <row r="47" spans="1:13" x14ac:dyDescent="0.3">
      <c r="B47" s="100">
        <v>7.4499999999999997E-2</v>
      </c>
      <c r="C47" s="57">
        <v>1090</v>
      </c>
      <c r="D47" s="101">
        <f t="shared" si="11"/>
        <v>1.2462400245549416E-2</v>
      </c>
      <c r="E47" s="100">
        <f t="shared" si="12"/>
        <v>7.4499999999999997E-2</v>
      </c>
      <c r="F47" s="57">
        <v>620</v>
      </c>
      <c r="G47" s="101">
        <f t="shared" si="13"/>
        <v>5.9924753502854176E-3</v>
      </c>
      <c r="H47" s="100">
        <f t="shared" si="14"/>
        <v>7.4499999999999997E-2</v>
      </c>
      <c r="I47" s="57">
        <v>620</v>
      </c>
      <c r="J47" s="101">
        <f t="shared" si="15"/>
        <v>5.6130757078624374E-3</v>
      </c>
      <c r="K47" s="100">
        <f t="shared" si="16"/>
        <v>7.4499999999999997E-2</v>
      </c>
      <c r="L47" s="88">
        <v>621</v>
      </c>
      <c r="M47" s="215">
        <f t="shared" si="17"/>
        <v>5.3128732200275605E-3</v>
      </c>
    </row>
    <row r="48" spans="1:13" x14ac:dyDescent="0.3">
      <c r="B48" s="100">
        <v>4.2999999999999997E-2</v>
      </c>
      <c r="C48" s="57">
        <v>0</v>
      </c>
      <c r="D48" s="101">
        <f t="shared" si="11"/>
        <v>0</v>
      </c>
      <c r="E48" s="100">
        <f t="shared" si="12"/>
        <v>4.2999999999999997E-2</v>
      </c>
      <c r="F48" s="57">
        <v>0</v>
      </c>
      <c r="G48" s="101">
        <f t="shared" si="13"/>
        <v>0</v>
      </c>
      <c r="H48" s="100">
        <f t="shared" si="14"/>
        <v>4.2999999999999997E-2</v>
      </c>
      <c r="I48" s="57">
        <v>0</v>
      </c>
      <c r="J48" s="101">
        <f t="shared" si="15"/>
        <v>0</v>
      </c>
      <c r="K48" s="100">
        <f t="shared" si="16"/>
        <v>4.2999999999999997E-2</v>
      </c>
      <c r="L48" s="88">
        <v>595</v>
      </c>
      <c r="M48" s="215">
        <f t="shared" si="17"/>
        <v>2.9381028938906747E-3</v>
      </c>
    </row>
    <row r="49" spans="2:13" x14ac:dyDescent="0.3">
      <c r="B49" s="100">
        <v>3.4000000000000002E-2</v>
      </c>
      <c r="C49" s="57">
        <v>0</v>
      </c>
      <c r="D49" s="101">
        <f t="shared" si="11"/>
        <v>0</v>
      </c>
      <c r="E49" s="100">
        <f t="shared" si="12"/>
        <v>3.4000000000000002E-2</v>
      </c>
      <c r="F49" s="57">
        <v>0</v>
      </c>
      <c r="G49" s="101">
        <f t="shared" si="13"/>
        <v>0</v>
      </c>
      <c r="H49" s="100">
        <f t="shared" si="14"/>
        <v>3.4000000000000002E-2</v>
      </c>
      <c r="I49" s="57">
        <v>595</v>
      </c>
      <c r="J49" s="101">
        <f t="shared" si="15"/>
        <v>2.4583789038765342E-3</v>
      </c>
      <c r="K49" s="100">
        <f t="shared" si="16"/>
        <v>3.4000000000000002E-2</v>
      </c>
      <c r="L49" s="88">
        <v>595</v>
      </c>
      <c r="M49" s="215">
        <f t="shared" si="17"/>
        <v>2.3231511254019292E-3</v>
      </c>
    </row>
    <row r="50" spans="2:13" x14ac:dyDescent="0.3">
      <c r="B50" s="100">
        <v>3.2500000000000001E-2</v>
      </c>
      <c r="C50" s="57">
        <v>0</v>
      </c>
      <c r="D50" s="101">
        <f t="shared" si="11"/>
        <v>0</v>
      </c>
      <c r="E50" s="100">
        <f t="shared" si="12"/>
        <v>3.2500000000000001E-2</v>
      </c>
      <c r="F50" s="57">
        <v>728</v>
      </c>
      <c r="G50" s="101">
        <f t="shared" si="13"/>
        <v>3.0695381421899327E-3</v>
      </c>
      <c r="H50" s="100">
        <f t="shared" si="14"/>
        <v>3.2500000000000001E-2</v>
      </c>
      <c r="I50" s="57">
        <v>729</v>
      </c>
      <c r="J50" s="101">
        <f t="shared" si="15"/>
        <v>2.8791469194312798E-3</v>
      </c>
      <c r="K50" s="100">
        <f t="shared" si="16"/>
        <v>3.2500000000000001E-2</v>
      </c>
      <c r="L50" s="88">
        <v>731</v>
      </c>
      <c r="M50" s="215">
        <f t="shared" si="17"/>
        <v>2.7282384014699129E-3</v>
      </c>
    </row>
    <row r="51" spans="2:13" x14ac:dyDescent="0.3">
      <c r="B51" s="100">
        <v>1.2500000000000001E-2</v>
      </c>
      <c r="C51" s="57">
        <v>648</v>
      </c>
      <c r="D51" s="101">
        <f t="shared" si="11"/>
        <v>1.2430939226519336E-3</v>
      </c>
      <c r="E51" s="100">
        <f t="shared" si="12"/>
        <v>1.2500000000000001E-2</v>
      </c>
      <c r="F51" s="57">
        <v>629</v>
      </c>
      <c r="G51" s="101">
        <f t="shared" si="13"/>
        <v>1.0200441100155684E-3</v>
      </c>
      <c r="H51" s="100">
        <f t="shared" si="14"/>
        <v>1.2500000000000001E-2</v>
      </c>
      <c r="I51" s="57">
        <v>712</v>
      </c>
      <c r="J51" s="101">
        <f t="shared" si="15"/>
        <v>1.0815408919674324E-3</v>
      </c>
      <c r="K51" s="100">
        <f t="shared" si="16"/>
        <v>1.2500000000000001E-2</v>
      </c>
      <c r="L51" s="88">
        <v>693</v>
      </c>
      <c r="M51" s="215">
        <f t="shared" si="17"/>
        <v>9.9477491961414777E-4</v>
      </c>
    </row>
    <row r="52" spans="2:13" x14ac:dyDescent="0.3">
      <c r="B52" s="100">
        <v>0.01</v>
      </c>
      <c r="C52" s="57">
        <v>0</v>
      </c>
      <c r="D52" s="101">
        <f t="shared" si="11"/>
        <v>0</v>
      </c>
      <c r="E52" s="100">
        <f t="shared" si="12"/>
        <v>0.01</v>
      </c>
      <c r="F52" s="57">
        <v>639</v>
      </c>
      <c r="G52" s="101">
        <f t="shared" si="13"/>
        <v>8.2900882200311369E-4</v>
      </c>
      <c r="H52" s="100">
        <f t="shared" si="14"/>
        <v>0.01</v>
      </c>
      <c r="I52" s="57">
        <v>723</v>
      </c>
      <c r="J52" s="101">
        <f t="shared" si="15"/>
        <v>8.7860007291286921E-4</v>
      </c>
      <c r="K52" s="100">
        <f t="shared" si="16"/>
        <v>0.01</v>
      </c>
      <c r="L52" s="88">
        <v>697</v>
      </c>
      <c r="M52" s="215">
        <f t="shared" si="17"/>
        <v>8.0041341295360581E-4</v>
      </c>
    </row>
    <row r="53" spans="2:13" x14ac:dyDescent="0.3">
      <c r="B53" s="100">
        <v>2.6499999999999999E-2</v>
      </c>
      <c r="C53" s="57">
        <v>0</v>
      </c>
      <c r="D53" s="101">
        <f t="shared" si="11"/>
        <v>0</v>
      </c>
      <c r="E53" s="100">
        <f t="shared" si="12"/>
        <v>2.6499999999999999E-2</v>
      </c>
      <c r="F53" s="57">
        <v>591</v>
      </c>
      <c r="G53" s="101">
        <f t="shared" si="13"/>
        <v>2.0318500259470678E-3</v>
      </c>
      <c r="H53" s="100">
        <f t="shared" si="14"/>
        <v>2.6499999999999999E-2</v>
      </c>
      <c r="I53" s="57">
        <v>589</v>
      </c>
      <c r="J53" s="101">
        <f t="shared" si="15"/>
        <v>1.8967675294689513E-3</v>
      </c>
      <c r="K53" s="100">
        <f t="shared" si="16"/>
        <v>2.6499999999999999E-2</v>
      </c>
      <c r="L53" s="88">
        <v>585</v>
      </c>
      <c r="M53" s="215">
        <f t="shared" si="17"/>
        <v>1.7802595314653192E-3</v>
      </c>
    </row>
    <row r="54" spans="2:13" x14ac:dyDescent="0.3">
      <c r="B54" s="100">
        <v>2.75E-2</v>
      </c>
      <c r="C54" s="57">
        <v>209</v>
      </c>
      <c r="D54" s="101">
        <f t="shared" si="11"/>
        <v>8.820595457335788E-4</v>
      </c>
      <c r="E54" s="100">
        <f t="shared" si="12"/>
        <v>2.75E-2</v>
      </c>
      <c r="F54" s="57">
        <v>201</v>
      </c>
      <c r="G54" s="101">
        <f t="shared" si="13"/>
        <v>7.1711209133367923E-4</v>
      </c>
      <c r="H54" s="100">
        <f t="shared" si="14"/>
        <v>2.75E-2</v>
      </c>
      <c r="I54" s="57">
        <v>201</v>
      </c>
      <c r="J54" s="101">
        <f t="shared" si="15"/>
        <v>6.717098067808968E-4</v>
      </c>
      <c r="K54" s="100">
        <f t="shared" si="16"/>
        <v>2.75E-2</v>
      </c>
      <c r="L54" s="88">
        <v>198</v>
      </c>
      <c r="M54" s="215">
        <f t="shared" si="17"/>
        <v>6.2528709232889299E-4</v>
      </c>
    </row>
    <row r="55" spans="2:13" x14ac:dyDescent="0.3">
      <c r="B55" s="100">
        <v>3.125E-2</v>
      </c>
      <c r="C55" s="57">
        <v>368</v>
      </c>
      <c r="D55" s="101">
        <f t="shared" si="11"/>
        <v>1.7648864333947207E-3</v>
      </c>
      <c r="E55" s="100">
        <f t="shared" si="12"/>
        <v>3.125E-2</v>
      </c>
      <c r="F55" s="57">
        <v>357</v>
      </c>
      <c r="G55" s="101">
        <f t="shared" si="13"/>
        <v>1.4473598858329008E-3</v>
      </c>
      <c r="H55" s="100">
        <f t="shared" si="14"/>
        <v>3.125E-2</v>
      </c>
      <c r="I55" s="57">
        <v>354</v>
      </c>
      <c r="J55" s="101">
        <f t="shared" si="15"/>
        <v>1.3443310244258112E-3</v>
      </c>
      <c r="K55" s="100">
        <f t="shared" si="16"/>
        <v>3.125E-2</v>
      </c>
      <c r="L55" s="88">
        <v>351</v>
      </c>
      <c r="M55" s="215">
        <f t="shared" si="17"/>
        <v>1.2596175930179145E-3</v>
      </c>
    </row>
    <row r="56" spans="2:13" x14ac:dyDescent="0.3">
      <c r="B56" s="100">
        <v>8.0000000000000002E-3</v>
      </c>
      <c r="C56" s="57">
        <v>0</v>
      </c>
      <c r="D56" s="101">
        <f t="shared" si="11"/>
        <v>0</v>
      </c>
      <c r="E56" s="100">
        <f t="shared" si="12"/>
        <v>8.0000000000000002E-3</v>
      </c>
      <c r="F56" s="57">
        <v>0</v>
      </c>
      <c r="G56" s="101">
        <f t="shared" si="13"/>
        <v>0</v>
      </c>
      <c r="H56" s="100">
        <f t="shared" si="14"/>
        <v>8.0000000000000002E-3</v>
      </c>
      <c r="I56" s="57">
        <v>717</v>
      </c>
      <c r="J56" s="101">
        <f t="shared" si="15"/>
        <v>6.9704702880058324E-4</v>
      </c>
      <c r="K56" s="100">
        <f t="shared" si="16"/>
        <v>8.0000000000000002E-3</v>
      </c>
      <c r="L56" s="88">
        <v>684</v>
      </c>
      <c r="M56" s="215">
        <f t="shared" si="17"/>
        <v>6.2838768948093708E-4</v>
      </c>
    </row>
    <row r="57" spans="2:13" x14ac:dyDescent="0.3">
      <c r="B57" s="100">
        <v>1.7500000000000002E-2</v>
      </c>
      <c r="C57" s="57">
        <v>539</v>
      </c>
      <c r="D57" s="101">
        <f t="shared" si="11"/>
        <v>1.4475905463474526E-3</v>
      </c>
      <c r="E57" s="100">
        <f t="shared" si="12"/>
        <v>1.7500000000000002E-2</v>
      </c>
      <c r="F57" s="57">
        <v>523</v>
      </c>
      <c r="G57" s="101">
        <f t="shared" si="13"/>
        <v>1.1874026984950703E-3</v>
      </c>
      <c r="H57" s="100">
        <f t="shared" si="14"/>
        <v>1.7500000000000002E-2</v>
      </c>
      <c r="I57" s="57">
        <v>597</v>
      </c>
      <c r="J57" s="101">
        <f t="shared" si="15"/>
        <v>1.2695953335763765E-3</v>
      </c>
      <c r="K57" s="100">
        <f t="shared" si="16"/>
        <v>1.7500000000000002E-2</v>
      </c>
      <c r="L57" s="88">
        <v>570</v>
      </c>
      <c r="M57" s="215">
        <f t="shared" si="17"/>
        <v>1.1454983922829583E-3</v>
      </c>
    </row>
    <row r="58" spans="2:13" x14ac:dyDescent="0.3">
      <c r="B58" s="100">
        <v>3.2500000000000001E-2</v>
      </c>
      <c r="C58" s="57">
        <v>0</v>
      </c>
      <c r="D58" s="101">
        <f t="shared" si="11"/>
        <v>0</v>
      </c>
      <c r="E58" s="100">
        <f t="shared" si="12"/>
        <v>3.2500000000000001E-2</v>
      </c>
      <c r="F58" s="57">
        <v>0</v>
      </c>
      <c r="G58" s="101">
        <f t="shared" si="13"/>
        <v>0</v>
      </c>
      <c r="H58" s="100">
        <f t="shared" si="14"/>
        <v>3.2500000000000001E-2</v>
      </c>
      <c r="I58" s="57">
        <v>0</v>
      </c>
      <c r="J58" s="101">
        <f t="shared" si="15"/>
        <v>0</v>
      </c>
      <c r="K58" s="100">
        <f t="shared" si="16"/>
        <v>3.2500000000000001E-2</v>
      </c>
      <c r="L58" s="88">
        <v>399</v>
      </c>
      <c r="M58" s="215">
        <f t="shared" si="17"/>
        <v>1.4891479099678458E-3</v>
      </c>
    </row>
    <row r="59" spans="2:13" x14ac:dyDescent="0.3">
      <c r="B59" s="100">
        <v>0.04</v>
      </c>
      <c r="C59" s="57">
        <v>858</v>
      </c>
      <c r="D59" s="101">
        <f t="shared" si="11"/>
        <v>5.2670349907918967E-3</v>
      </c>
      <c r="E59" s="100">
        <f t="shared" si="12"/>
        <v>0.04</v>
      </c>
      <c r="F59" s="57">
        <v>844</v>
      </c>
      <c r="G59" s="101">
        <f t="shared" si="13"/>
        <v>4.3798650752464967E-3</v>
      </c>
      <c r="H59" s="100">
        <f t="shared" si="14"/>
        <v>0.04</v>
      </c>
      <c r="I59" s="57">
        <v>847</v>
      </c>
      <c r="J59" s="101">
        <f t="shared" si="15"/>
        <v>4.1171466763883832E-3</v>
      </c>
      <c r="K59" s="100">
        <f t="shared" si="16"/>
        <v>0.04</v>
      </c>
      <c r="L59" s="88">
        <v>848</v>
      </c>
      <c r="M59" s="215">
        <f t="shared" si="17"/>
        <v>3.8952687184198439E-3</v>
      </c>
    </row>
    <row r="60" spans="2:13" x14ac:dyDescent="0.3">
      <c r="B60" s="100">
        <v>4.1500000000000002E-2</v>
      </c>
      <c r="C60" s="57">
        <v>513</v>
      </c>
      <c r="D60" s="101">
        <f t="shared" si="11"/>
        <v>3.2672651933701659E-3</v>
      </c>
      <c r="E60" s="100">
        <f t="shared" si="12"/>
        <v>4.1500000000000002E-2</v>
      </c>
      <c r="F60" s="57">
        <v>510</v>
      </c>
      <c r="G60" s="101">
        <f t="shared" si="13"/>
        <v>2.7458484691229895E-3</v>
      </c>
      <c r="H60" s="100">
        <f t="shared" si="14"/>
        <v>4.1500000000000002E-2</v>
      </c>
      <c r="I60" s="57">
        <v>506</v>
      </c>
      <c r="J60" s="101">
        <f t="shared" si="15"/>
        <v>2.5518288978004619E-3</v>
      </c>
      <c r="K60" s="100">
        <f t="shared" si="16"/>
        <v>4.1500000000000002E-2</v>
      </c>
      <c r="L60" s="88">
        <v>503</v>
      </c>
      <c r="M60" s="215">
        <f t="shared" si="17"/>
        <v>2.3971635277905377E-3</v>
      </c>
    </row>
    <row r="61" spans="2:13" x14ac:dyDescent="0.3">
      <c r="B61" s="100">
        <v>3.2500000000000001E-2</v>
      </c>
      <c r="C61" s="57">
        <v>411</v>
      </c>
      <c r="D61" s="101">
        <f t="shared" si="11"/>
        <v>2.0499539594843463E-3</v>
      </c>
      <c r="E61" s="100">
        <f t="shared" si="12"/>
        <v>3.2500000000000001E-2</v>
      </c>
      <c r="F61" s="57">
        <v>406</v>
      </c>
      <c r="G61" s="101">
        <f t="shared" si="13"/>
        <v>1.7118578100674623E-3</v>
      </c>
      <c r="H61" s="100">
        <f t="shared" si="14"/>
        <v>3.2500000000000001E-2</v>
      </c>
      <c r="I61" s="57">
        <v>402</v>
      </c>
      <c r="J61" s="101">
        <f t="shared" si="15"/>
        <v>1.5876777251184835E-3</v>
      </c>
      <c r="K61" s="100">
        <f t="shared" si="16"/>
        <v>3.2500000000000001E-2</v>
      </c>
      <c r="L61" s="88">
        <v>0</v>
      </c>
      <c r="M61" s="215">
        <f t="shared" si="17"/>
        <v>0</v>
      </c>
    </row>
    <row r="62" spans="2:13" x14ac:dyDescent="0.3">
      <c r="B62" s="100">
        <v>2.0500000000000001E-2</v>
      </c>
      <c r="C62" s="57">
        <v>217</v>
      </c>
      <c r="D62" s="101">
        <f t="shared" si="11"/>
        <v>6.8270411295273171E-4</v>
      </c>
      <c r="E62" s="100">
        <f t="shared" si="12"/>
        <v>2.0500000000000001E-2</v>
      </c>
      <c r="F62" s="57">
        <v>223</v>
      </c>
      <c r="G62" s="101">
        <f t="shared" si="13"/>
        <v>5.9308510638297874E-4</v>
      </c>
      <c r="H62" s="100">
        <f t="shared" si="14"/>
        <v>2.0500000000000001E-2</v>
      </c>
      <c r="I62" s="57"/>
      <c r="J62" s="101"/>
      <c r="K62" s="100">
        <f t="shared" si="16"/>
        <v>2.0500000000000001E-2</v>
      </c>
      <c r="L62" s="57"/>
      <c r="M62" s="101"/>
    </row>
    <row r="63" spans="2:13" x14ac:dyDescent="0.3">
      <c r="B63" s="100">
        <v>1.7500000000000002E-2</v>
      </c>
      <c r="C63" s="57">
        <v>400</v>
      </c>
      <c r="D63" s="101">
        <f t="shared" si="11"/>
        <v>1.0742786985880909E-3</v>
      </c>
      <c r="E63" s="100">
        <f t="shared" si="12"/>
        <v>1.7500000000000002E-2</v>
      </c>
      <c r="F63" s="57">
        <v>400</v>
      </c>
      <c r="G63" s="101">
        <f t="shared" si="13"/>
        <v>9.0814737934613403E-4</v>
      </c>
      <c r="H63" s="100">
        <f t="shared" si="14"/>
        <v>1.7500000000000002E-2</v>
      </c>
      <c r="I63" s="57"/>
      <c r="J63" s="101"/>
      <c r="K63" s="100">
        <f t="shared" si="16"/>
        <v>1.7500000000000002E-2</v>
      </c>
      <c r="L63" s="57"/>
      <c r="M63" s="101"/>
    </row>
    <row r="64" spans="2:13" x14ac:dyDescent="0.3">
      <c r="B64" s="100">
        <v>1.8749999999999999E-2</v>
      </c>
      <c r="C64" s="57">
        <v>501</v>
      </c>
      <c r="D64" s="101">
        <f t="shared" si="11"/>
        <v>1.4416436464088397E-3</v>
      </c>
      <c r="E64" s="100">
        <f t="shared" ref="E64:E65" si="18">+B64</f>
        <v>1.8749999999999999E-2</v>
      </c>
      <c r="F64" s="57"/>
      <c r="G64" s="101"/>
      <c r="H64" s="100">
        <f t="shared" ref="H64:H65" si="19">+E64</f>
        <v>1.8749999999999999E-2</v>
      </c>
      <c r="I64" s="57"/>
      <c r="J64" s="101"/>
      <c r="K64" s="100">
        <f t="shared" ref="K64:K65" si="20">+H64</f>
        <v>1.8749999999999999E-2</v>
      </c>
      <c r="L64" s="57"/>
      <c r="M64" s="101"/>
    </row>
    <row r="65" spans="2:13" x14ac:dyDescent="0.3">
      <c r="B65" s="100">
        <v>4.4499999999999998E-2</v>
      </c>
      <c r="C65" s="57">
        <v>762</v>
      </c>
      <c r="D65" s="101">
        <f t="shared" si="11"/>
        <v>5.2039594843462248E-3</v>
      </c>
      <c r="E65" s="100">
        <f t="shared" si="18"/>
        <v>4.4499999999999998E-2</v>
      </c>
      <c r="F65" s="57">
        <v>400</v>
      </c>
      <c r="G65" s="101">
        <f>+E65*F65/F$66</f>
        <v>2.309289050337312E-3</v>
      </c>
      <c r="H65" s="100">
        <f t="shared" si="19"/>
        <v>4.4499999999999998E-2</v>
      </c>
      <c r="I65" s="57"/>
      <c r="J65" s="101"/>
      <c r="K65" s="100">
        <f t="shared" si="20"/>
        <v>4.4499999999999998E-2</v>
      </c>
      <c r="L65" s="57"/>
      <c r="M65" s="101"/>
    </row>
    <row r="66" spans="2:13" ht="15" thickBot="1" x14ac:dyDescent="0.35">
      <c r="B66" s="102"/>
      <c r="C66" s="17">
        <f>SUM(C46:C65)</f>
        <v>6516</v>
      </c>
      <c r="D66" s="103">
        <f>SUM(D46:D65)</f>
        <v>3.6786870779619396E-2</v>
      </c>
      <c r="E66" s="102"/>
      <c r="F66" s="17">
        <f>SUM(F46:F65)</f>
        <v>7708</v>
      </c>
      <c r="G66" s="103">
        <f>SUM(G46:G65)</f>
        <v>3.266174753502854E-2</v>
      </c>
      <c r="H66" s="102"/>
      <c r="I66" s="17">
        <f>SUM(I46:I65)</f>
        <v>8229</v>
      </c>
      <c r="J66" s="103">
        <f>SUM(J46:J65)</f>
        <v>3.0530258840685387E-2</v>
      </c>
      <c r="K66" s="102"/>
      <c r="L66" s="172">
        <f>SUM(L46:L65)</f>
        <v>8708</v>
      </c>
      <c r="M66" s="216">
        <f>SUM(M46:M65)</f>
        <v>3.1615152733118976E-2</v>
      </c>
    </row>
    <row r="67" spans="2:13" ht="15" thickTop="1" x14ac:dyDescent="0.3">
      <c r="B67" s="104"/>
      <c r="C67" s="87"/>
      <c r="D67" s="105"/>
      <c r="E67" s="104"/>
      <c r="F67" s="87"/>
      <c r="G67" s="105"/>
      <c r="H67" s="104"/>
      <c r="I67" s="87"/>
      <c r="J67" s="105"/>
      <c r="K67" s="104"/>
      <c r="L67" s="87"/>
      <c r="M67" s="10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Instructions</vt:lpstr>
      <vt:lpstr>3 BS Reported</vt:lpstr>
      <vt:lpstr>3 IS Reported</vt:lpstr>
      <vt:lpstr>3 Unadj NOA</vt:lpstr>
      <vt:lpstr>3 Unadj NOPAT</vt:lpstr>
      <vt:lpstr>4 Add'l Info</vt:lpstr>
      <vt:lpstr>4 BS Expanded</vt:lpstr>
      <vt:lpstr>4 IS Expanded</vt:lpstr>
      <vt:lpstr>5 Adjust Info</vt:lpstr>
      <vt:lpstr>5 AJE Leases</vt:lpstr>
      <vt:lpstr>5 AJE Options</vt:lpstr>
      <vt:lpstr>5 BS Adjusted</vt:lpstr>
      <vt:lpstr>5 IS Adjusted</vt:lpstr>
      <vt:lpstr>5 Adj NOA</vt:lpstr>
      <vt:lpstr>5 Adj NOPAT</vt:lpstr>
      <vt:lpstr>6 Analyzing</vt:lpstr>
      <vt:lpstr>6 CS-IS</vt:lpstr>
      <vt:lpstr>6 CS-BS</vt:lpstr>
      <vt:lpstr>7 F-Rev</vt:lpstr>
      <vt:lpstr>7 F-PM</vt:lpstr>
      <vt:lpstr>7 F-ATO</vt:lpstr>
      <vt:lpstr>9 Cost of Capital</vt:lpstr>
      <vt:lpstr>10-12 Valuation</vt:lpstr>
      <vt:lpstr>13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Sommers, Gregory</dc:creator>
  <cp:lastModifiedBy>Stuart Follett</cp:lastModifiedBy>
  <cp:lastPrinted>2015-12-29T14:43:31Z</cp:lastPrinted>
  <dcterms:created xsi:type="dcterms:W3CDTF">2012-04-19T15:21:59Z</dcterms:created>
  <dcterms:modified xsi:type="dcterms:W3CDTF">2022-05-31T01:46:29Z</dcterms:modified>
</cp:coreProperties>
</file>