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le\Desktop\Investments&amp;Portfolio Management\"/>
    </mc:Choice>
  </mc:AlternateContent>
  <xr:revisionPtr revIDLastSave="0" documentId="13_ncr:1_{421DC225-CBBC-446A-AFBA-67E0AAFE3A83}" xr6:coauthVersionLast="47" xr6:coauthVersionMax="47" xr10:uidLastSave="{00000000-0000-0000-0000-000000000000}"/>
  <bookViews>
    <workbookView xWindow="3444" yWindow="2628" windowWidth="17280" windowHeight="8964" firstSheet="1" activeTab="3" xr2:uid="{6B7094A6-0AE9-4ACB-851A-C3AD15543920}"/>
  </bookViews>
  <sheets>
    <sheet name="PriceData" sheetId="1" r:id="rId1"/>
    <sheet name="ReturnData" sheetId="2" r:id="rId2"/>
    <sheet name="PG" sheetId="3" r:id="rId3"/>
    <sheet name="Portfolio Returns" sheetId="4" r:id="rId4"/>
    <sheet name="Frontier" sheetId="5" r:id="rId5"/>
    <sheet name="Regressions" sheetId="6" r:id="rId6"/>
    <sheet name="Beta" sheetId="7" r:id="rId7"/>
    <sheet name="SML" sheetId="8" r:id="rId8"/>
    <sheet name="NewPriceData" sheetId="9" r:id="rId9"/>
    <sheet name="NewReturnData" sheetId="10" r:id="rId10"/>
  </sheets>
  <definedNames>
    <definedName name="AAPLDiv">PriceData!$F$2</definedName>
    <definedName name="AAPLDivData">PriceData!$F$3:$F$99</definedName>
    <definedName name="AAPLFact">PriceData!$G$2</definedName>
    <definedName name="AAPLFactData">PriceData!$G$3:$G$99</definedName>
    <definedName name="AAPLPrice">PriceData!$E$2</definedName>
    <definedName name="AAPLPriceData">PriceData!$E$3:$E$99</definedName>
    <definedName name="AAPLReturns">ReturnData!$C$2:$C$97</definedName>
    <definedName name="CovarianceMatrix">Frontier!$F$12:$H$14</definedName>
    <definedName name="Date">PriceData!$A$2</definedName>
    <definedName name="Dates">PriceData!$A$3:$A$99</definedName>
    <definedName name="GEDiv">PriceData!$C$2</definedName>
    <definedName name="GEDivData">PriceData!$C$3:$C$99</definedName>
    <definedName name="GEFact">PriceData!$D$2</definedName>
    <definedName name="GEFactorData">PriceData!$D$3:$D$99</definedName>
    <definedName name="GEPrice">PriceData!$B$2</definedName>
    <definedName name="GEPrices">PriceData!$B$3:$B$99</definedName>
    <definedName name="GEReturns">ReturnData!$B$2:$B$97</definedName>
    <definedName name="IndexReturns">ReturnData!$E$2:$E$97</definedName>
    <definedName name="P10Returns">'Portfolio Returns'!$N$2:$N$97</definedName>
    <definedName name="P1Returns">'Portfolio Returns'!$E$2:$E$97</definedName>
    <definedName name="P2Returns">'Portfolio Returns'!$F$2:$F$97</definedName>
    <definedName name="P3Returns">'Portfolio Returns'!$G$2:$G$97</definedName>
    <definedName name="P4Returns">'Portfolio Returns'!$H$2:$H$97</definedName>
    <definedName name="P5Returns">'Portfolio Returns'!$I$2:$I$97</definedName>
    <definedName name="P6Returns">'Portfolio Returns'!$J$2:$J$97</definedName>
    <definedName name="P7Returns">'Portfolio Returns'!$K$2:$K$97</definedName>
    <definedName name="P8Returns">'Portfolio Returns'!$L$2:$L$97</definedName>
    <definedName name="P9Returns">'Portfolio Returns'!$M$2:$M$97</definedName>
    <definedName name="PFReturns">Frontier!$C$2:$C$4</definedName>
    <definedName name="PFWeights">Frontier!$F$3:$F$5</definedName>
    <definedName name="PGAverageReturn">PG!$F$2</definedName>
    <definedName name="PGDeviationsSquared">PG!$C$2:$C$97</definedName>
    <definedName name="PGDiv">PriceData!$I$2</definedName>
    <definedName name="PGFact">PriceData!$J$2</definedName>
    <definedName name="PGPrice">PriceData!$H$2</definedName>
    <definedName name="PGPriceData">PriceData!$H$3:$H$99</definedName>
    <definedName name="PGReturns">ReturnData!$D$2:$D$97</definedName>
    <definedName name="PortfolioReturns">'Portfolio Returns'!$E$2:$N$97</definedName>
    <definedName name="solver_adj" localSheetId="4" hidden="1">Frontier!$F$3:$F$5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Frontier!$F$6</definedName>
    <definedName name="solver_lhs2" localSheetId="4" hidden="1">Frontier!$I$4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Frontier!$I$8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100%</definedName>
    <definedName name="solver_rhs2" localSheetId="4" hidden="1">7%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Third">1/3</definedName>
    <definedName name="TrialWeight">Frontier!$F$36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0" i="4" l="1"/>
  <c r="I100" i="4"/>
  <c r="C15" i="8"/>
  <c r="F4" i="6"/>
  <c r="F3" i="6"/>
  <c r="F2" i="6"/>
  <c r="S37" i="5"/>
  <c r="S36" i="5"/>
  <c r="F38" i="5"/>
  <c r="F37" i="5"/>
  <c r="F35" i="5" a="1"/>
  <c r="F35" i="5" s="1"/>
  <c r="I3" i="5" a="1"/>
  <c r="I3" i="5" s="1"/>
  <c r="I4" i="5"/>
  <c r="I5" i="5" a="1"/>
  <c r="I5" i="5" s="1"/>
  <c r="O99" i="4"/>
  <c r="O98" i="4"/>
  <c r="C15" i="5"/>
  <c r="F2" i="3"/>
  <c r="C4" i="3" s="1"/>
  <c r="A2" i="4"/>
  <c r="B2" i="4" a="1"/>
  <c r="B2" i="4" s="1"/>
  <c r="C2" i="4" a="1"/>
  <c r="C2" i="4" s="1"/>
  <c r="D2" i="4" a="1"/>
  <c r="D2" i="4" s="1"/>
  <c r="O2" i="4" a="1"/>
  <c r="O2" i="4" s="1"/>
  <c r="A1" i="3"/>
  <c r="E6" i="10"/>
  <c r="B99" i="4"/>
  <c r="E5" i="10"/>
  <c r="D3" i="10"/>
  <c r="D4" i="10"/>
  <c r="D2" i="10"/>
  <c r="C3" i="10"/>
  <c r="C4" i="10"/>
  <c r="C2" i="10"/>
  <c r="C5" i="10" s="1"/>
  <c r="B3" i="10"/>
  <c r="I3" i="10" s="1" a="1"/>
  <c r="I3" i="10" s="1"/>
  <c r="B4" i="10"/>
  <c r="B2" i="10"/>
  <c r="B2" i="2"/>
  <c r="A3" i="10"/>
  <c r="A4" i="10"/>
  <c r="A2" i="10"/>
  <c r="D98" i="2"/>
  <c r="D100" i="4" s="1"/>
  <c r="C98" i="2"/>
  <c r="C100" i="4" s="1"/>
  <c r="B98" i="2"/>
  <c r="B100" i="4" s="1"/>
  <c r="B5" i="10" l="1"/>
  <c r="G2" i="10"/>
  <c r="G4" i="10"/>
  <c r="C6" i="10"/>
  <c r="I2" i="10" a="1"/>
  <c r="I2" i="10" s="1"/>
  <c r="D6" i="10"/>
  <c r="M2" i="10"/>
  <c r="F4" i="10"/>
  <c r="L3" i="10"/>
  <c r="J2" i="10"/>
  <c r="N2" i="10"/>
  <c r="H2" i="10"/>
  <c r="L4" i="10"/>
  <c r="I4" i="10" a="1"/>
  <c r="I4" i="10" s="1"/>
  <c r="I6" i="10" s="1"/>
  <c r="O3" i="10"/>
  <c r="K3" i="10"/>
  <c r="G3" i="10"/>
  <c r="G5" i="10" s="1"/>
  <c r="B6" i="10"/>
  <c r="H3" i="10"/>
  <c r="K2" i="10"/>
  <c r="O2" i="10"/>
  <c r="O4" i="10"/>
  <c r="K4" i="10"/>
  <c r="H4" i="10"/>
  <c r="N3" i="10"/>
  <c r="J3" i="10"/>
  <c r="F3" i="10"/>
  <c r="D5" i="10"/>
  <c r="G6" i="10"/>
  <c r="M4" i="10"/>
  <c r="L2" i="10"/>
  <c r="F2" i="10"/>
  <c r="N4" i="10"/>
  <c r="J4" i="10"/>
  <c r="M3" i="10"/>
  <c r="N100" i="4"/>
  <c r="J100" i="4"/>
  <c r="F100" i="4"/>
  <c r="M100" i="4"/>
  <c r="H100" i="4" a="1"/>
  <c r="H100" i="4" s="1"/>
  <c r="E100" i="4"/>
  <c r="K100" i="4"/>
  <c r="G100" i="4"/>
  <c r="F2" i="4"/>
  <c r="I2" i="4"/>
  <c r="M2" i="4"/>
  <c r="G2" i="4"/>
  <c r="J2" i="4"/>
  <c r="N2" i="4"/>
  <c r="E2" i="4"/>
  <c r="L2" i="4"/>
  <c r="H2" i="4" a="1"/>
  <c r="H2" i="4" s="1"/>
  <c r="K2" i="4"/>
  <c r="M43" i="5"/>
  <c r="L43" i="5"/>
  <c r="M5" i="10" l="1"/>
  <c r="J6" i="10"/>
  <c r="J5" i="10"/>
  <c r="F6" i="10"/>
  <c r="F5" i="10"/>
  <c r="M6" i="10"/>
  <c r="N6" i="10"/>
  <c r="N5" i="10"/>
  <c r="O6" i="10"/>
  <c r="O5" i="10"/>
  <c r="L5" i="10"/>
  <c r="L6" i="10"/>
  <c r="I5" i="10"/>
  <c r="K6" i="10"/>
  <c r="K5" i="10"/>
  <c r="H5" i="10"/>
  <c r="H6" i="10"/>
  <c r="F97" i="6"/>
  <c r="E97" i="6"/>
  <c r="D97" i="6"/>
  <c r="C97" i="6"/>
  <c r="A97" i="6"/>
  <c r="F96" i="6"/>
  <c r="E96" i="6"/>
  <c r="D96" i="6"/>
  <c r="C96" i="6"/>
  <c r="A96" i="6"/>
  <c r="F95" i="6"/>
  <c r="E95" i="6"/>
  <c r="D95" i="6"/>
  <c r="C95" i="6"/>
  <c r="A95" i="6"/>
  <c r="F94" i="6"/>
  <c r="E94" i="6"/>
  <c r="D94" i="6"/>
  <c r="C94" i="6"/>
  <c r="A94" i="6"/>
  <c r="F93" i="6"/>
  <c r="E93" i="6"/>
  <c r="D93" i="6"/>
  <c r="C93" i="6"/>
  <c r="A93" i="6"/>
  <c r="F92" i="6"/>
  <c r="E92" i="6"/>
  <c r="D92" i="6"/>
  <c r="C92" i="6"/>
  <c r="A92" i="6"/>
  <c r="F91" i="6"/>
  <c r="E91" i="6"/>
  <c r="D91" i="6"/>
  <c r="C91" i="6"/>
  <c r="A91" i="6"/>
  <c r="F90" i="6"/>
  <c r="E90" i="6"/>
  <c r="D90" i="6"/>
  <c r="C90" i="6"/>
  <c r="A90" i="6"/>
  <c r="F89" i="6"/>
  <c r="E89" i="6"/>
  <c r="D89" i="6"/>
  <c r="C89" i="6"/>
  <c r="A89" i="6"/>
  <c r="F88" i="6"/>
  <c r="E88" i="6"/>
  <c r="D88" i="6"/>
  <c r="C88" i="6"/>
  <c r="A88" i="6"/>
  <c r="F87" i="6"/>
  <c r="E87" i="6"/>
  <c r="D87" i="6"/>
  <c r="C87" i="6"/>
  <c r="A87" i="6"/>
  <c r="F86" i="6"/>
  <c r="E86" i="6"/>
  <c r="D86" i="6"/>
  <c r="C86" i="6"/>
  <c r="A86" i="6"/>
  <c r="F85" i="6"/>
  <c r="E85" i="6"/>
  <c r="D85" i="6"/>
  <c r="C85" i="6"/>
  <c r="A85" i="6"/>
  <c r="F84" i="6"/>
  <c r="E84" i="6"/>
  <c r="D84" i="6"/>
  <c r="C84" i="6"/>
  <c r="A84" i="6"/>
  <c r="F83" i="6"/>
  <c r="E83" i="6"/>
  <c r="D83" i="6"/>
  <c r="C83" i="6"/>
  <c r="A83" i="6"/>
  <c r="F82" i="6"/>
  <c r="E82" i="6"/>
  <c r="D82" i="6"/>
  <c r="C82" i="6"/>
  <c r="A82" i="6"/>
  <c r="F81" i="6"/>
  <c r="E81" i="6"/>
  <c r="D81" i="6"/>
  <c r="C81" i="6"/>
  <c r="A81" i="6"/>
  <c r="F80" i="6"/>
  <c r="E80" i="6"/>
  <c r="D80" i="6"/>
  <c r="C80" i="6"/>
  <c r="A80" i="6"/>
  <c r="F79" i="6"/>
  <c r="E79" i="6"/>
  <c r="D79" i="6"/>
  <c r="C79" i="6"/>
  <c r="A79" i="6"/>
  <c r="F78" i="6"/>
  <c r="E78" i="6"/>
  <c r="D78" i="6"/>
  <c r="C78" i="6"/>
  <c r="A78" i="6"/>
  <c r="F77" i="6"/>
  <c r="E77" i="6"/>
  <c r="D77" i="6"/>
  <c r="C77" i="6"/>
  <c r="A77" i="6"/>
  <c r="F76" i="6"/>
  <c r="E76" i="6"/>
  <c r="D76" i="6"/>
  <c r="C76" i="6"/>
  <c r="A76" i="6"/>
  <c r="F75" i="6"/>
  <c r="E75" i="6"/>
  <c r="D75" i="6"/>
  <c r="C75" i="6"/>
  <c r="A75" i="6"/>
  <c r="F74" i="6"/>
  <c r="E74" i="6"/>
  <c r="D74" i="6"/>
  <c r="C74" i="6"/>
  <c r="A74" i="6"/>
  <c r="F73" i="6"/>
  <c r="E73" i="6"/>
  <c r="D73" i="6"/>
  <c r="C73" i="6"/>
  <c r="A73" i="6"/>
  <c r="F72" i="6"/>
  <c r="E72" i="6"/>
  <c r="D72" i="6"/>
  <c r="C72" i="6"/>
  <c r="A72" i="6"/>
  <c r="F71" i="6"/>
  <c r="E71" i="6"/>
  <c r="D71" i="6"/>
  <c r="C71" i="6"/>
  <c r="A71" i="6"/>
  <c r="F70" i="6"/>
  <c r="E70" i="6"/>
  <c r="D70" i="6"/>
  <c r="C70" i="6"/>
  <c r="A70" i="6"/>
  <c r="F69" i="6"/>
  <c r="E69" i="6"/>
  <c r="D69" i="6"/>
  <c r="C69" i="6"/>
  <c r="A69" i="6"/>
  <c r="F68" i="6"/>
  <c r="E68" i="6"/>
  <c r="D68" i="6"/>
  <c r="C68" i="6"/>
  <c r="A68" i="6"/>
  <c r="F67" i="6"/>
  <c r="E67" i="6"/>
  <c r="D67" i="6"/>
  <c r="C67" i="6"/>
  <c r="A67" i="6"/>
  <c r="F66" i="6"/>
  <c r="E66" i="6"/>
  <c r="D66" i="6"/>
  <c r="C66" i="6"/>
  <c r="A66" i="6"/>
  <c r="F65" i="6"/>
  <c r="E65" i="6"/>
  <c r="D65" i="6"/>
  <c r="C65" i="6"/>
  <c r="A65" i="6"/>
  <c r="F64" i="6"/>
  <c r="E64" i="6"/>
  <c r="D64" i="6"/>
  <c r="C64" i="6"/>
  <c r="A64" i="6"/>
  <c r="F63" i="6"/>
  <c r="E63" i="6"/>
  <c r="D63" i="6"/>
  <c r="C63" i="6"/>
  <c r="A63" i="6"/>
  <c r="F62" i="6"/>
  <c r="E62" i="6"/>
  <c r="D62" i="6"/>
  <c r="C62" i="6"/>
  <c r="A62" i="6"/>
  <c r="F61" i="6"/>
  <c r="E61" i="6"/>
  <c r="D61" i="6"/>
  <c r="C61" i="6"/>
  <c r="A61" i="6"/>
  <c r="F60" i="6"/>
  <c r="E60" i="6"/>
  <c r="D60" i="6"/>
  <c r="C60" i="6"/>
  <c r="A60" i="6"/>
  <c r="F59" i="6"/>
  <c r="E59" i="6"/>
  <c r="D59" i="6"/>
  <c r="C59" i="6"/>
  <c r="A59" i="6"/>
  <c r="F58" i="6"/>
  <c r="E58" i="6"/>
  <c r="D58" i="6"/>
  <c r="C58" i="6"/>
  <c r="A58" i="6"/>
  <c r="F57" i="6"/>
  <c r="E57" i="6"/>
  <c r="D57" i="6"/>
  <c r="C57" i="6"/>
  <c r="A57" i="6"/>
  <c r="F56" i="6"/>
  <c r="E56" i="6"/>
  <c r="D56" i="6"/>
  <c r="C56" i="6"/>
  <c r="A56" i="6"/>
  <c r="F55" i="6"/>
  <c r="E55" i="6"/>
  <c r="D55" i="6"/>
  <c r="C55" i="6"/>
  <c r="A55" i="6"/>
  <c r="F54" i="6"/>
  <c r="E54" i="6"/>
  <c r="D54" i="6"/>
  <c r="C54" i="6"/>
  <c r="A54" i="6"/>
  <c r="F53" i="6"/>
  <c r="E53" i="6"/>
  <c r="D53" i="6"/>
  <c r="C53" i="6"/>
  <c r="A53" i="6"/>
  <c r="F52" i="6"/>
  <c r="E52" i="6"/>
  <c r="D52" i="6"/>
  <c r="C52" i="6"/>
  <c r="A52" i="6"/>
  <c r="F51" i="6"/>
  <c r="E51" i="6"/>
  <c r="D51" i="6"/>
  <c r="C51" i="6"/>
  <c r="A51" i="6"/>
  <c r="F50" i="6"/>
  <c r="E50" i="6"/>
  <c r="D50" i="6"/>
  <c r="C50" i="6"/>
  <c r="A50" i="6"/>
  <c r="F49" i="6"/>
  <c r="E49" i="6"/>
  <c r="D49" i="6"/>
  <c r="C49" i="6"/>
  <c r="A49" i="6"/>
  <c r="F48" i="6"/>
  <c r="E48" i="6"/>
  <c r="D48" i="6"/>
  <c r="C48" i="6"/>
  <c r="A48" i="6"/>
  <c r="F47" i="6"/>
  <c r="E47" i="6"/>
  <c r="D47" i="6"/>
  <c r="C47" i="6"/>
  <c r="A47" i="6"/>
  <c r="F46" i="6"/>
  <c r="E46" i="6"/>
  <c r="D46" i="6"/>
  <c r="C46" i="6"/>
  <c r="A46" i="6"/>
  <c r="F45" i="6"/>
  <c r="E45" i="6"/>
  <c r="D45" i="6"/>
  <c r="C45" i="6"/>
  <c r="A45" i="6"/>
  <c r="F44" i="6"/>
  <c r="E44" i="6"/>
  <c r="D44" i="6"/>
  <c r="C44" i="6"/>
  <c r="A44" i="6"/>
  <c r="F43" i="6"/>
  <c r="E43" i="6"/>
  <c r="D43" i="6"/>
  <c r="C43" i="6"/>
  <c r="A43" i="6"/>
  <c r="F42" i="6"/>
  <c r="E42" i="6"/>
  <c r="D42" i="6"/>
  <c r="C42" i="6"/>
  <c r="A42" i="6"/>
  <c r="F41" i="6"/>
  <c r="E41" i="6"/>
  <c r="D41" i="6"/>
  <c r="C41" i="6"/>
  <c r="A41" i="6"/>
  <c r="F40" i="6"/>
  <c r="E40" i="6"/>
  <c r="D40" i="6"/>
  <c r="C40" i="6"/>
  <c r="A40" i="6"/>
  <c r="F39" i="6"/>
  <c r="E39" i="6"/>
  <c r="D39" i="6"/>
  <c r="C39" i="6"/>
  <c r="A39" i="6"/>
  <c r="F38" i="6"/>
  <c r="E38" i="6"/>
  <c r="D38" i="6"/>
  <c r="C38" i="6"/>
  <c r="A38" i="6"/>
  <c r="F37" i="6"/>
  <c r="E37" i="6"/>
  <c r="D37" i="6"/>
  <c r="C37" i="6"/>
  <c r="A37" i="6"/>
  <c r="F36" i="6"/>
  <c r="E36" i="6"/>
  <c r="D36" i="6"/>
  <c r="C36" i="6"/>
  <c r="A36" i="6"/>
  <c r="F35" i="6"/>
  <c r="E35" i="6"/>
  <c r="D35" i="6"/>
  <c r="C35" i="6"/>
  <c r="A35" i="6"/>
  <c r="F34" i="6"/>
  <c r="E34" i="6"/>
  <c r="D34" i="6"/>
  <c r="C34" i="6"/>
  <c r="A34" i="6"/>
  <c r="F33" i="6"/>
  <c r="E33" i="6"/>
  <c r="D33" i="6"/>
  <c r="C33" i="6"/>
  <c r="A33" i="6"/>
  <c r="F32" i="6"/>
  <c r="E32" i="6"/>
  <c r="D32" i="6"/>
  <c r="C32" i="6"/>
  <c r="A32" i="6"/>
  <c r="F31" i="6"/>
  <c r="E31" i="6"/>
  <c r="D31" i="6"/>
  <c r="C31" i="6"/>
  <c r="A31" i="6"/>
  <c r="F30" i="6"/>
  <c r="E30" i="6"/>
  <c r="D30" i="6"/>
  <c r="C30" i="6"/>
  <c r="A30" i="6"/>
  <c r="F29" i="6"/>
  <c r="E29" i="6"/>
  <c r="D29" i="6"/>
  <c r="C29" i="6"/>
  <c r="A29" i="6"/>
  <c r="F28" i="6"/>
  <c r="E28" i="6"/>
  <c r="D28" i="6"/>
  <c r="C28" i="6"/>
  <c r="A28" i="6"/>
  <c r="F27" i="6"/>
  <c r="E27" i="6"/>
  <c r="D27" i="6"/>
  <c r="C27" i="6"/>
  <c r="A27" i="6"/>
  <c r="F26" i="6"/>
  <c r="E26" i="6"/>
  <c r="D26" i="6"/>
  <c r="C26" i="6"/>
  <c r="A26" i="6"/>
  <c r="F25" i="6"/>
  <c r="E25" i="6"/>
  <c r="D25" i="6"/>
  <c r="C25" i="6"/>
  <c r="A25" i="6"/>
  <c r="F24" i="6"/>
  <c r="E24" i="6"/>
  <c r="D24" i="6"/>
  <c r="C24" i="6"/>
  <c r="A24" i="6"/>
  <c r="F23" i="6"/>
  <c r="E23" i="6"/>
  <c r="D23" i="6"/>
  <c r="C23" i="6"/>
  <c r="A23" i="6"/>
  <c r="F22" i="6"/>
  <c r="E22" i="6"/>
  <c r="D22" i="6"/>
  <c r="C22" i="6"/>
  <c r="A22" i="6"/>
  <c r="F21" i="6"/>
  <c r="E21" i="6"/>
  <c r="D21" i="6"/>
  <c r="C21" i="6"/>
  <c r="A21" i="6"/>
  <c r="F20" i="6"/>
  <c r="E20" i="6"/>
  <c r="D20" i="6"/>
  <c r="C20" i="6"/>
  <c r="A20" i="6"/>
  <c r="F19" i="6"/>
  <c r="E19" i="6"/>
  <c r="D19" i="6"/>
  <c r="C19" i="6"/>
  <c r="A19" i="6"/>
  <c r="F18" i="6"/>
  <c r="E18" i="6"/>
  <c r="D18" i="6"/>
  <c r="C18" i="6"/>
  <c r="A18" i="6"/>
  <c r="F17" i="6"/>
  <c r="E17" i="6"/>
  <c r="D17" i="6"/>
  <c r="C17" i="6"/>
  <c r="A17" i="6"/>
  <c r="F16" i="6"/>
  <c r="E16" i="6"/>
  <c r="D16" i="6"/>
  <c r="C16" i="6"/>
  <c r="A16" i="6"/>
  <c r="F15" i="6"/>
  <c r="E15" i="6"/>
  <c r="D15" i="6"/>
  <c r="C15" i="6"/>
  <c r="A15" i="6"/>
  <c r="F14" i="6"/>
  <c r="E14" i="6"/>
  <c r="D14" i="6"/>
  <c r="C14" i="6"/>
  <c r="A14" i="6"/>
  <c r="F13" i="6"/>
  <c r="E13" i="6"/>
  <c r="D13" i="6"/>
  <c r="C13" i="6"/>
  <c r="A13" i="6"/>
  <c r="F12" i="6"/>
  <c r="E12" i="6"/>
  <c r="D12" i="6"/>
  <c r="C12" i="6"/>
  <c r="A12" i="6"/>
  <c r="F11" i="6"/>
  <c r="E11" i="6"/>
  <c r="D11" i="6"/>
  <c r="C11" i="6"/>
  <c r="A11" i="6"/>
  <c r="F10" i="6"/>
  <c r="E10" i="6"/>
  <c r="D10" i="6"/>
  <c r="C10" i="6"/>
  <c r="A10" i="6"/>
  <c r="F9" i="6"/>
  <c r="E9" i="6"/>
  <c r="D9" i="6"/>
  <c r="C9" i="6"/>
  <c r="A9" i="6"/>
  <c r="F8" i="6"/>
  <c r="E8" i="6"/>
  <c r="D8" i="6"/>
  <c r="C8" i="6"/>
  <c r="A8" i="6"/>
  <c r="F7" i="6"/>
  <c r="E7" i="6"/>
  <c r="D7" i="6"/>
  <c r="C7" i="6"/>
  <c r="A7" i="6"/>
  <c r="F6" i="6"/>
  <c r="E6" i="6"/>
  <c r="D6" i="6"/>
  <c r="C6" i="6"/>
  <c r="A6" i="6"/>
  <c r="F5" i="6"/>
  <c r="E5" i="6"/>
  <c r="D5" i="6"/>
  <c r="C5" i="6"/>
  <c r="A5" i="6"/>
  <c r="E4" i="6"/>
  <c r="D4" i="6"/>
  <c r="C4" i="6"/>
  <c r="A4" i="6"/>
  <c r="E3" i="6"/>
  <c r="D3" i="6"/>
  <c r="C3" i="6"/>
  <c r="A3" i="6"/>
  <c r="E2" i="6"/>
  <c r="D2" i="6"/>
  <c r="C2" i="6"/>
  <c r="A2" i="6"/>
  <c r="G41" i="5"/>
  <c r="B15" i="5"/>
  <c r="H14" i="5"/>
  <c r="F41" i="5" s="1"/>
  <c r="F6" i="5"/>
  <c r="E5" i="5"/>
  <c r="E4" i="5"/>
  <c r="C4" i="5"/>
  <c r="B4" i="5"/>
  <c r="E3" i="5"/>
  <c r="C3" i="5"/>
  <c r="B3" i="5"/>
  <c r="C2" i="5"/>
  <c r="B2" i="5"/>
  <c r="D99" i="4"/>
  <c r="C99" i="4"/>
  <c r="D98" i="4"/>
  <c r="C98" i="4"/>
  <c r="B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C97" i="3"/>
  <c r="A97" i="3"/>
  <c r="C96" i="3"/>
  <c r="A96" i="3"/>
  <c r="C95" i="3"/>
  <c r="A95" i="3"/>
  <c r="C94" i="3"/>
  <c r="A94" i="3"/>
  <c r="C93" i="3"/>
  <c r="A93" i="3"/>
  <c r="C92" i="3"/>
  <c r="A92" i="3"/>
  <c r="C91" i="3"/>
  <c r="A91" i="3"/>
  <c r="C90" i="3"/>
  <c r="A90" i="3"/>
  <c r="C89" i="3"/>
  <c r="A89" i="3"/>
  <c r="C88" i="3"/>
  <c r="A88" i="3"/>
  <c r="C87" i="3"/>
  <c r="A87" i="3"/>
  <c r="C86" i="3"/>
  <c r="A86" i="3"/>
  <c r="C85" i="3"/>
  <c r="A85" i="3"/>
  <c r="C84" i="3"/>
  <c r="A84" i="3"/>
  <c r="C83" i="3"/>
  <c r="A83" i="3"/>
  <c r="C82" i="3"/>
  <c r="A82" i="3"/>
  <c r="C81" i="3"/>
  <c r="A81" i="3"/>
  <c r="C80" i="3"/>
  <c r="A80" i="3"/>
  <c r="C79" i="3"/>
  <c r="A79" i="3"/>
  <c r="C78" i="3"/>
  <c r="A78" i="3"/>
  <c r="C77" i="3"/>
  <c r="A77" i="3"/>
  <c r="C76" i="3"/>
  <c r="A76" i="3"/>
  <c r="C75" i="3"/>
  <c r="A75" i="3"/>
  <c r="C74" i="3"/>
  <c r="A74" i="3"/>
  <c r="C73" i="3"/>
  <c r="A73" i="3"/>
  <c r="C72" i="3"/>
  <c r="A72" i="3"/>
  <c r="C71" i="3"/>
  <c r="A71" i="3"/>
  <c r="C70" i="3"/>
  <c r="A70" i="3"/>
  <c r="C69" i="3"/>
  <c r="A69" i="3"/>
  <c r="C68" i="3"/>
  <c r="A68" i="3"/>
  <c r="C67" i="3"/>
  <c r="A67" i="3"/>
  <c r="C66" i="3"/>
  <c r="A66" i="3"/>
  <c r="C65" i="3"/>
  <c r="A65" i="3"/>
  <c r="C64" i="3"/>
  <c r="A64" i="3"/>
  <c r="C63" i="3"/>
  <c r="A63" i="3"/>
  <c r="C62" i="3"/>
  <c r="A62" i="3"/>
  <c r="C61" i="3"/>
  <c r="A61" i="3"/>
  <c r="C60" i="3"/>
  <c r="A60" i="3"/>
  <c r="C59" i="3"/>
  <c r="A59" i="3"/>
  <c r="C58" i="3"/>
  <c r="A58" i="3"/>
  <c r="C57" i="3"/>
  <c r="A57" i="3"/>
  <c r="C56" i="3"/>
  <c r="A56" i="3"/>
  <c r="C55" i="3"/>
  <c r="A55" i="3"/>
  <c r="C54" i="3"/>
  <c r="A54" i="3"/>
  <c r="C53" i="3"/>
  <c r="A53" i="3"/>
  <c r="C52" i="3"/>
  <c r="A52" i="3"/>
  <c r="C51" i="3"/>
  <c r="A51" i="3"/>
  <c r="C50" i="3"/>
  <c r="A50" i="3"/>
  <c r="C49" i="3"/>
  <c r="A49" i="3"/>
  <c r="C48" i="3"/>
  <c r="A48" i="3"/>
  <c r="C47" i="3"/>
  <c r="A47" i="3"/>
  <c r="C46" i="3"/>
  <c r="A46" i="3"/>
  <c r="C45" i="3"/>
  <c r="A45" i="3"/>
  <c r="C44" i="3"/>
  <c r="A44" i="3"/>
  <c r="C43" i="3"/>
  <c r="A43" i="3"/>
  <c r="C42" i="3"/>
  <c r="A42" i="3"/>
  <c r="C41" i="3"/>
  <c r="A41" i="3"/>
  <c r="C40" i="3"/>
  <c r="A40" i="3"/>
  <c r="C39" i="3"/>
  <c r="A39" i="3"/>
  <c r="C38" i="3"/>
  <c r="A38" i="3"/>
  <c r="C37" i="3"/>
  <c r="A37" i="3"/>
  <c r="C36" i="3"/>
  <c r="A36" i="3"/>
  <c r="C35" i="3"/>
  <c r="A35" i="3"/>
  <c r="C34" i="3"/>
  <c r="A34" i="3"/>
  <c r="C33" i="3"/>
  <c r="A33" i="3"/>
  <c r="C32" i="3"/>
  <c r="A32" i="3"/>
  <c r="C31" i="3"/>
  <c r="A31" i="3"/>
  <c r="C30" i="3"/>
  <c r="A30" i="3"/>
  <c r="C29" i="3"/>
  <c r="A29" i="3"/>
  <c r="C28" i="3"/>
  <c r="A28" i="3"/>
  <c r="C27" i="3"/>
  <c r="A27" i="3"/>
  <c r="C26" i="3"/>
  <c r="A26" i="3"/>
  <c r="C25" i="3"/>
  <c r="A25" i="3"/>
  <c r="C24" i="3"/>
  <c r="A24" i="3"/>
  <c r="C23" i="3"/>
  <c r="A23" i="3"/>
  <c r="C22" i="3"/>
  <c r="A22" i="3"/>
  <c r="C21" i="3"/>
  <c r="A21" i="3"/>
  <c r="C20" i="3"/>
  <c r="A20" i="3"/>
  <c r="C19" i="3"/>
  <c r="A19" i="3"/>
  <c r="C18" i="3"/>
  <c r="A18" i="3"/>
  <c r="C17" i="3"/>
  <c r="A17" i="3"/>
  <c r="C16" i="3"/>
  <c r="A16" i="3"/>
  <c r="C15" i="3"/>
  <c r="A15" i="3"/>
  <c r="C14" i="3"/>
  <c r="A14" i="3"/>
  <c r="C13" i="3"/>
  <c r="A13" i="3"/>
  <c r="C12" i="3"/>
  <c r="A12" i="3"/>
  <c r="C11" i="3"/>
  <c r="A11" i="3"/>
  <c r="C10" i="3"/>
  <c r="A10" i="3"/>
  <c r="C9" i="3"/>
  <c r="A9" i="3"/>
  <c r="C8" i="3"/>
  <c r="A8" i="3"/>
  <c r="C7" i="3"/>
  <c r="A7" i="3"/>
  <c r="C6" i="3"/>
  <c r="A6" i="3"/>
  <c r="C5" i="3"/>
  <c r="A5" i="3"/>
  <c r="A4" i="3"/>
  <c r="G3" i="3"/>
  <c r="C3" i="3"/>
  <c r="A3" i="3"/>
  <c r="G2" i="3"/>
  <c r="B2" i="3" a="1"/>
  <c r="B2" i="3" s="1"/>
  <c r="C2" i="3" s="1"/>
  <c r="F3" i="3" s="1"/>
  <c r="A2" i="3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D2" i="2"/>
  <c r="C2" i="2"/>
  <c r="A2" i="2"/>
  <c r="I8" i="5" l="1"/>
  <c r="L97" i="4"/>
  <c r="E97" i="4"/>
  <c r="K97" i="4"/>
  <c r="H97" i="4" a="1"/>
  <c r="H97" i="4" s="1"/>
  <c r="K96" i="4"/>
  <c r="H96" i="4" a="1"/>
  <c r="H96" i="4" s="1"/>
  <c r="K95" i="4"/>
  <c r="H95" i="4" a="1"/>
  <c r="H95" i="4" s="1"/>
  <c r="K94" i="4"/>
  <c r="H94" i="4" a="1"/>
  <c r="H94" i="4" s="1"/>
  <c r="K93" i="4"/>
  <c r="H93" i="4" a="1"/>
  <c r="H93" i="4" s="1"/>
  <c r="K92" i="4"/>
  <c r="H92" i="4" a="1"/>
  <c r="H92" i="4" s="1"/>
  <c r="K91" i="4"/>
  <c r="H91" i="4" a="1"/>
  <c r="H91" i="4" s="1"/>
  <c r="K90" i="4"/>
  <c r="H90" i="4" a="1"/>
  <c r="H90" i="4" s="1"/>
  <c r="N97" i="4"/>
  <c r="J97" i="4"/>
  <c r="G97" i="4"/>
  <c r="N96" i="4"/>
  <c r="J96" i="4"/>
  <c r="G96" i="4"/>
  <c r="N95" i="4"/>
  <c r="J95" i="4"/>
  <c r="G95" i="4"/>
  <c r="N94" i="4"/>
  <c r="J94" i="4"/>
  <c r="G94" i="4"/>
  <c r="N93" i="4"/>
  <c r="J93" i="4"/>
  <c r="G93" i="4"/>
  <c r="N92" i="4"/>
  <c r="J92" i="4"/>
  <c r="G92" i="4"/>
  <c r="N91" i="4"/>
  <c r="J91" i="4"/>
  <c r="G91" i="4"/>
  <c r="N90" i="4"/>
  <c r="J90" i="4"/>
  <c r="G90" i="4"/>
  <c r="N89" i="4"/>
  <c r="J89" i="4"/>
  <c r="G89" i="4"/>
  <c r="N88" i="4"/>
  <c r="J88" i="4"/>
  <c r="G88" i="4"/>
  <c r="N87" i="4"/>
  <c r="J87" i="4"/>
  <c r="G87" i="4"/>
  <c r="N86" i="4"/>
  <c r="J86" i="4"/>
  <c r="G86" i="4"/>
  <c r="N85" i="4"/>
  <c r="J85" i="4"/>
  <c r="G85" i="4"/>
  <c r="N84" i="4"/>
  <c r="J84" i="4"/>
  <c r="G84" i="4"/>
  <c r="N83" i="4"/>
  <c r="J83" i="4"/>
  <c r="G83" i="4"/>
  <c r="N82" i="4"/>
  <c r="J82" i="4"/>
  <c r="G82" i="4"/>
  <c r="N81" i="4"/>
  <c r="J81" i="4"/>
  <c r="G81" i="4"/>
  <c r="N80" i="4"/>
  <c r="J80" i="4"/>
  <c r="G80" i="4"/>
  <c r="N79" i="4"/>
  <c r="J79" i="4"/>
  <c r="G79" i="4"/>
  <c r="N78" i="4"/>
  <c r="J78" i="4"/>
  <c r="G78" i="4"/>
  <c r="N77" i="4"/>
  <c r="J77" i="4"/>
  <c r="G77" i="4"/>
  <c r="N76" i="4"/>
  <c r="J76" i="4"/>
  <c r="G76" i="4"/>
  <c r="N75" i="4"/>
  <c r="J75" i="4"/>
  <c r="G75" i="4"/>
  <c r="N74" i="4"/>
  <c r="J74" i="4"/>
  <c r="G74" i="4"/>
  <c r="N73" i="4"/>
  <c r="J73" i="4"/>
  <c r="G73" i="4"/>
  <c r="N72" i="4"/>
  <c r="I97" i="4"/>
  <c r="L96" i="4"/>
  <c r="E96" i="4"/>
  <c r="I95" i="4"/>
  <c r="M93" i="4"/>
  <c r="F93" i="4"/>
  <c r="L92" i="4"/>
  <c r="E92" i="4"/>
  <c r="I91" i="4"/>
  <c r="M89" i="4"/>
  <c r="I88" i="4"/>
  <c r="E88" i="4"/>
  <c r="K87" i="4"/>
  <c r="F87" i="4"/>
  <c r="L86" i="4"/>
  <c r="H86" i="4" a="1"/>
  <c r="H86" i="4" s="1"/>
  <c r="M85" i="4"/>
  <c r="I84" i="4"/>
  <c r="E84" i="4"/>
  <c r="K83" i="4"/>
  <c r="F83" i="4"/>
  <c r="L82" i="4"/>
  <c r="H82" i="4" a="1"/>
  <c r="H82" i="4" s="1"/>
  <c r="M81" i="4"/>
  <c r="I80" i="4"/>
  <c r="E80" i="4"/>
  <c r="K79" i="4"/>
  <c r="F79" i="4"/>
  <c r="L78" i="4"/>
  <c r="H78" i="4" a="1"/>
  <c r="H78" i="4" s="1"/>
  <c r="M77" i="4"/>
  <c r="I76" i="4"/>
  <c r="E76" i="4"/>
  <c r="K75" i="4"/>
  <c r="F75" i="4"/>
  <c r="L74" i="4"/>
  <c r="H74" i="4" a="1"/>
  <c r="H74" i="4" s="1"/>
  <c r="M73" i="4"/>
  <c r="J72" i="4"/>
  <c r="G72" i="4"/>
  <c r="N71" i="4"/>
  <c r="J71" i="4"/>
  <c r="G71" i="4"/>
  <c r="N70" i="4"/>
  <c r="J70" i="4"/>
  <c r="G70" i="4"/>
  <c r="N69" i="4"/>
  <c r="J69" i="4"/>
  <c r="G69" i="4"/>
  <c r="N68" i="4"/>
  <c r="J68" i="4"/>
  <c r="G68" i="4"/>
  <c r="N67" i="4"/>
  <c r="J67" i="4"/>
  <c r="G67" i="4"/>
  <c r="N66" i="4"/>
  <c r="J66" i="4"/>
  <c r="G66" i="4"/>
  <c r="N65" i="4"/>
  <c r="J65" i="4"/>
  <c r="G65" i="4"/>
  <c r="N64" i="4"/>
  <c r="J64" i="4"/>
  <c r="G64" i="4"/>
  <c r="N63" i="4"/>
  <c r="J63" i="4"/>
  <c r="G63" i="4"/>
  <c r="N62" i="4"/>
  <c r="J62" i="4"/>
  <c r="G62" i="4"/>
  <c r="N61" i="4"/>
  <c r="J61" i="4"/>
  <c r="G61" i="4"/>
  <c r="N60" i="4"/>
  <c r="J60" i="4"/>
  <c r="G60" i="4"/>
  <c r="F97" i="4"/>
  <c r="I96" i="4"/>
  <c r="M94" i="4"/>
  <c r="F94" i="4"/>
  <c r="L93" i="4"/>
  <c r="E93" i="4"/>
  <c r="I92" i="4"/>
  <c r="M90" i="4"/>
  <c r="F90" i="4"/>
  <c r="L89" i="4"/>
  <c r="H89" i="4" a="1"/>
  <c r="H89" i="4" s="1"/>
  <c r="M88" i="4"/>
  <c r="I87" i="4"/>
  <c r="E87" i="4"/>
  <c r="K86" i="4"/>
  <c r="F86" i="4"/>
  <c r="L85" i="4"/>
  <c r="H85" i="4" a="1"/>
  <c r="H85" i="4" s="1"/>
  <c r="M84" i="4"/>
  <c r="I83" i="4"/>
  <c r="E83" i="4"/>
  <c r="K82" i="4"/>
  <c r="F82" i="4"/>
  <c r="L81" i="4"/>
  <c r="H81" i="4" a="1"/>
  <c r="H81" i="4" s="1"/>
  <c r="M80" i="4"/>
  <c r="M95" i="4"/>
  <c r="F95" i="4"/>
  <c r="L94" i="4"/>
  <c r="E94" i="4"/>
  <c r="I93" i="4"/>
  <c r="M91" i="4"/>
  <c r="F91" i="4"/>
  <c r="L90" i="4"/>
  <c r="E90" i="4"/>
  <c r="K89" i="4"/>
  <c r="F89" i="4"/>
  <c r="L88" i="4"/>
  <c r="H88" i="4" a="1"/>
  <c r="H88" i="4" s="1"/>
  <c r="M87" i="4"/>
  <c r="I86" i="4"/>
  <c r="E86" i="4"/>
  <c r="K85" i="4"/>
  <c r="F85" i="4"/>
  <c r="L84" i="4"/>
  <c r="H84" i="4" a="1"/>
  <c r="H84" i="4" s="1"/>
  <c r="M83" i="4"/>
  <c r="I82" i="4"/>
  <c r="E82" i="4"/>
  <c r="K81" i="4"/>
  <c r="F81" i="4"/>
  <c r="L80" i="4"/>
  <c r="H80" i="4" a="1"/>
  <c r="H80" i="4" s="1"/>
  <c r="M79" i="4"/>
  <c r="I78" i="4"/>
  <c r="E78" i="4"/>
  <c r="K77" i="4"/>
  <c r="F77" i="4"/>
  <c r="L76" i="4"/>
  <c r="H76" i="4" a="1"/>
  <c r="H76" i="4" s="1"/>
  <c r="M75" i="4"/>
  <c r="I74" i="4"/>
  <c r="E74" i="4"/>
  <c r="K73" i="4"/>
  <c r="F73" i="4"/>
  <c r="L72" i="4"/>
  <c r="E72" i="4"/>
  <c r="L71" i="4"/>
  <c r="E71" i="4"/>
  <c r="L70" i="4"/>
  <c r="E70" i="4"/>
  <c r="L95" i="4"/>
  <c r="F92" i="4"/>
  <c r="E89" i="4"/>
  <c r="M86" i="4"/>
  <c r="E85" i="4"/>
  <c r="M82" i="4"/>
  <c r="E81" i="4"/>
  <c r="F80" i="4"/>
  <c r="H79" i="4" a="1"/>
  <c r="H79" i="4" s="1"/>
  <c r="K78" i="4"/>
  <c r="L77" i="4"/>
  <c r="F76" i="4"/>
  <c r="H75" i="4" a="1"/>
  <c r="H75" i="4" s="1"/>
  <c r="K74" i="4"/>
  <c r="L73" i="4"/>
  <c r="H72" i="4" a="1"/>
  <c r="H72" i="4" s="1"/>
  <c r="K71" i="4"/>
  <c r="H70" i="4" a="1"/>
  <c r="H70" i="4" s="1"/>
  <c r="L69" i="4"/>
  <c r="H69" i="4" a="1"/>
  <c r="H69" i="4" s="1"/>
  <c r="M68" i="4"/>
  <c r="I67" i="4"/>
  <c r="E67" i="4"/>
  <c r="K66" i="4"/>
  <c r="F66" i="4"/>
  <c r="L65" i="4"/>
  <c r="H65" i="4" a="1"/>
  <c r="H65" i="4" s="1"/>
  <c r="M64" i="4"/>
  <c r="I63" i="4"/>
  <c r="E63" i="4"/>
  <c r="K62" i="4"/>
  <c r="F62" i="4"/>
  <c r="L61" i="4"/>
  <c r="H61" i="4" a="1"/>
  <c r="H61" i="4" s="1"/>
  <c r="M60" i="4"/>
  <c r="K59" i="4"/>
  <c r="H59" i="4" a="1"/>
  <c r="H59" i="4" s="1"/>
  <c r="K58" i="4"/>
  <c r="H58" i="4" a="1"/>
  <c r="H58" i="4" s="1"/>
  <c r="K57" i="4"/>
  <c r="H57" i="4" a="1"/>
  <c r="H57" i="4" s="1"/>
  <c r="K56" i="4"/>
  <c r="H56" i="4" a="1"/>
  <c r="H56" i="4" s="1"/>
  <c r="K55" i="4"/>
  <c r="H55" i="4" a="1"/>
  <c r="H55" i="4" s="1"/>
  <c r="K54" i="4"/>
  <c r="H54" i="4" a="1"/>
  <c r="H54" i="4" s="1"/>
  <c r="K53" i="4"/>
  <c r="H53" i="4" a="1"/>
  <c r="H53" i="4" s="1"/>
  <c r="K52" i="4"/>
  <c r="H52" i="4" a="1"/>
  <c r="H52" i="4" s="1"/>
  <c r="K51" i="4"/>
  <c r="H51" i="4" a="1"/>
  <c r="H51" i="4" s="1"/>
  <c r="K50" i="4"/>
  <c r="H50" i="4" a="1"/>
  <c r="H50" i="4" s="1"/>
  <c r="K49" i="4"/>
  <c r="H49" i="4" a="1"/>
  <c r="H49" i="4" s="1"/>
  <c r="K48" i="4"/>
  <c r="H48" i="4" a="1"/>
  <c r="H48" i="4" s="1"/>
  <c r="K47" i="4"/>
  <c r="H47" i="4" a="1"/>
  <c r="H47" i="4" s="1"/>
  <c r="K46" i="4"/>
  <c r="H46" i="4" a="1"/>
  <c r="H46" i="4" s="1"/>
  <c r="K45" i="4"/>
  <c r="H45" i="4" a="1"/>
  <c r="H45" i="4" s="1"/>
  <c r="K44" i="4"/>
  <c r="H44" i="4" a="1"/>
  <c r="H44" i="4" s="1"/>
  <c r="M96" i="4"/>
  <c r="E95" i="4"/>
  <c r="I90" i="4"/>
  <c r="L87" i="4"/>
  <c r="L83" i="4"/>
  <c r="E79" i="4"/>
  <c r="I77" i="4"/>
  <c r="M76" i="4"/>
  <c r="E75" i="4"/>
  <c r="I73" i="4"/>
  <c r="M72" i="4"/>
  <c r="F72" i="4"/>
  <c r="I71" i="4"/>
  <c r="M70" i="4"/>
  <c r="F70" i="4"/>
  <c r="K69" i="4"/>
  <c r="F69" i="4"/>
  <c r="L68" i="4"/>
  <c r="H68" i="4" a="1"/>
  <c r="H68" i="4" s="1"/>
  <c r="M67" i="4"/>
  <c r="I66" i="4"/>
  <c r="E66" i="4"/>
  <c r="K65" i="4"/>
  <c r="F65" i="4"/>
  <c r="L64" i="4"/>
  <c r="H64" i="4" a="1"/>
  <c r="H64" i="4" s="1"/>
  <c r="M63" i="4"/>
  <c r="I62" i="4"/>
  <c r="E62" i="4"/>
  <c r="K61" i="4"/>
  <c r="F61" i="4"/>
  <c r="L60" i="4"/>
  <c r="H60" i="4" a="1"/>
  <c r="H60" i="4" s="1"/>
  <c r="N59" i="4"/>
  <c r="J59" i="4"/>
  <c r="G59" i="4"/>
  <c r="N58" i="4"/>
  <c r="J58" i="4"/>
  <c r="G58" i="4"/>
  <c r="N57" i="4"/>
  <c r="J57" i="4"/>
  <c r="G57" i="4"/>
  <c r="N56" i="4"/>
  <c r="J56" i="4"/>
  <c r="G56" i="4"/>
  <c r="N55" i="4"/>
  <c r="J55" i="4"/>
  <c r="G55" i="4"/>
  <c r="N54" i="4"/>
  <c r="J54" i="4"/>
  <c r="G54" i="4"/>
  <c r="N53" i="4"/>
  <c r="J53" i="4"/>
  <c r="G53" i="4"/>
  <c r="N52" i="4"/>
  <c r="J52" i="4"/>
  <c r="G52" i="4"/>
  <c r="N51" i="4"/>
  <c r="J51" i="4"/>
  <c r="G51" i="4"/>
  <c r="N50" i="4"/>
  <c r="J50" i="4"/>
  <c r="G50" i="4"/>
  <c r="N49" i="4"/>
  <c r="J49" i="4"/>
  <c r="G49" i="4"/>
  <c r="N48" i="4"/>
  <c r="J48" i="4"/>
  <c r="G48" i="4"/>
  <c r="N47" i="4"/>
  <c r="J47" i="4"/>
  <c r="G47" i="4"/>
  <c r="N46" i="4"/>
  <c r="J46" i="4"/>
  <c r="G46" i="4"/>
  <c r="N45" i="4"/>
  <c r="J45" i="4"/>
  <c r="G45" i="4"/>
  <c r="F96" i="4"/>
  <c r="L91" i="4"/>
  <c r="K88" i="4"/>
  <c r="H87" i="4" a="1"/>
  <c r="H87" i="4" s="1"/>
  <c r="K84" i="4"/>
  <c r="H83" i="4" a="1"/>
  <c r="H83" i="4" s="1"/>
  <c r="K80" i="4"/>
  <c r="L79" i="4"/>
  <c r="F78" i="4"/>
  <c r="H77" i="4" a="1"/>
  <c r="H77" i="4" s="1"/>
  <c r="K76" i="4"/>
  <c r="L75" i="4"/>
  <c r="F74" i="4"/>
  <c r="H73" i="4" a="1"/>
  <c r="H73" i="4" s="1"/>
  <c r="K72" i="4"/>
  <c r="H71" i="4" a="1"/>
  <c r="H71" i="4" s="1"/>
  <c r="K70" i="4"/>
  <c r="I69" i="4"/>
  <c r="E69" i="4"/>
  <c r="K68" i="4"/>
  <c r="F68" i="4"/>
  <c r="L67" i="4"/>
  <c r="H67" i="4" a="1"/>
  <c r="H67" i="4" s="1"/>
  <c r="M66" i="4"/>
  <c r="I65" i="4"/>
  <c r="E65" i="4"/>
  <c r="K64" i="4"/>
  <c r="F64" i="4"/>
  <c r="L63" i="4"/>
  <c r="H63" i="4" a="1"/>
  <c r="H63" i="4" s="1"/>
  <c r="M62" i="4"/>
  <c r="I61" i="4"/>
  <c r="E61" i="4"/>
  <c r="K60" i="4"/>
  <c r="F60" i="4"/>
  <c r="M59" i="4"/>
  <c r="I59" i="4"/>
  <c r="F59" i="4"/>
  <c r="M58" i="4"/>
  <c r="I58" i="4"/>
  <c r="F58" i="4"/>
  <c r="M57" i="4"/>
  <c r="I57" i="4"/>
  <c r="F57" i="4"/>
  <c r="M56" i="4"/>
  <c r="I56" i="4"/>
  <c r="F56" i="4"/>
  <c r="M55" i="4"/>
  <c r="I55" i="4"/>
  <c r="F55" i="4"/>
  <c r="M54" i="4"/>
  <c r="I54" i="4"/>
  <c r="F54" i="4"/>
  <c r="M53" i="4"/>
  <c r="I53" i="4"/>
  <c r="F53" i="4"/>
  <c r="M52" i="4"/>
  <c r="I52" i="4"/>
  <c r="F52" i="4"/>
  <c r="M51" i="4"/>
  <c r="I51" i="4"/>
  <c r="F51" i="4"/>
  <c r="M50" i="4"/>
  <c r="I50" i="4"/>
  <c r="F50" i="4"/>
  <c r="M49" i="4"/>
  <c r="I49" i="4"/>
  <c r="F49" i="4"/>
  <c r="M48" i="4"/>
  <c r="I48" i="4"/>
  <c r="F48" i="4"/>
  <c r="M47" i="4"/>
  <c r="I47" i="4"/>
  <c r="F47" i="4"/>
  <c r="M46" i="4"/>
  <c r="I46" i="4"/>
  <c r="F46" i="4"/>
  <c r="M45" i="4"/>
  <c r="I45" i="4"/>
  <c r="F45" i="4"/>
  <c r="M44" i="4"/>
  <c r="I44" i="4"/>
  <c r="M92" i="4"/>
  <c r="I70" i="4"/>
  <c r="K67" i="4"/>
  <c r="H66" i="4" a="1"/>
  <c r="H66" i="4" s="1"/>
  <c r="K63" i="4"/>
  <c r="H62" i="4" a="1"/>
  <c r="H62" i="4" s="1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N44" i="4"/>
  <c r="G44" i="4"/>
  <c r="N43" i="4"/>
  <c r="J43" i="4"/>
  <c r="G43" i="4"/>
  <c r="N42" i="4"/>
  <c r="J42" i="4"/>
  <c r="G42" i="4"/>
  <c r="N41" i="4"/>
  <c r="J41" i="4"/>
  <c r="G41" i="4"/>
  <c r="N40" i="4"/>
  <c r="J40" i="4"/>
  <c r="G40" i="4"/>
  <c r="N39" i="4"/>
  <c r="J39" i="4"/>
  <c r="G39" i="4"/>
  <c r="N38" i="4"/>
  <c r="J38" i="4"/>
  <c r="G38" i="4"/>
  <c r="N37" i="4"/>
  <c r="J37" i="4"/>
  <c r="G37" i="4"/>
  <c r="N36" i="4"/>
  <c r="J36" i="4"/>
  <c r="G36" i="4"/>
  <c r="N35" i="4"/>
  <c r="J35" i="4"/>
  <c r="G35" i="4"/>
  <c r="N34" i="4"/>
  <c r="J34" i="4"/>
  <c r="G34" i="4"/>
  <c r="N33" i="4"/>
  <c r="J33" i="4"/>
  <c r="G33" i="4"/>
  <c r="N32" i="4"/>
  <c r="J32" i="4"/>
  <c r="G32" i="4"/>
  <c r="N31" i="4"/>
  <c r="J31" i="4"/>
  <c r="G31" i="4"/>
  <c r="N30" i="4"/>
  <c r="J30" i="4"/>
  <c r="G30" i="4"/>
  <c r="N29" i="4"/>
  <c r="J29" i="4"/>
  <c r="G29" i="4"/>
  <c r="N28" i="4"/>
  <c r="J28" i="4"/>
  <c r="G28" i="4"/>
  <c r="N27" i="4"/>
  <c r="J27" i="4"/>
  <c r="G27" i="4"/>
  <c r="N26" i="4"/>
  <c r="J26" i="4"/>
  <c r="G26" i="4"/>
  <c r="N25" i="4"/>
  <c r="J25" i="4"/>
  <c r="G25" i="4"/>
  <c r="N24" i="4"/>
  <c r="J24" i="4"/>
  <c r="G24" i="4"/>
  <c r="N23" i="4"/>
  <c r="J23" i="4"/>
  <c r="G23" i="4"/>
  <c r="N22" i="4"/>
  <c r="J22" i="4"/>
  <c r="G22" i="4"/>
  <c r="N21" i="4"/>
  <c r="J21" i="4"/>
  <c r="G21" i="4"/>
  <c r="N20" i="4"/>
  <c r="J20" i="4"/>
  <c r="G20" i="4"/>
  <c r="N19" i="4"/>
  <c r="J19" i="4"/>
  <c r="G19" i="4"/>
  <c r="N18" i="4"/>
  <c r="J18" i="4"/>
  <c r="G18" i="4"/>
  <c r="N17" i="4"/>
  <c r="J17" i="4"/>
  <c r="G17" i="4"/>
  <c r="N16" i="4"/>
  <c r="J16" i="4"/>
  <c r="G16" i="4"/>
  <c r="N15" i="4"/>
  <c r="J15" i="4"/>
  <c r="G15" i="4"/>
  <c r="N14" i="4"/>
  <c r="J14" i="4"/>
  <c r="G14" i="4"/>
  <c r="N13" i="4"/>
  <c r="J13" i="4"/>
  <c r="G13" i="4"/>
  <c r="N12" i="4"/>
  <c r="J12" i="4"/>
  <c r="G12" i="4"/>
  <c r="N11" i="4"/>
  <c r="J11" i="4"/>
  <c r="G11" i="4"/>
  <c r="N10" i="4"/>
  <c r="J10" i="4"/>
  <c r="G10" i="4"/>
  <c r="N9" i="4"/>
  <c r="J9" i="4"/>
  <c r="G9" i="4"/>
  <c r="N8" i="4"/>
  <c r="J8" i="4"/>
  <c r="G8" i="4"/>
  <c r="N7" i="4"/>
  <c r="J7" i="4"/>
  <c r="G7" i="4"/>
  <c r="N6" i="4"/>
  <c r="J6" i="4"/>
  <c r="G6" i="4"/>
  <c r="N5" i="4"/>
  <c r="J5" i="4"/>
  <c r="G5" i="4"/>
  <c r="N4" i="4"/>
  <c r="J4" i="4"/>
  <c r="G4" i="4"/>
  <c r="N3" i="4"/>
  <c r="J3" i="4"/>
  <c r="G3" i="4"/>
  <c r="F6" i="4"/>
  <c r="E56" i="4"/>
  <c r="L36" i="4"/>
  <c r="E35" i="4"/>
  <c r="L33" i="4"/>
  <c r="E33" i="4"/>
  <c r="L31" i="4"/>
  <c r="E31" i="4"/>
  <c r="L29" i="4"/>
  <c r="E29" i="4"/>
  <c r="E27" i="4"/>
  <c r="L25" i="4"/>
  <c r="E25" i="4"/>
  <c r="L23" i="4"/>
  <c r="M97" i="4"/>
  <c r="I94" i="4"/>
  <c r="I89" i="4"/>
  <c r="F84" i="4"/>
  <c r="I81" i="4"/>
  <c r="I79" i="4"/>
  <c r="E77" i="4"/>
  <c r="I75" i="4"/>
  <c r="E73" i="4"/>
  <c r="M71" i="4"/>
  <c r="I68" i="4"/>
  <c r="F67" i="4"/>
  <c r="I64" i="4"/>
  <c r="F63" i="4"/>
  <c r="I60" i="4"/>
  <c r="L44" i="4"/>
  <c r="F44" i="4"/>
  <c r="M43" i="4"/>
  <c r="I43" i="4"/>
  <c r="F43" i="4"/>
  <c r="M42" i="4"/>
  <c r="I42" i="4"/>
  <c r="F42" i="4"/>
  <c r="M41" i="4"/>
  <c r="I41" i="4"/>
  <c r="F41" i="4"/>
  <c r="M40" i="4"/>
  <c r="I40" i="4"/>
  <c r="F40" i="4"/>
  <c r="M39" i="4"/>
  <c r="I39" i="4"/>
  <c r="F39" i="4"/>
  <c r="M38" i="4"/>
  <c r="I38" i="4"/>
  <c r="F38" i="4"/>
  <c r="M37" i="4"/>
  <c r="I37" i="4"/>
  <c r="F37" i="4"/>
  <c r="M36" i="4"/>
  <c r="I36" i="4"/>
  <c r="F36" i="4"/>
  <c r="M35" i="4"/>
  <c r="I35" i="4"/>
  <c r="F35" i="4"/>
  <c r="M34" i="4"/>
  <c r="I34" i="4"/>
  <c r="F34" i="4"/>
  <c r="M33" i="4"/>
  <c r="I33" i="4"/>
  <c r="F33" i="4"/>
  <c r="M32" i="4"/>
  <c r="I32" i="4"/>
  <c r="F32" i="4"/>
  <c r="M31" i="4"/>
  <c r="I31" i="4"/>
  <c r="F31" i="4"/>
  <c r="M30" i="4"/>
  <c r="I30" i="4"/>
  <c r="F30" i="4"/>
  <c r="M29" i="4"/>
  <c r="I29" i="4"/>
  <c r="F29" i="4"/>
  <c r="M28" i="4"/>
  <c r="I28" i="4"/>
  <c r="F28" i="4"/>
  <c r="M27" i="4"/>
  <c r="I27" i="4"/>
  <c r="F27" i="4"/>
  <c r="M26" i="4"/>
  <c r="I26" i="4"/>
  <c r="F26" i="4"/>
  <c r="M25" i="4"/>
  <c r="I25" i="4"/>
  <c r="F25" i="4"/>
  <c r="M24" i="4"/>
  <c r="I24" i="4"/>
  <c r="F24" i="4"/>
  <c r="M23" i="4"/>
  <c r="I23" i="4"/>
  <c r="F23" i="4"/>
  <c r="M22" i="4"/>
  <c r="I22" i="4"/>
  <c r="F22" i="4"/>
  <c r="M21" i="4"/>
  <c r="I21" i="4"/>
  <c r="F21" i="4"/>
  <c r="M20" i="4"/>
  <c r="I20" i="4"/>
  <c r="F20" i="4"/>
  <c r="M19" i="4"/>
  <c r="I19" i="4"/>
  <c r="F19" i="4"/>
  <c r="M18" i="4"/>
  <c r="I18" i="4"/>
  <c r="F18" i="4"/>
  <c r="M17" i="4"/>
  <c r="I17" i="4"/>
  <c r="F17" i="4"/>
  <c r="M16" i="4"/>
  <c r="I16" i="4"/>
  <c r="F16" i="4"/>
  <c r="M15" i="4"/>
  <c r="I15" i="4"/>
  <c r="F15" i="4"/>
  <c r="M14" i="4"/>
  <c r="I14" i="4"/>
  <c r="F14" i="4"/>
  <c r="M13" i="4"/>
  <c r="I13" i="4"/>
  <c r="F13" i="4"/>
  <c r="M12" i="4"/>
  <c r="I12" i="4"/>
  <c r="F12" i="4"/>
  <c r="M11" i="4"/>
  <c r="I11" i="4"/>
  <c r="F11" i="4"/>
  <c r="M10" i="4"/>
  <c r="I10" i="4"/>
  <c r="F10" i="4"/>
  <c r="M9" i="4"/>
  <c r="I9" i="4"/>
  <c r="F9" i="4"/>
  <c r="M8" i="4"/>
  <c r="I8" i="4"/>
  <c r="F8" i="4"/>
  <c r="M7" i="4"/>
  <c r="I7" i="4"/>
  <c r="F7" i="4"/>
  <c r="M6" i="4"/>
  <c r="I6" i="4"/>
  <c r="M5" i="4"/>
  <c r="I5" i="4"/>
  <c r="F5" i="4"/>
  <c r="M4" i="4"/>
  <c r="I4" i="4"/>
  <c r="F4" i="4"/>
  <c r="M3" i="4"/>
  <c r="I3" i="4"/>
  <c r="F3" i="4"/>
  <c r="E46" i="4"/>
  <c r="L27" i="4"/>
  <c r="E91" i="4"/>
  <c r="F71" i="4"/>
  <c r="M69" i="4"/>
  <c r="E68" i="4"/>
  <c r="M65" i="4"/>
  <c r="E64" i="4"/>
  <c r="M61" i="4"/>
  <c r="E60" i="4"/>
  <c r="E59" i="4"/>
  <c r="E58" i="4"/>
  <c r="E57" i="4"/>
  <c r="E55" i="4"/>
  <c r="E54" i="4"/>
  <c r="E53" i="4"/>
  <c r="E52" i="4"/>
  <c r="E51" i="4"/>
  <c r="E50" i="4"/>
  <c r="E49" i="4"/>
  <c r="E48" i="4"/>
  <c r="E47" i="4"/>
  <c r="E45" i="4"/>
  <c r="J44" i="4"/>
  <c r="E44" i="4"/>
  <c r="L43" i="4"/>
  <c r="E43" i="4"/>
  <c r="L42" i="4"/>
  <c r="E42" i="4"/>
  <c r="L41" i="4"/>
  <c r="E41" i="4"/>
  <c r="L40" i="4"/>
  <c r="E40" i="4"/>
  <c r="L39" i="4"/>
  <c r="E39" i="4"/>
  <c r="L38" i="4"/>
  <c r="E38" i="4"/>
  <c r="L37" i="4"/>
  <c r="E37" i="4"/>
  <c r="E36" i="4"/>
  <c r="L35" i="4"/>
  <c r="L34" i="4"/>
  <c r="E34" i="4"/>
  <c r="L32" i="4"/>
  <c r="E32" i="4"/>
  <c r="L30" i="4"/>
  <c r="E30" i="4"/>
  <c r="L28" i="4"/>
  <c r="E28" i="4"/>
  <c r="L26" i="4"/>
  <c r="E26" i="4"/>
  <c r="L24" i="4"/>
  <c r="E24" i="4"/>
  <c r="E23" i="4"/>
  <c r="E4" i="4"/>
  <c r="E6" i="4"/>
  <c r="E8" i="4"/>
  <c r="L10" i="4"/>
  <c r="E12" i="4"/>
  <c r="E14" i="4"/>
  <c r="E16" i="4"/>
  <c r="L18" i="4"/>
  <c r="E20" i="4"/>
  <c r="L22" i="4"/>
  <c r="H26" i="4" a="1"/>
  <c r="H26" i="4" s="1"/>
  <c r="K27" i="4"/>
  <c r="K31" i="4"/>
  <c r="H38" i="4" a="1"/>
  <c r="H38" i="4" s="1"/>
  <c r="K39" i="4"/>
  <c r="K43" i="4"/>
  <c r="K3" i="4"/>
  <c r="H4" i="4" a="1"/>
  <c r="H4" i="4" s="1"/>
  <c r="K5" i="4"/>
  <c r="H6" i="4" a="1"/>
  <c r="H6" i="4" s="1"/>
  <c r="K7" i="4"/>
  <c r="H8" i="4" a="1"/>
  <c r="H8" i="4" s="1"/>
  <c r="K9" i="4"/>
  <c r="H10" i="4" a="1"/>
  <c r="H10" i="4" s="1"/>
  <c r="K11" i="4"/>
  <c r="H12" i="4" a="1"/>
  <c r="H12" i="4" s="1"/>
  <c r="K13" i="4"/>
  <c r="H14" i="4" a="1"/>
  <c r="H14" i="4" s="1"/>
  <c r="K15" i="4"/>
  <c r="H16" i="4" a="1"/>
  <c r="H16" i="4" s="1"/>
  <c r="K17" i="4"/>
  <c r="H18" i="4" a="1"/>
  <c r="H18" i="4" s="1"/>
  <c r="K19" i="4"/>
  <c r="H20" i="4" a="1"/>
  <c r="H20" i="4" s="1"/>
  <c r="K21" i="4"/>
  <c r="H22" i="4" a="1"/>
  <c r="H22" i="4" s="1"/>
  <c r="H25" i="4" a="1"/>
  <c r="H25" i="4" s="1"/>
  <c r="K26" i="4"/>
  <c r="H29" i="4" a="1"/>
  <c r="H29" i="4" s="1"/>
  <c r="K30" i="4"/>
  <c r="H33" i="4" a="1"/>
  <c r="H33" i="4" s="1"/>
  <c r="K34" i="4"/>
  <c r="H37" i="4" a="1"/>
  <c r="H37" i="4" s="1"/>
  <c r="K38" i="4"/>
  <c r="H41" i="4" a="1"/>
  <c r="H41" i="4" s="1"/>
  <c r="K42" i="4"/>
  <c r="M78" i="4"/>
  <c r="L6" i="4"/>
  <c r="L14" i="4"/>
  <c r="E3" i="4"/>
  <c r="L3" i="4"/>
  <c r="E5" i="4"/>
  <c r="L5" i="4"/>
  <c r="E7" i="4"/>
  <c r="L7" i="4"/>
  <c r="E9" i="4"/>
  <c r="L9" i="4"/>
  <c r="E11" i="4"/>
  <c r="L11" i="4"/>
  <c r="E13" i="4"/>
  <c r="L13" i="4"/>
  <c r="E15" i="4"/>
  <c r="L15" i="4"/>
  <c r="E17" i="4"/>
  <c r="L17" i="4"/>
  <c r="E19" i="4"/>
  <c r="L19" i="4"/>
  <c r="E21" i="4"/>
  <c r="L21" i="4"/>
  <c r="H23" i="4" a="1"/>
  <c r="H23" i="4" s="1"/>
  <c r="H24" i="4" a="1"/>
  <c r="H24" i="4" s="1"/>
  <c r="K25" i="4"/>
  <c r="H28" i="4" a="1"/>
  <c r="H28" i="4" s="1"/>
  <c r="K29" i="4"/>
  <c r="H32" i="4" a="1"/>
  <c r="H32" i="4" s="1"/>
  <c r="K33" i="4"/>
  <c r="H36" i="4" a="1"/>
  <c r="H36" i="4" s="1"/>
  <c r="K37" i="4"/>
  <c r="H40" i="4" a="1"/>
  <c r="H40" i="4" s="1"/>
  <c r="K41" i="4"/>
  <c r="L62" i="4"/>
  <c r="I85" i="4"/>
  <c r="F88" i="4"/>
  <c r="L4" i="4"/>
  <c r="L8" i="4"/>
  <c r="E10" i="4"/>
  <c r="L12" i="4"/>
  <c r="L16" i="4"/>
  <c r="E18" i="4"/>
  <c r="L20" i="4"/>
  <c r="E22" i="4"/>
  <c r="K23" i="4"/>
  <c r="H30" i="4" a="1"/>
  <c r="H30" i="4" s="1"/>
  <c r="H34" i="4" a="1"/>
  <c r="H34" i="4" s="1"/>
  <c r="K35" i="4"/>
  <c r="H42" i="4" a="1"/>
  <c r="H42" i="4" s="1"/>
  <c r="L66" i="4"/>
  <c r="I72" i="4"/>
  <c r="H3" i="4" a="1"/>
  <c r="H3" i="4" s="1"/>
  <c r="K4" i="4"/>
  <c r="H5" i="4" a="1"/>
  <c r="H5" i="4" s="1"/>
  <c r="K6" i="4"/>
  <c r="H7" i="4" a="1"/>
  <c r="H7" i="4" s="1"/>
  <c r="K8" i="4"/>
  <c r="H9" i="4" a="1"/>
  <c r="H9" i="4" s="1"/>
  <c r="K10" i="4"/>
  <c r="H11" i="4" a="1"/>
  <c r="H11" i="4" s="1"/>
  <c r="K12" i="4"/>
  <c r="H13" i="4" a="1"/>
  <c r="H13" i="4" s="1"/>
  <c r="K14" i="4"/>
  <c r="H15" i="4" a="1"/>
  <c r="H15" i="4" s="1"/>
  <c r="K16" i="4"/>
  <c r="H17" i="4" a="1"/>
  <c r="H17" i="4" s="1"/>
  <c r="K18" i="4"/>
  <c r="H19" i="4" a="1"/>
  <c r="H19" i="4" s="1"/>
  <c r="K20" i="4"/>
  <c r="H21" i="4" a="1"/>
  <c r="H21" i="4" s="1"/>
  <c r="K22" i="4"/>
  <c r="K24" i="4"/>
  <c r="H27" i="4" a="1"/>
  <c r="H27" i="4" s="1"/>
  <c r="K28" i="4"/>
  <c r="H31" i="4" a="1"/>
  <c r="H31" i="4" s="1"/>
  <c r="K32" i="4"/>
  <c r="H35" i="4" a="1"/>
  <c r="H35" i="4" s="1"/>
  <c r="K36" i="4"/>
  <c r="H39" i="4" a="1"/>
  <c r="H39" i="4" s="1"/>
  <c r="K40" i="4"/>
  <c r="H43" i="4" a="1"/>
  <c r="H43" i="4" s="1"/>
  <c r="M74" i="4"/>
  <c r="H99" i="4" l="1"/>
  <c r="C8" i="5"/>
  <c r="B8" i="5"/>
  <c r="H98" i="4"/>
  <c r="J98" i="4"/>
  <c r="C10" i="5"/>
  <c r="B10" i="5"/>
  <c r="J99" i="4"/>
  <c r="C7" i="5"/>
  <c r="G98" i="4"/>
  <c r="B7" i="5"/>
  <c r="G99" i="4"/>
  <c r="N98" i="4"/>
  <c r="C14" i="5"/>
  <c r="N99" i="4"/>
  <c r="B14" i="5"/>
  <c r="C11" i="5"/>
  <c r="K98" i="4"/>
  <c r="B11" i="5"/>
  <c r="K99" i="4"/>
  <c r="B6" i="5"/>
  <c r="F98" i="4"/>
  <c r="F99" i="4"/>
  <c r="C6" i="5"/>
  <c r="B5" i="5"/>
  <c r="E99" i="4"/>
  <c r="E98" i="4"/>
  <c r="C5" i="5"/>
  <c r="C13" i="5"/>
  <c r="M99" i="4"/>
  <c r="B13" i="5"/>
  <c r="M98" i="4"/>
  <c r="C9" i="5"/>
  <c r="I99" i="4"/>
  <c r="B9" i="5"/>
  <c r="I98" i="4"/>
  <c r="L99" i="4"/>
  <c r="C12" i="5"/>
  <c r="L98" i="4"/>
  <c r="B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<sst xmlns="http://schemas.openxmlformats.org/spreadsheetml/2006/main" count="269" uniqueCount="99">
  <si>
    <t>Stuart Follett</t>
  </si>
  <si>
    <t>Date</t>
  </si>
  <si>
    <t>GEDiv</t>
  </si>
  <si>
    <t>GEPrice</t>
  </si>
  <si>
    <t>GEFact</t>
  </si>
  <si>
    <t>AAPLPrice</t>
  </si>
  <si>
    <t>AAPLDiv</t>
  </si>
  <si>
    <t>AAPLFact</t>
  </si>
  <si>
    <t>PGPrice</t>
  </si>
  <si>
    <t>PGDiv</t>
  </si>
  <si>
    <t>PGFact</t>
  </si>
  <si>
    <t>GE</t>
  </si>
  <si>
    <t>AAPL</t>
  </si>
  <si>
    <t>PG</t>
  </si>
  <si>
    <t>Index</t>
  </si>
  <si>
    <t>PG Return</t>
  </si>
  <si>
    <t>Average</t>
  </si>
  <si>
    <t xml:space="preserve">Std Dev </t>
  </si>
  <si>
    <t>Average Return</t>
  </si>
  <si>
    <t>Excel Formula</t>
  </si>
  <si>
    <t xml:space="preserve">Manual </t>
  </si>
  <si>
    <t>PG Returns</t>
  </si>
  <si>
    <t>AAPL Returns</t>
  </si>
  <si>
    <t>GE Returns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</si>
  <si>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</si>
  <si>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</si>
  <si>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</si>
  <si>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</si>
  <si>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</si>
  <si>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</si>
  <si>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</si>
  <si>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</si>
  <si>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</si>
  <si>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</si>
  <si>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Std Dev</t>
  </si>
  <si>
    <t>Portfolio Label</t>
  </si>
  <si>
    <t>StDev</t>
  </si>
  <si>
    <t>Mean</t>
  </si>
  <si>
    <t>Risk Free</t>
  </si>
  <si>
    <t xml:space="preserve">T-Bill Monthly Rate </t>
  </si>
  <si>
    <t xml:space="preserve">GE Excess Return </t>
  </si>
  <si>
    <t>AAPL Excess Return</t>
  </si>
  <si>
    <t>PG Excess Return</t>
  </si>
  <si>
    <t>Index Excess Return</t>
  </si>
  <si>
    <t>PF Weights</t>
  </si>
  <si>
    <t xml:space="preserve">Total </t>
  </si>
  <si>
    <t>Var</t>
  </si>
  <si>
    <t xml:space="preserve">Covariance Matrix </t>
  </si>
  <si>
    <t xml:space="preserve">PF Stats </t>
  </si>
  <si>
    <t xml:space="preserve">Mean </t>
  </si>
  <si>
    <t xml:space="preserve">Sharpe </t>
  </si>
  <si>
    <t xml:space="preserve">PF Solver Stats </t>
  </si>
  <si>
    <t>Linear Combo to Plot Efficient Frontier</t>
  </si>
  <si>
    <t>Efficient Portfolio 1</t>
  </si>
  <si>
    <t>Efficient Portfolio 2</t>
  </si>
  <si>
    <t>Covar</t>
  </si>
  <si>
    <t>Min Variance Portfolio</t>
  </si>
  <si>
    <t>PF Burner Weights</t>
  </si>
  <si>
    <t xml:space="preserve">Data to plot tangent </t>
  </si>
  <si>
    <t>Trial Weight Tan</t>
  </si>
  <si>
    <r>
      <t>Weight Eff</t>
    </r>
    <r>
      <rPr>
        <vertAlign val="subscript"/>
        <sz val="11"/>
        <color theme="1"/>
        <rFont val="Calibri"/>
        <family val="2"/>
        <scheme val="minor"/>
      </rPr>
      <t>pf1</t>
    </r>
  </si>
  <si>
    <t>Weight Tan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</si>
  <si>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</si>
  <si>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</si>
  <si>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</si>
  <si>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</si>
  <si>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</si>
  <si>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</si>
  <si>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</si>
  <si>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</si>
  <si>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</si>
  <si>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</si>
  <si>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</si>
  <si>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</si>
  <si>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</si>
  <si>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</si>
  <si>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</si>
  <si>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</si>
  <si>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</si>
  <si>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</si>
  <si>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</si>
  <si>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</si>
  <si>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</si>
  <si>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</si>
  <si>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</si>
  <si>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</si>
  <si>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t>Trial Weight Eff</t>
    </r>
    <r>
      <rPr>
        <vertAlign val="subscript"/>
        <sz val="11"/>
        <color theme="1"/>
        <rFont val="Calibri"/>
        <family val="2"/>
        <scheme val="minor"/>
      </rPr>
      <t>pf1</t>
    </r>
  </si>
  <si>
    <t>AAPL Beta SUMMARY OUTPUT</t>
  </si>
  <si>
    <t>PG Beta SUMMARY OUTPUT</t>
  </si>
  <si>
    <t>Beta</t>
  </si>
  <si>
    <t xml:space="preserve">Beta </t>
  </si>
  <si>
    <t>Stock</t>
  </si>
  <si>
    <t>Mean Return</t>
  </si>
  <si>
    <t>Tbill</t>
  </si>
  <si>
    <r>
      <t>(R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-R</t>
    </r>
    <r>
      <rPr>
        <b/>
        <vertAlign val="subscript"/>
        <sz val="11"/>
        <color theme="1"/>
        <rFont val="Calibri"/>
        <family val="2"/>
        <scheme val="minor"/>
      </rPr>
      <t>avg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</si>
  <si>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GE Beta SUMMARY OUTPUT </t>
  </si>
  <si>
    <t>Beta Summary</t>
  </si>
  <si>
    <t>Asset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</si>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</sst>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%"/>
    <numFmt numFmtId="165" formatCode="0.0000%"/>
    <numFmt numFmtId="166" formatCode="0.00000%"/>
    <numFmt numFmtId="167" formatCode="0.00000"/>
    <numFmt numFmtId="168" formatCode="0.000000000000000%"/>
    <numFmt numFmtId="169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00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14" fontId="0" fillId="0" borderId="0" xfId="0" applyNumberFormat="1" applyFill="1"/>
    <xf numFmtId="167" fontId="0" fillId="0" borderId="0" xfId="0" applyNumberFormat="1"/>
    <xf numFmtId="9" fontId="0" fillId="0" borderId="0" xfId="0" applyNumberFormat="1"/>
    <xf numFmtId="10" fontId="3" fillId="0" borderId="0" xfId="3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" fontId="0" fillId="0" borderId="0" xfId="0" applyNumberFormat="1"/>
    <xf numFmtId="9" fontId="0" fillId="0" borderId="0" xfId="1" applyNumberFormat="1" applyFont="1"/>
    <xf numFmtId="169" fontId="0" fillId="0" borderId="0" xfId="1" applyNumberFormat="1" applyFont="1"/>
    <xf numFmtId="0" fontId="5" fillId="0" borderId="2" xfId="0" applyFont="1" applyFill="1" applyBorder="1" applyAlignment="1">
      <alignment horizontal="centerContinuous"/>
    </xf>
    <xf numFmtId="44" fontId="0" fillId="0" borderId="0" xfId="0" applyNumberFormat="1"/>
    <xf numFmtId="0" fontId="0" fillId="0" borderId="3" xfId="0" applyBorder="1"/>
    <xf numFmtId="0" fontId="6" fillId="0" borderId="3" xfId="0" applyFont="1" applyBorder="1"/>
    <xf numFmtId="44" fontId="0" fillId="0" borderId="7" xfId="0" applyNumberFormat="1" applyBorder="1"/>
    <xf numFmtId="44" fontId="0" fillId="0" borderId="0" xfId="0" applyNumberFormat="1" applyBorder="1"/>
    <xf numFmtId="0" fontId="0" fillId="0" borderId="8" xfId="0" applyBorder="1"/>
    <xf numFmtId="44" fontId="0" fillId="0" borderId="9" xfId="0" applyNumberFormat="1" applyBorder="1"/>
    <xf numFmtId="44" fontId="0" fillId="0" borderId="1" xfId="0" applyNumberFormat="1" applyBorder="1"/>
    <xf numFmtId="0" fontId="0" fillId="0" borderId="10" xfId="0" applyBorder="1"/>
    <xf numFmtId="0" fontId="6" fillId="0" borderId="11" xfId="0" applyFont="1" applyBorder="1"/>
    <xf numFmtId="14" fontId="0" fillId="0" borderId="8" xfId="0" applyNumberFormat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0" borderId="0" xfId="0" applyFont="1"/>
    <xf numFmtId="10" fontId="0" fillId="0" borderId="13" xfId="1" applyNumberFormat="1" applyFont="1" applyBorder="1"/>
    <xf numFmtId="0" fontId="6" fillId="4" borderId="12" xfId="0" applyFont="1" applyFill="1" applyBorder="1"/>
    <xf numFmtId="10" fontId="0" fillId="0" borderId="3" xfId="0" applyNumberFormat="1" applyFill="1" applyBorder="1"/>
    <xf numFmtId="10" fontId="0" fillId="0" borderId="3" xfId="1" applyNumberFormat="1" applyFont="1" applyBorder="1"/>
    <xf numFmtId="10" fontId="0" fillId="0" borderId="14" xfId="1" applyNumberFormat="1" applyFont="1" applyBorder="1"/>
    <xf numFmtId="10" fontId="0" fillId="0" borderId="7" xfId="1" applyNumberFormat="1" applyFont="1" applyBorder="1"/>
    <xf numFmtId="14" fontId="6" fillId="0" borderId="15" xfId="0" applyNumberFormat="1" applyFont="1" applyFill="1" applyBorder="1"/>
    <xf numFmtId="0" fontId="6" fillId="7" borderId="0" xfId="0" applyFont="1" applyFill="1"/>
    <xf numFmtId="0" fontId="6" fillId="7" borderId="4" xfId="0" applyFont="1" applyFill="1" applyBorder="1"/>
    <xf numFmtId="0" fontId="0" fillId="0" borderId="0" xfId="0" applyBorder="1"/>
    <xf numFmtId="0" fontId="0" fillId="0" borderId="1" xfId="0" applyBorder="1"/>
    <xf numFmtId="0" fontId="6" fillId="0" borderId="16" xfId="0" applyFont="1" applyFill="1" applyBorder="1"/>
    <xf numFmtId="4" fontId="6" fillId="0" borderId="16" xfId="1" applyNumberFormat="1" applyFont="1" applyFill="1" applyBorder="1"/>
    <xf numFmtId="14" fontId="0" fillId="6" borderId="0" xfId="0" applyNumberFormat="1" applyFont="1" applyFill="1"/>
    <xf numFmtId="10" fontId="0" fillId="6" borderId="13" xfId="1" applyNumberFormat="1" applyFont="1" applyFill="1" applyBorder="1"/>
    <xf numFmtId="14" fontId="0" fillId="0" borderId="0" xfId="0" applyNumberFormat="1" applyFont="1"/>
    <xf numFmtId="14" fontId="0" fillId="0" borderId="1" xfId="0" applyNumberFormat="1" applyFont="1" applyBorder="1"/>
    <xf numFmtId="0" fontId="6" fillId="5" borderId="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0" fontId="6" fillId="0" borderId="0" xfId="1" applyNumberFormat="1" applyFont="1"/>
    <xf numFmtId="0" fontId="6" fillId="0" borderId="15" xfId="0" applyFont="1" applyBorder="1"/>
    <xf numFmtId="0" fontId="6" fillId="0" borderId="12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3" xfId="0" applyBorder="1" applyAlignment="1">
      <alignment horizontal="right"/>
    </xf>
    <xf numFmtId="0" fontId="6" fillId="2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10" fontId="0" fillId="0" borderId="3" xfId="0" applyNumberFormat="1" applyBorder="1"/>
    <xf numFmtId="0" fontId="0" fillId="0" borderId="18" xfId="0" applyBorder="1"/>
    <xf numFmtId="164" fontId="0" fillId="0" borderId="18" xfId="1" applyNumberFormat="1" applyFont="1" applyBorder="1"/>
    <xf numFmtId="0" fontId="0" fillId="2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/>
    </xf>
    <xf numFmtId="0" fontId="9" fillId="0" borderId="0" xfId="0" applyFont="1"/>
    <xf numFmtId="0" fontId="0" fillId="0" borderId="3" xfId="0" applyFont="1" applyBorder="1"/>
    <xf numFmtId="0" fontId="0" fillId="0" borderId="0" xfId="0" applyFont="1"/>
    <xf numFmtId="1" fontId="0" fillId="0" borderId="0" xfId="0" applyNumberFormat="1"/>
    <xf numFmtId="0" fontId="6" fillId="2" borderId="13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14" fontId="6" fillId="0" borderId="0" xfId="0" applyNumberFormat="1" applyFont="1"/>
    <xf numFmtId="10" fontId="6" fillId="0" borderId="0" xfId="0" applyNumberFormat="1" applyFo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</cellXfs>
  <cellStyles count="4">
    <cellStyle name="Normal" xfId="0" builtinId="0"/>
    <cellStyle name="Normal 2" xfId="2" xr:uid="{49A2D763-727E-4A3A-AC95-331D3CBA144F}"/>
    <cellStyle name="Percent" xfId="1" builtinId="5"/>
    <cellStyle name="Percent 2" xfId="3" xr:uid="{5303C299-9082-4B56-97E6-C99A17512CA4}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9" formatCode="m/d/yyyy"/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theme="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9" formatCode="m/d/yyyy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</border>
    </dxf>
  </dxfs>
  <tableStyles count="0" defaultTableStyle="TableStyleMedium2" defaultPivotStyle="PivotStyleLight16"/>
  <colors>
    <mruColors>
      <color rgb="FFFF7C80"/>
      <color rgb="FFFEA130"/>
      <color rgb="FF2AF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Risk Free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Lbls>
            <c:dLbl>
              <c:idx val="0"/>
              <c:layout>
                <c:manualLayout>
                  <c:x val="7.9237285093806224E-3"/>
                  <c:y val="-6.3855797015823224E-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78C-47F7-98C5-D8E2149CC7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Frontier!$I$7</c:f>
              <c:numCache>
                <c:formatCode>0.00%</c:formatCode>
                <c:ptCount val="1"/>
                <c:pt idx="0">
                  <c:v>5.0000000000000001E-4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8C-47F7-98C5-D8E2149CC730}"/>
            </c:ext>
          </c:extLst>
        </c:ser>
        <c:ser>
          <c:idx val="0"/>
          <c:order val="1"/>
          <c:tx>
            <c:strRef>
              <c:f>Frontier!$A$2:$A$15</c:f>
              <c:strCache>
                <c:ptCount val="14"/>
                <c:pt idx="0">
                  <c:v>GE</c:v>
                </c:pt>
                <c:pt idx="1">
                  <c:v>AAPL</c:v>
                </c:pt>
                <c:pt idx="2">
                  <c:v>PG</c:v>
                </c:pt>
                <c:pt idx="3">
                  <c:v>P1</c:v>
                </c:pt>
                <c:pt idx="4">
                  <c:v>P2</c:v>
                </c:pt>
                <c:pt idx="5">
                  <c:v>P3</c:v>
                </c:pt>
                <c:pt idx="6">
                  <c:v>P4</c:v>
                </c:pt>
                <c:pt idx="7">
                  <c:v>P5</c:v>
                </c:pt>
                <c:pt idx="8">
                  <c:v>P6</c:v>
                </c:pt>
                <c:pt idx="9">
                  <c:v>P7</c:v>
                </c:pt>
                <c:pt idx="10">
                  <c:v>P8</c:v>
                </c:pt>
                <c:pt idx="11">
                  <c:v>P9</c:v>
                </c:pt>
                <c:pt idx="12">
                  <c:v>P10</c:v>
                </c:pt>
                <c:pt idx="13">
                  <c:v>Index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GE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1-A78C-47F7-98C5-D8E2149CC7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AAPL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2-A78C-47F7-98C5-D8E2149CC730}"/>
                </c:ext>
              </c:extLst>
            </c:dLbl>
            <c:dLbl>
              <c:idx val="2"/>
              <c:layout>
                <c:manualLayout>
                  <c:x val="-3.7958442694663169E-2"/>
                  <c:y val="-0.1133912948381452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PG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3-A78C-47F7-98C5-D8E2149CC7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P1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4-A78C-47F7-98C5-D8E2149CC73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P2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A78C-47F7-98C5-D8E2149CC73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P3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6-A78C-47F7-98C5-D8E2149CC73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P4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7-A78C-47F7-98C5-D8E2149CC73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P5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8-A78C-47F7-98C5-D8E2149CC73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P6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9-A78C-47F7-98C5-D8E2149CC73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P7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A-A78C-47F7-98C5-D8E2149CC730}"/>
                </c:ext>
              </c:extLst>
            </c:dLbl>
            <c:dLbl>
              <c:idx val="10"/>
              <c:layout>
                <c:manualLayout>
                  <c:x val="-0.10029177602799651"/>
                  <c:y val="-6.24653689122193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P8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B-A78C-47F7-98C5-D8E2149CC730}"/>
                </c:ext>
              </c:extLst>
            </c:dLbl>
            <c:dLbl>
              <c:idx val="11"/>
              <c:layout>
                <c:manualLayout>
                  <c:x val="-9.7513998250218767E-2"/>
                  <c:y val="-3.9317220764071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P9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C-A78C-47F7-98C5-D8E2149CC73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P10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D-A78C-47F7-98C5-D8E2149CC730}"/>
                </c:ext>
              </c:extLst>
            </c:dLbl>
            <c:dLbl>
              <c:idx val="13"/>
              <c:layout>
                <c:manualLayout>
                  <c:x val="-7.0806100217864917E-2"/>
                  <c:y val="-1.11203780928551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Index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E-A78C-47F7-98C5-D8E2149CC7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Frontier!$B$2:$B$15</c:f>
              <c:numCache>
                <c:formatCode>0.00%</c:formatCode>
                <c:ptCount val="14"/>
                <c:pt idx="0">
                  <c:v>9.260522739130303E-2</c:v>
                </c:pt>
                <c:pt idx="1">
                  <c:v>8.029428092036546E-2</c:v>
                </c:pt>
                <c:pt idx="2">
                  <c:v>4.1048251662833359E-2</c:v>
                </c:pt>
                <c:pt idx="3">
                  <c:v>4.764994061175358E-2</c:v>
                </c:pt>
                <c:pt idx="4">
                  <c:v>6.9099533504631591E-2</c:v>
                </c:pt>
                <c:pt idx="5">
                  <c:v>4.7742598074170105E-2</c:v>
                </c:pt>
                <c:pt idx="6">
                  <c:v>5.1505126404458236E-2</c:v>
                </c:pt>
                <c:pt idx="7">
                  <c:v>5.8573759889682803E-2</c:v>
                </c:pt>
                <c:pt idx="8">
                  <c:v>5.5434513462339415E-2</c:v>
                </c:pt>
                <c:pt idx="9">
                  <c:v>4.4735989869612934E-2</c:v>
                </c:pt>
                <c:pt idx="10">
                  <c:v>3.9980389315093463E-2</c:v>
                </c:pt>
                <c:pt idx="11">
                  <c:v>4.0201236496774158E-2</c:v>
                </c:pt>
                <c:pt idx="12">
                  <c:v>7.1903482684922776E-2</c:v>
                </c:pt>
                <c:pt idx="13">
                  <c:v>4.0305268213052706E-2</c:v>
                </c:pt>
              </c:numCache>
            </c:numRef>
          </c:xVal>
          <c:yVal>
            <c:numRef>
              <c:f>Frontier!$C$2:$C$15</c:f>
              <c:numCache>
                <c:formatCode>0.00%</c:formatCode>
                <c:ptCount val="14"/>
                <c:pt idx="0">
                  <c:v>-4.4179528880669769E-3</c:v>
                </c:pt>
                <c:pt idx="1">
                  <c:v>2.1663459642414704E-2</c:v>
                </c:pt>
                <c:pt idx="2">
                  <c:v>1.0007993392523395E-2</c:v>
                </c:pt>
                <c:pt idx="3">
                  <c:v>4.2376148802872457E-3</c:v>
                </c:pt>
                <c:pt idx="4">
                  <c:v>8.6227533771738637E-3</c:v>
                </c:pt>
                <c:pt idx="5">
                  <c:v>1.5252953204974487E-2</c:v>
                </c:pt>
                <c:pt idx="6">
                  <c:v>9.0845000489570369E-3</c:v>
                </c:pt>
                <c:pt idx="7">
                  <c:v>5.7088868147010365E-3</c:v>
                </c:pt>
                <c:pt idx="8">
                  <c:v>1.2229239947321459E-2</c:v>
                </c:pt>
                <c:pt idx="9">
                  <c:v>9.3153733848486287E-3</c:v>
                </c:pt>
                <c:pt idx="10">
                  <c:v>1.0896492014442614E-2</c:v>
                </c:pt>
                <c:pt idx="11">
                  <c:v>8.2883507613944508E-3</c:v>
                </c:pt>
                <c:pt idx="12">
                  <c:v>2.2409242460883993E-3</c:v>
                </c:pt>
                <c:pt idx="13">
                  <c:v>1.1664872968749997E-2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Frontier!$A$2:$A$15</c15:f>
                <c15:dlblRangeCache>
                  <c:ptCount val="14"/>
                  <c:pt idx="0">
                    <c:v>GE</c:v>
                  </c:pt>
                  <c:pt idx="1">
                    <c:v>AAPL</c:v>
                  </c:pt>
                  <c:pt idx="2">
                    <c:v>PG</c:v>
                  </c:pt>
                  <c:pt idx="3">
                    <c:v>P1</c:v>
                  </c:pt>
                  <c:pt idx="4">
                    <c:v>P2</c:v>
                  </c:pt>
                  <c:pt idx="5">
                    <c:v>P3</c:v>
                  </c:pt>
                  <c:pt idx="6">
                    <c:v>P4</c:v>
                  </c:pt>
                  <c:pt idx="7">
                    <c:v>P5</c:v>
                  </c:pt>
                  <c:pt idx="8">
                    <c:v>P6</c:v>
                  </c:pt>
                  <c:pt idx="9">
                    <c:v>P7</c:v>
                  </c:pt>
                  <c:pt idx="10">
                    <c:v>P8</c:v>
                  </c:pt>
                  <c:pt idx="11">
                    <c:v>P9</c:v>
                  </c:pt>
                  <c:pt idx="12">
                    <c:v>P10</c:v>
                  </c:pt>
                  <c:pt idx="13">
                    <c:v>Index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A78C-47F7-98C5-D8E2149C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898184"/>
        <c:axId val="724898512"/>
      </c:scatterChart>
      <c:scatterChart>
        <c:scatterStyle val="smoothMarker"/>
        <c:varyColors val="0"/>
        <c:ser>
          <c:idx val="3"/>
          <c:order val="2"/>
          <c:tx>
            <c:v>EF</c:v>
          </c:tx>
          <c:spPr>
            <a:ln w="28575" cap="rnd">
              <a:solidFill>
                <a:srgbClr val="2AFC1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Frontier!$F$43:$F$172</c:f>
              <c:numCache>
                <c:formatCode>0.00%</c:formatCode>
                <c:ptCount val="130"/>
                <c:pt idx="0">
                  <c:v>0.10145861056209156</c:v>
                </c:pt>
                <c:pt idx="1">
                  <c:v>0.10032875341746272</c:v>
                </c:pt>
                <c:pt idx="2">
                  <c:v>9.9201147136175435E-2</c:v>
                </c:pt>
                <c:pt idx="3">
                  <c:v>9.8075869354715711E-2</c:v>
                </c:pt>
                <c:pt idx="4">
                  <c:v>9.6953001149797088E-2</c:v>
                </c:pt>
                <c:pt idx="5">
                  <c:v>9.5832627220279201E-2</c:v>
                </c:pt>
                <c:pt idx="6">
                  <c:v>9.4714836079932668E-2</c:v>
                </c:pt>
                <c:pt idx="7">
                  <c:v>9.35997202617362E-2</c:v>
                </c:pt>
                <c:pt idx="8">
                  <c:v>9.2487376534428331E-2</c:v>
                </c:pt>
                <c:pt idx="9">
                  <c:v>9.1377906132096079E-2</c:v>
                </c:pt>
                <c:pt idx="10">
                  <c:v>9.027141499760763E-2</c:v>
                </c:pt>
                <c:pt idx="11">
                  <c:v>8.9168014040762342E-2</c:v>
                </c:pt>
                <c:pt idx="12">
                  <c:v>8.806781941206468E-2</c:v>
                </c:pt>
                <c:pt idx="13">
                  <c:v>8.6970952793088238E-2</c:v>
                </c:pt>
                <c:pt idx="14">
                  <c:v>8.5877541704442631E-2</c:v>
                </c:pt>
                <c:pt idx="15">
                  <c:v>8.4787719832403532E-2</c:v>
                </c:pt>
                <c:pt idx="16">
                  <c:v>8.3701627375321302E-2</c:v>
                </c:pt>
                <c:pt idx="17">
                  <c:v>8.2619411410970858E-2</c:v>
                </c:pt>
                <c:pt idx="18">
                  <c:v>8.1541226286048346E-2</c:v>
                </c:pt>
                <c:pt idx="19">
                  <c:v>8.0467234029068926E-2</c:v>
                </c:pt>
                <c:pt idx="20">
                  <c:v>7.9397604787956308E-2</c:v>
                </c:pt>
                <c:pt idx="21">
                  <c:v>7.8332517293645071E-2</c:v>
                </c:pt>
                <c:pt idx="22">
                  <c:v>7.7272159351043312E-2</c:v>
                </c:pt>
                <c:pt idx="23">
                  <c:v>7.6216728358714125E-2</c:v>
                </c:pt>
                <c:pt idx="24">
                  <c:v>7.5166431858630423E-2</c:v>
                </c:pt>
                <c:pt idx="25">
                  <c:v>7.4121488117342788E-2</c:v>
                </c:pt>
                <c:pt idx="26">
                  <c:v>7.3082126739851996E-2</c:v>
                </c:pt>
                <c:pt idx="27">
                  <c:v>7.2048589317413606E-2</c:v>
                </c:pt>
                <c:pt idx="28">
                  <c:v>7.1021130110397415E-2</c:v>
                </c:pt>
                <c:pt idx="29">
                  <c:v>7.0000016767182469E-2</c:v>
                </c:pt>
                <c:pt idx="30">
                  <c:v>6.8985531079877774E-2</c:v>
                </c:pt>
                <c:pt idx="31">
                  <c:v>6.7977969777413064E-2</c:v>
                </c:pt>
                <c:pt idx="32">
                  <c:v>6.6977645356224094E-2</c:v>
                </c:pt>
                <c:pt idx="33">
                  <c:v>6.5984886948365004E-2</c:v>
                </c:pt>
                <c:pt idx="34">
                  <c:v>6.5000041226387181E-2</c:v>
                </c:pt>
                <c:pt idx="35">
                  <c:v>6.4023473343725254E-2</c:v>
                </c:pt>
                <c:pt idx="36">
                  <c:v>6.3055567908603477E-2</c:v>
                </c:pt>
                <c:pt idx="37">
                  <c:v>6.2096729988602876E-2</c:v>
                </c:pt>
                <c:pt idx="38">
                  <c:v>6.1147386141989231E-2</c:v>
                </c:pt>
                <c:pt idx="39">
                  <c:v>6.0207985470672964E-2</c:v>
                </c:pt>
                <c:pt idx="40">
                  <c:v>5.9279000688229659E-2</c:v>
                </c:pt>
                <c:pt idx="41">
                  <c:v>5.8360929194733006E-2</c:v>
                </c:pt>
                <c:pt idx="42">
                  <c:v>5.7454294148212202E-2</c:v>
                </c:pt>
                <c:pt idx="43">
                  <c:v>5.6559645520327266E-2</c:v>
                </c:pt>
                <c:pt idx="44">
                  <c:v>5.5677561121335074E-2</c:v>
                </c:pt>
                <c:pt idx="45">
                  <c:v>5.480864757658313E-2</c:v>
                </c:pt>
                <c:pt idx="46">
                  <c:v>5.3953541233614198E-2</c:v>
                </c:pt>
                <c:pt idx="47">
                  <c:v>5.3112908975498946E-2</c:v>
                </c:pt>
                <c:pt idx="48">
                  <c:v>5.2287448912249949E-2</c:v>
                </c:pt>
                <c:pt idx="49">
                  <c:v>5.1477890918157999E-2</c:v>
                </c:pt>
                <c:pt idx="50">
                  <c:v>5.068499697870716E-2</c:v>
                </c:pt>
                <c:pt idx="51">
                  <c:v>4.9909561306431809E-2</c:v>
                </c:pt>
                <c:pt idx="52">
                  <c:v>4.9152410180870458E-2</c:v>
                </c:pt>
                <c:pt idx="53">
                  <c:v>4.8414401463776534E-2</c:v>
                </c:pt>
                <c:pt idx="54">
                  <c:v>4.7696423737237065E-2</c:v>
                </c:pt>
                <c:pt idx="55">
                  <c:v>4.6999395009590744E-2</c:v>
                </c:pt>
                <c:pt idx="56">
                  <c:v>4.6324260932390171E-2</c:v>
                </c:pt>
                <c:pt idx="57">
                  <c:v>4.5671992471490626E-2</c:v>
                </c:pt>
                <c:pt idx="58">
                  <c:v>4.5043582977144045E-2</c:v>
                </c:pt>
                <c:pt idx="59">
                  <c:v>4.444004460214792E-2</c:v>
                </c:pt>
                <c:pt idx="60">
                  <c:v>4.3862404024198588E-2</c:v>
                </c:pt>
                <c:pt idx="61">
                  <c:v>4.3311697438941754E-2</c:v>
                </c:pt>
                <c:pt idx="62">
                  <c:v>4.2788964804278962E-2</c:v>
                </c:pt>
                <c:pt idx="63">
                  <c:v>4.2295243334451026E-2</c:v>
                </c:pt>
                <c:pt idx="64">
                  <c:v>4.183156026420936E-2</c:v>
                </c:pt>
                <c:pt idx="65">
                  <c:v>4.1398924928977204E-2</c:v>
                </c:pt>
                <c:pt idx="66">
                  <c:v>4.0998320235481597E-2</c:v>
                </c:pt>
                <c:pt idx="67">
                  <c:v>4.0630693628169935E-2</c:v>
                </c:pt>
                <c:pt idx="68">
                  <c:v>4.0296947688386139E-2</c:v>
                </c:pt>
                <c:pt idx="69">
                  <c:v>3.9997930534142127E-2</c:v>
                </c:pt>
                <c:pt idx="70">
                  <c:v>3.9734426216401227E-2</c:v>
                </c:pt>
                <c:pt idx="71">
                  <c:v>3.9507145330919091E-2</c:v>
                </c:pt>
                <c:pt idx="72">
                  <c:v>3.9316716080684252E-2</c:v>
                </c:pt>
                <c:pt idx="73">
                  <c:v>3.9163676030975113E-2</c:v>
                </c:pt>
                <c:pt idx="74">
                  <c:v>3.9048464795280464E-2</c:v>
                </c:pt>
                <c:pt idx="75">
                  <c:v>3.8971417875114947E-2</c:v>
                </c:pt>
                <c:pt idx="76">
                  <c:v>3.8932761849682723E-2</c:v>
                </c:pt>
                <c:pt idx="77">
                  <c:v>3.8932611073631558E-2</c:v>
                </c:pt>
                <c:pt idx="78">
                  <c:v>3.8970965993882695E-2</c:v>
                </c:pt>
                <c:pt idx="79">
                  <c:v>3.9047713143041028E-2</c:v>
                </c:pt>
                <c:pt idx="80">
                  <c:v>3.9162626809563235E-2</c:v>
                </c:pt>
                <c:pt idx="81">
                  <c:v>3.9315372327734605E-2</c:v>
                </c:pt>
                <c:pt idx="82">
                  <c:v>3.9505510876721016E-2</c:v>
                </c:pt>
                <c:pt idx="83">
                  <c:v>3.9732505630932585E-2</c:v>
                </c:pt>
                <c:pt idx="84">
                  <c:v>3.9995729065895276E-2</c:v>
                </c:pt>
                <c:pt idx="85">
                  <c:v>4.0294471196831556E-2</c:v>
                </c:pt>
                <c:pt idx="86">
                  <c:v>4.0627948511723189E-2</c:v>
                </c:pt>
                <c:pt idx="87">
                  <c:v>4.0995313356886637E-2</c:v>
                </c:pt>
                <c:pt idx="88">
                  <c:v>4.1395663539872847E-2</c:v>
                </c:pt>
                <c:pt idx="89">
                  <c:v>4.1828051930523177E-2</c:v>
                </c:pt>
                <c:pt idx="90">
                  <c:v>4.2291495864037305E-2</c:v>
                </c:pt>
                <c:pt idx="91">
                  <c:v>4.2784986178008515E-2</c:v>
                </c:pt>
                <c:pt idx="92">
                  <c:v>4.3307495746187287E-2</c:v>
                </c:pt>
                <c:pt idx="93">
                  <c:v>4.3857987403425815E-2</c:v>
                </c:pt>
                <c:pt idx="94">
                  <c:v>4.4435421187055464E-2</c:v>
                </c:pt>
                <c:pt idx="95">
                  <c:v>4.5038760848652722E-2</c:v>
                </c:pt>
                <c:pt idx="96">
                  <c:v>4.5666979615610941E-2</c:v>
                </c:pt>
                <c:pt idx="97">
                  <c:v>4.6319065203883451E-2</c:v>
                </c:pt>
                <c:pt idx="98">
                  <c:v>4.6994024101266414E-2</c:v>
                </c:pt>
                <c:pt idx="99">
                  <c:v>4.769088515448127E-2</c:v>
                </c:pt>
                <c:pt idx="100">
                  <c:v>4.8408702504041688E-2</c:v>
                </c:pt>
                <c:pt idx="101">
                  <c:v>4.9146557917624435E-2</c:v>
                </c:pt>
                <c:pt idx="102">
                  <c:v>4.9903562577193174E-2</c:v>
                </c:pt>
                <c:pt idx="103">
                  <c:v>5.0678858376646471E-2</c:v>
                </c:pt>
                <c:pt idx="104">
                  <c:v>5.1471618786893186E-2</c:v>
                </c:pt>
                <c:pt idx="105">
                  <c:v>5.2281049343389438E-2</c:v>
                </c:pt>
                <c:pt idx="106">
                  <c:v>5.3106387808504699E-2</c:v>
                </c:pt>
                <c:pt idx="107">
                  <c:v>5.3946904057677596E-2</c:v>
                </c:pt>
                <c:pt idx="108">
                  <c:v>5.4801899734116692E-2</c:v>
                </c:pt>
                <c:pt idx="109">
                  <c:v>5.567070771282704E-2</c:v>
                </c:pt>
                <c:pt idx="110">
                  <c:v>5.6552691410277953E-2</c:v>
                </c:pt>
                <c:pt idx="111">
                  <c:v>5.7447243971867588E-2</c:v>
                </c:pt>
                <c:pt idx="112">
                  <c:v>5.8353787365511764E-2</c:v>
                </c:pt>
                <c:pt idx="113">
                  <c:v>5.9271771405579446E-2</c:v>
                </c:pt>
                <c:pt idx="114">
                  <c:v>6.0200672728215075E-2</c:v>
                </c:pt>
                <c:pt idx="115">
                  <c:v>6.1139993735883497E-2</c:v>
                </c:pt>
                <c:pt idx="116">
                  <c:v>6.2089261525940027E-2</c:v>
                </c:pt>
                <c:pt idx="117">
                  <c:v>6.3048026815829411E-2</c:v>
                </c:pt>
                <c:pt idx="118">
                  <c:v>6.4015862874919977E-2</c:v>
                </c:pt>
                <c:pt idx="119">
                  <c:v>6.4992364471455455E-2</c:v>
                </c:pt>
                <c:pt idx="120">
                  <c:v>6.5977146841010581E-2</c:v>
                </c:pt>
                <c:pt idx="121">
                  <c:v>6.6969844681684695E-2</c:v>
                </c:pt>
                <c:pt idx="122">
                  <c:v>6.7970111179963544E-2</c:v>
                </c:pt>
                <c:pt idx="123">
                  <c:v>6.8977617070061642E-2</c:v>
                </c:pt>
                <c:pt idx="124">
                  <c:v>6.9992049728737071E-2</c:v>
                </c:pt>
                <c:pt idx="125">
                  <c:v>7.1013112306920631E-2</c:v>
                </c:pt>
                <c:pt idx="126">
                  <c:v>7.2040522898713197E-2</c:v>
                </c:pt>
                <c:pt idx="127">
                  <c:v>7.3074013748008218E-2</c:v>
                </c:pt>
                <c:pt idx="128">
                  <c:v>7.4113330492473872E-2</c:v>
                </c:pt>
                <c:pt idx="129">
                  <c:v>7.5158231444390697E-2</c:v>
                </c:pt>
              </c:numCache>
            </c:numRef>
          </c:xVal>
          <c:yVal>
            <c:numRef>
              <c:f>Frontier!$G$43:$G$172</c:f>
              <c:numCache>
                <c:formatCode>0.00%</c:formatCode>
                <c:ptCount val="130"/>
                <c:pt idx="0">
                  <c:v>3.3082509130919424E-2</c:v>
                </c:pt>
                <c:pt idx="1">
                  <c:v>3.2775293577477049E-2</c:v>
                </c:pt>
                <c:pt idx="2">
                  <c:v>3.2468078024034688E-2</c:v>
                </c:pt>
                <c:pt idx="3">
                  <c:v>3.2160862470592341E-2</c:v>
                </c:pt>
                <c:pt idx="4">
                  <c:v>3.185364691714998E-2</c:v>
                </c:pt>
                <c:pt idx="5">
                  <c:v>3.1546431363707592E-2</c:v>
                </c:pt>
                <c:pt idx="6">
                  <c:v>3.1239215810265245E-2</c:v>
                </c:pt>
                <c:pt idx="7">
                  <c:v>3.0932000256822897E-2</c:v>
                </c:pt>
                <c:pt idx="8">
                  <c:v>3.0624784703380523E-2</c:v>
                </c:pt>
                <c:pt idx="9">
                  <c:v>3.0317569149938162E-2</c:v>
                </c:pt>
                <c:pt idx="10">
                  <c:v>3.0010353596495801E-2</c:v>
                </c:pt>
                <c:pt idx="11">
                  <c:v>2.9703138043053426E-2</c:v>
                </c:pt>
                <c:pt idx="12">
                  <c:v>2.9395922489611093E-2</c:v>
                </c:pt>
                <c:pt idx="13">
                  <c:v>2.9088706936168732E-2</c:v>
                </c:pt>
                <c:pt idx="14">
                  <c:v>2.8781491382726357E-2</c:v>
                </c:pt>
                <c:pt idx="15">
                  <c:v>2.8474275829283982E-2</c:v>
                </c:pt>
                <c:pt idx="16">
                  <c:v>2.8167060275841642E-2</c:v>
                </c:pt>
                <c:pt idx="17">
                  <c:v>2.7859844722399267E-2</c:v>
                </c:pt>
                <c:pt idx="18">
                  <c:v>2.7552629168956906E-2</c:v>
                </c:pt>
                <c:pt idx="19">
                  <c:v>2.7245413615514552E-2</c:v>
                </c:pt>
                <c:pt idx="20">
                  <c:v>2.6938198062072177E-2</c:v>
                </c:pt>
                <c:pt idx="21">
                  <c:v>2.6630982508629823E-2</c:v>
                </c:pt>
                <c:pt idx="22">
                  <c:v>2.6323766955187462E-2</c:v>
                </c:pt>
                <c:pt idx="23">
                  <c:v>2.6016551401745105E-2</c:v>
                </c:pt>
                <c:pt idx="24">
                  <c:v>2.570933584830274E-2</c:v>
                </c:pt>
                <c:pt idx="25">
                  <c:v>2.5402120294860383E-2</c:v>
                </c:pt>
                <c:pt idx="26">
                  <c:v>2.5094904741418018E-2</c:v>
                </c:pt>
                <c:pt idx="27">
                  <c:v>2.4787689187975651E-2</c:v>
                </c:pt>
                <c:pt idx="28">
                  <c:v>2.4480473634533276E-2</c:v>
                </c:pt>
                <c:pt idx="29">
                  <c:v>2.4173258081090932E-2</c:v>
                </c:pt>
                <c:pt idx="30">
                  <c:v>2.3866042527648557E-2</c:v>
                </c:pt>
                <c:pt idx="31">
                  <c:v>2.3558826974206193E-2</c:v>
                </c:pt>
                <c:pt idx="32">
                  <c:v>2.3251611420763832E-2</c:v>
                </c:pt>
                <c:pt idx="33">
                  <c:v>2.2944395867321471E-2</c:v>
                </c:pt>
                <c:pt idx="34">
                  <c:v>2.2637180313879107E-2</c:v>
                </c:pt>
                <c:pt idx="35">
                  <c:v>2.2329964760436749E-2</c:v>
                </c:pt>
                <c:pt idx="36">
                  <c:v>2.2022749206994385E-2</c:v>
                </c:pt>
                <c:pt idx="37">
                  <c:v>2.1715533653552024E-2</c:v>
                </c:pt>
                <c:pt idx="38">
                  <c:v>2.1408318100109659E-2</c:v>
                </c:pt>
                <c:pt idx="39">
                  <c:v>2.1101102546667298E-2</c:v>
                </c:pt>
                <c:pt idx="40">
                  <c:v>2.0793886993224941E-2</c:v>
                </c:pt>
                <c:pt idx="41">
                  <c:v>2.0486671439782576E-2</c:v>
                </c:pt>
                <c:pt idx="42">
                  <c:v>2.0179455886340215E-2</c:v>
                </c:pt>
                <c:pt idx="43">
                  <c:v>1.9872240332897854E-2</c:v>
                </c:pt>
                <c:pt idx="44">
                  <c:v>1.9565024779455494E-2</c:v>
                </c:pt>
                <c:pt idx="45">
                  <c:v>1.9257809226013126E-2</c:v>
                </c:pt>
                <c:pt idx="46">
                  <c:v>1.8950593672570772E-2</c:v>
                </c:pt>
                <c:pt idx="47">
                  <c:v>1.8643378119128418E-2</c:v>
                </c:pt>
                <c:pt idx="48">
                  <c:v>1.8336162565686043E-2</c:v>
                </c:pt>
                <c:pt idx="49">
                  <c:v>1.8028947012243696E-2</c:v>
                </c:pt>
                <c:pt idx="50">
                  <c:v>1.7721731458801335E-2</c:v>
                </c:pt>
                <c:pt idx="51">
                  <c:v>1.7414515905358974E-2</c:v>
                </c:pt>
                <c:pt idx="52">
                  <c:v>1.7107300351916613E-2</c:v>
                </c:pt>
                <c:pt idx="53">
                  <c:v>1.6800084798474266E-2</c:v>
                </c:pt>
                <c:pt idx="54">
                  <c:v>1.6492869245031891E-2</c:v>
                </c:pt>
                <c:pt idx="55">
                  <c:v>1.6185653691589516E-2</c:v>
                </c:pt>
                <c:pt idx="56">
                  <c:v>1.5878438138147169E-2</c:v>
                </c:pt>
                <c:pt idx="57">
                  <c:v>1.5571222584704822E-2</c:v>
                </c:pt>
                <c:pt idx="58">
                  <c:v>1.5264007031262433E-2</c:v>
                </c:pt>
                <c:pt idx="59">
                  <c:v>1.4956791477820086E-2</c:v>
                </c:pt>
                <c:pt idx="60">
                  <c:v>1.4649575924377739E-2</c:v>
                </c:pt>
                <c:pt idx="61">
                  <c:v>1.4342360370935336E-2</c:v>
                </c:pt>
                <c:pt idx="62">
                  <c:v>1.4035144817493017E-2</c:v>
                </c:pt>
                <c:pt idx="63">
                  <c:v>1.3727929264050642E-2</c:v>
                </c:pt>
                <c:pt idx="64">
                  <c:v>1.3420713710608267E-2</c:v>
                </c:pt>
                <c:pt idx="65">
                  <c:v>1.311349815716592E-2</c:v>
                </c:pt>
                <c:pt idx="66">
                  <c:v>1.2806282603723546E-2</c:v>
                </c:pt>
                <c:pt idx="67">
                  <c:v>1.2499067050281198E-2</c:v>
                </c:pt>
                <c:pt idx="68">
                  <c:v>1.2191851496838824E-2</c:v>
                </c:pt>
                <c:pt idx="69">
                  <c:v>1.1884635943396477E-2</c:v>
                </c:pt>
                <c:pt idx="70">
                  <c:v>1.1577420389954102E-2</c:v>
                </c:pt>
                <c:pt idx="71">
                  <c:v>1.1270204836511727E-2</c:v>
                </c:pt>
                <c:pt idx="72">
                  <c:v>1.0962989283069408E-2</c:v>
                </c:pt>
                <c:pt idx="73">
                  <c:v>1.0655773729627033E-2</c:v>
                </c:pt>
                <c:pt idx="74">
                  <c:v>1.0348558176184658E-2</c:v>
                </c:pt>
                <c:pt idx="75">
                  <c:v>1.0041342622742283E-2</c:v>
                </c:pt>
                <c:pt idx="76">
                  <c:v>9.7341270692999082E-3</c:v>
                </c:pt>
                <c:pt idx="77">
                  <c:v>9.4269115158575889E-3</c:v>
                </c:pt>
                <c:pt idx="78">
                  <c:v>9.1196959624152141E-3</c:v>
                </c:pt>
                <c:pt idx="79">
                  <c:v>8.8124804089728392E-3</c:v>
                </c:pt>
                <c:pt idx="80">
                  <c:v>8.5052648555304922E-3</c:v>
                </c:pt>
                <c:pt idx="81">
                  <c:v>8.1980493020881173E-3</c:v>
                </c:pt>
                <c:pt idx="82">
                  <c:v>7.8908337486457703E-3</c:v>
                </c:pt>
                <c:pt idx="83">
                  <c:v>7.5836181952033954E-3</c:v>
                </c:pt>
                <c:pt idx="84">
                  <c:v>7.2764026417610483E-3</c:v>
                </c:pt>
                <c:pt idx="85">
                  <c:v>6.9691870883187013E-3</c:v>
                </c:pt>
                <c:pt idx="86">
                  <c:v>6.6619715348763542E-3</c:v>
                </c:pt>
                <c:pt idx="87">
                  <c:v>6.3547559814339238E-3</c:v>
                </c:pt>
                <c:pt idx="88">
                  <c:v>6.047540427991549E-3</c:v>
                </c:pt>
                <c:pt idx="89">
                  <c:v>5.7403248745492297E-3</c:v>
                </c:pt>
                <c:pt idx="90">
                  <c:v>5.4331093211069104E-3</c:v>
                </c:pt>
                <c:pt idx="91">
                  <c:v>5.1258937676645355E-3</c:v>
                </c:pt>
                <c:pt idx="92">
                  <c:v>4.8186782142221607E-3</c:v>
                </c:pt>
                <c:pt idx="93">
                  <c:v>4.5114626607797859E-3</c:v>
                </c:pt>
                <c:pt idx="94">
                  <c:v>4.204247107337411E-3</c:v>
                </c:pt>
                <c:pt idx="95">
                  <c:v>3.8970315538950917E-3</c:v>
                </c:pt>
                <c:pt idx="96">
                  <c:v>3.5898160004527169E-3</c:v>
                </c:pt>
                <c:pt idx="97">
                  <c:v>3.282600447010342E-3</c:v>
                </c:pt>
                <c:pt idx="98">
                  <c:v>2.9753848935679672E-3</c:v>
                </c:pt>
                <c:pt idx="99">
                  <c:v>2.6681693401255924E-3</c:v>
                </c:pt>
                <c:pt idx="100">
                  <c:v>2.360953786683273E-3</c:v>
                </c:pt>
                <c:pt idx="101">
                  <c:v>2.0537382332408982E-3</c:v>
                </c:pt>
                <c:pt idx="102">
                  <c:v>1.7465226797985234E-3</c:v>
                </c:pt>
                <c:pt idx="103">
                  <c:v>1.4393071263561485E-3</c:v>
                </c:pt>
                <c:pt idx="104">
                  <c:v>1.1320915729138292E-3</c:v>
                </c:pt>
                <c:pt idx="105">
                  <c:v>8.2487601947145439E-4</c:v>
                </c:pt>
                <c:pt idx="106">
                  <c:v>5.1766046602907956E-4</c:v>
                </c:pt>
                <c:pt idx="107">
                  <c:v>2.1044491258670472E-4</c:v>
                </c:pt>
                <c:pt idx="108">
                  <c:v>-9.6770640855670109E-5</c:v>
                </c:pt>
                <c:pt idx="109">
                  <c:v>-4.0398619429798943E-4</c:v>
                </c:pt>
                <c:pt idx="110">
                  <c:v>-7.1120174774030875E-4</c:v>
                </c:pt>
                <c:pt idx="111">
                  <c:v>-1.0184173011827391E-3</c:v>
                </c:pt>
                <c:pt idx="112">
                  <c:v>-1.3256328546250584E-3</c:v>
                </c:pt>
                <c:pt idx="113">
                  <c:v>-1.6328484080674888E-3</c:v>
                </c:pt>
                <c:pt idx="114">
                  <c:v>-1.9400639615098081E-3</c:v>
                </c:pt>
                <c:pt idx="115">
                  <c:v>-2.2472795149521274E-3</c:v>
                </c:pt>
                <c:pt idx="116">
                  <c:v>-2.5544950683945578E-3</c:v>
                </c:pt>
                <c:pt idx="117">
                  <c:v>-2.8617106218368771E-3</c:v>
                </c:pt>
                <c:pt idx="118">
                  <c:v>-3.1689261752793074E-3</c:v>
                </c:pt>
                <c:pt idx="119">
                  <c:v>-3.4761417287216267E-3</c:v>
                </c:pt>
                <c:pt idx="120">
                  <c:v>-3.7833572821639461E-3</c:v>
                </c:pt>
                <c:pt idx="121">
                  <c:v>-4.0905728356063209E-3</c:v>
                </c:pt>
                <c:pt idx="122">
                  <c:v>-4.3977883890486957E-3</c:v>
                </c:pt>
                <c:pt idx="123">
                  <c:v>-4.7050039424910706E-3</c:v>
                </c:pt>
                <c:pt idx="124">
                  <c:v>-5.0122194959334454E-3</c:v>
                </c:pt>
                <c:pt idx="125">
                  <c:v>-5.3194350493757647E-3</c:v>
                </c:pt>
                <c:pt idx="126">
                  <c:v>-5.6266506028181396E-3</c:v>
                </c:pt>
                <c:pt idx="127">
                  <c:v>-5.9338661562605144E-3</c:v>
                </c:pt>
                <c:pt idx="128">
                  <c:v>-6.2410817097028892E-3</c:v>
                </c:pt>
                <c:pt idx="129">
                  <c:v>-6.5482972631452085E-3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78C-47F7-98C5-D8E2149CC730}"/>
            </c:ext>
          </c:extLst>
        </c:ser>
        <c:ser>
          <c:idx val="2"/>
          <c:order val="3"/>
          <c:tx>
            <c:v>MV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rgbClr val="FEA130"/>
                </a:solidFill>
                <a:ln w="9525" cap="rnd">
                  <a:noFill/>
                  <a:round/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A78C-47F7-98C5-D8E2149CC730}"/>
              </c:ext>
            </c:extLst>
          </c:dPt>
          <c:dLbls>
            <c:dLbl>
              <c:idx val="0"/>
              <c:layout>
                <c:manualLayout>
                  <c:x val="-0.12527233115468409"/>
                  <c:y val="-4.726160689463451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78C-47F7-98C5-D8E2149CC7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Frontier!$I$31</c:f>
              <c:numCache>
                <c:formatCode>0.00%</c:formatCode>
                <c:ptCount val="1"/>
                <c:pt idx="0">
                  <c:v>3.8925014411434235E-2</c:v>
                </c:pt>
              </c:numCache>
            </c:numRef>
          </c:xVal>
          <c:yVal>
            <c:numRef>
              <c:f>Frontier!$I$30</c:f>
              <c:numCache>
                <c:formatCode>0.00%</c:formatCode>
                <c:ptCount val="1"/>
                <c:pt idx="0">
                  <c:v>9.5782717977910114E-3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78C-47F7-98C5-D8E2149CC730}"/>
            </c:ext>
          </c:extLst>
        </c:ser>
        <c:ser>
          <c:idx val="4"/>
          <c:order val="4"/>
          <c:tx>
            <c:v>Tangent</c:v>
          </c:tx>
          <c:spPr>
            <a:ln w="9525" cap="rnd">
              <a:noFill/>
              <a:round/>
            </a:ln>
            <a:effectLst>
              <a:softEdge rad="76200"/>
            </a:effectLst>
          </c:spPr>
          <c:marker>
            <c:symbol val="circle"/>
            <c:size val="6"/>
            <c:spPr>
              <a:solidFill>
                <a:srgbClr val="7030A0"/>
              </a:solidFill>
              <a:ln w="9525" cap="rnd">
                <a:noFill/>
                <a:round/>
              </a:ln>
              <a:effectLst>
                <a:softEdge rad="76200"/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Lbls>
            <c:dLbl>
              <c:idx val="0"/>
              <c:layout>
                <c:manualLayout>
                  <c:x val="-3.6310820624546117E-3"/>
                  <c:y val="1.909959072305588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78C-47F7-98C5-D8E2149CC7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Frontier!$O$36</c:f>
              <c:numCache>
                <c:formatCode>0.00%</c:formatCode>
                <c:ptCount val="1"/>
                <c:pt idx="0">
                  <c:v>5.7166136320151911E-2</c:v>
                </c:pt>
              </c:numCache>
            </c:numRef>
          </c:xVal>
          <c:yVal>
            <c:numRef>
              <c:f>Frontier!$O$35</c:f>
              <c:numCache>
                <c:formatCode>0.00%</c:formatCode>
                <c:ptCount val="1"/>
                <c:pt idx="0">
                  <c:v>2.0080993101706374E-2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78C-47F7-98C5-D8E2149CC730}"/>
            </c:ext>
          </c:extLst>
        </c:ser>
        <c:ser>
          <c:idx val="5"/>
          <c:order val="5"/>
          <c:tx>
            <c:v>CML</c:v>
          </c:tx>
          <c:spPr>
            <a:ln w="19050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Frontier!$L$44:$L$57</c:f>
              <c:numCache>
                <c:formatCode>0.00%</c:formatCode>
                <c:ptCount val="14"/>
                <c:pt idx="0">
                  <c:v>0</c:v>
                </c:pt>
                <c:pt idx="1">
                  <c:v>5.7166136320151916E-3</c:v>
                </c:pt>
                <c:pt idx="2">
                  <c:v>1.1433227264030383E-2</c:v>
                </c:pt>
                <c:pt idx="3">
                  <c:v>1.7149840896045574E-2</c:v>
                </c:pt>
                <c:pt idx="4">
                  <c:v>2.2866454528060767E-2</c:v>
                </c:pt>
                <c:pt idx="5">
                  <c:v>2.8583068160075956E-2</c:v>
                </c:pt>
                <c:pt idx="6">
                  <c:v>3.4299681792091148E-2</c:v>
                </c:pt>
                <c:pt idx="7">
                  <c:v>4.0016295424106334E-2</c:v>
                </c:pt>
                <c:pt idx="8">
                  <c:v>4.5732909056121533E-2</c:v>
                </c:pt>
                <c:pt idx="9">
                  <c:v>5.1449522688136719E-2</c:v>
                </c:pt>
                <c:pt idx="10">
                  <c:v>5.7166136320151911E-2</c:v>
                </c:pt>
                <c:pt idx="11">
                  <c:v>6.2882749952167111E-2</c:v>
                </c:pt>
                <c:pt idx="12">
                  <c:v>6.8599363584182296E-2</c:v>
                </c:pt>
                <c:pt idx="13">
                  <c:v>7.4315977216197482E-2</c:v>
                </c:pt>
              </c:numCache>
            </c:numRef>
          </c:xVal>
          <c:yVal>
            <c:numRef>
              <c:f>Frontier!$M$44:$M$57</c:f>
              <c:numCache>
                <c:formatCode>0.00%</c:formatCode>
                <c:ptCount val="14"/>
                <c:pt idx="0">
                  <c:v>5.0000000000000001E-4</c:v>
                </c:pt>
                <c:pt idx="1">
                  <c:v>2.4580993101706375E-3</c:v>
                </c:pt>
                <c:pt idx="2">
                  <c:v>4.4161986203412754E-3</c:v>
                </c:pt>
                <c:pt idx="3">
                  <c:v>6.3742979305119116E-3</c:v>
                </c:pt>
                <c:pt idx="4">
                  <c:v>8.3323972406825503E-3</c:v>
                </c:pt>
                <c:pt idx="5">
                  <c:v>1.0290496550853187E-2</c:v>
                </c:pt>
                <c:pt idx="6">
                  <c:v>1.2248595861023824E-2</c:v>
                </c:pt>
                <c:pt idx="7">
                  <c:v>1.4206695171194461E-2</c:v>
                </c:pt>
                <c:pt idx="8">
                  <c:v>1.61647944813651E-2</c:v>
                </c:pt>
                <c:pt idx="9">
                  <c:v>1.8122893791535737E-2</c:v>
                </c:pt>
                <c:pt idx="10">
                  <c:v>2.0080993101706374E-2</c:v>
                </c:pt>
                <c:pt idx="11">
                  <c:v>2.2039092411877011E-2</c:v>
                </c:pt>
                <c:pt idx="12">
                  <c:v>2.3997191722047648E-2</c:v>
                </c:pt>
                <c:pt idx="13">
                  <c:v>2.5955291032218285E-2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A78C-47F7-98C5-D8E2149C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898184"/>
        <c:axId val="724898512"/>
      </c:scatterChart>
      <c:valAx>
        <c:axId val="724898184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98512"/>
        <c:crosses val="autoZero"/>
        <c:crossBetween val="midCat"/>
      </c:valAx>
      <c:valAx>
        <c:axId val="724898512"/>
        <c:scaling>
          <c:orientation val="minMax"/>
          <c:max val="2.5000000000000005E-2"/>
          <c:min val="-5.000000000000001E-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Return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9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31750">
      <a:solidFill>
        <a:schemeClr val="accent2"/>
      </a:solidFill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SML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661669-8D7E-4955-89F2-D6D4C3B24A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20E-4EB7-BA04-BFC1804D92C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E23B6B7-1E86-491E-9A43-5DAFDF5F81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20E-4EB7-BA04-BFC1804D92C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BED1619-AD86-448C-B219-74622F1D54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20E-4EB7-BA04-BFC1804D92C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3D61C67-D185-4F1B-95A7-101C1990DE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0E-4EB7-BA04-BFC1804D92C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8A8431-D27F-4626-9323-E1A6E33218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20E-4EB7-BA04-BFC1804D92C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D8D4641-338F-4F79-A076-A265E0BE2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20E-4EB7-BA04-BFC1804D92C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477858D-BA2F-4F44-9BB3-1DCD2C54F0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20E-4EB7-BA04-BFC1804D92C5}"/>
                </c:ext>
              </c:extLst>
            </c:dLbl>
            <c:dLbl>
              <c:idx val="7"/>
              <c:layout>
                <c:manualLayout>
                  <c:x val="-7.2222222222222215E-2"/>
                  <c:y val="-5.5555555555555601E-2"/>
                </c:manualLayout>
              </c:layout>
              <c:tx>
                <c:rich>
                  <a:bodyPr/>
                  <a:lstStyle/>
                  <a:p>
                    <a:fld id="{A5FFD30C-EB36-4BB2-8CCB-0860EA0377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20E-4EB7-BA04-BFC1804D92C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E141973-7D72-4DE8-BB8E-F8C8DC9B9A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20E-4EB7-BA04-BFC1804D92C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A3A1F54-4EBB-4617-B073-67A05EE7B6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20E-4EB7-BA04-BFC1804D92C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3D6606E-EE5E-4794-9B09-DB3977722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20E-4EB7-BA04-BFC1804D92C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CE4FAF7-754A-46C5-8532-AE6629068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20E-4EB7-BA04-BFC1804D92C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3AE8E2C-6CB1-4262-94D4-7E8E1BEEE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20E-4EB7-BA04-BFC1804D92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SML!$B$2:$B$14</c:f>
              <c:numCache>
                <c:formatCode>General</c:formatCode>
                <c:ptCount val="13"/>
                <c:pt idx="0">
                  <c:v>1.1108222270639301</c:v>
                </c:pt>
                <c:pt idx="1">
                  <c:v>1.1346773407904327</c:v>
                </c:pt>
                <c:pt idx="2">
                  <c:v>0.44092885332449422</c:v>
                </c:pt>
                <c:pt idx="3">
                  <c:v>0.70888620282026704</c:v>
                </c:pt>
                <c:pt idx="4">
                  <c:v>1.1227497839271789</c:v>
                </c:pt>
                <c:pt idx="5">
                  <c:v>0.75311567268416701</c:v>
                </c:pt>
                <c:pt idx="6">
                  <c:v>0.89547614039295076</c:v>
                </c:pt>
                <c:pt idx="7">
                  <c:v>0.94931266206069431</c:v>
                </c:pt>
                <c:pt idx="8">
                  <c:v>0.95527644049232119</c:v>
                </c:pt>
                <c:pt idx="9">
                  <c:v>0.78183931862583655</c:v>
                </c:pt>
                <c:pt idx="10">
                  <c:v>0.64666788819162502</c:v>
                </c:pt>
                <c:pt idx="11">
                  <c:v>0.64428237681897427</c:v>
                </c:pt>
                <c:pt idx="12">
                  <c:v>1.0486039124352835</c:v>
                </c:pt>
              </c:numCache>
            </c:numRef>
          </c:xVal>
          <c:yVal>
            <c:numRef>
              <c:f>SML!$C$2:$C$14</c:f>
              <c:numCache>
                <c:formatCode>0.00%</c:formatCode>
                <c:ptCount val="13"/>
                <c:pt idx="0">
                  <c:v>6.5371623319333036E-2</c:v>
                </c:pt>
                <c:pt idx="1">
                  <c:v>-2.7025544667355145E-2</c:v>
                </c:pt>
                <c:pt idx="2">
                  <c:v>-6.9591608540647458E-3</c:v>
                </c:pt>
                <c:pt idx="3">
                  <c:v>2.1973152815294366E-2</c:v>
                </c:pt>
                <c:pt idx="4">
                  <c:v>1.9173039325988944E-2</c:v>
                </c:pt>
                <c:pt idx="5">
                  <c:v>-1.5989033570045427E-2</c:v>
                </c:pt>
                <c:pt idx="6">
                  <c:v>1.0462305932637713E-2</c:v>
                </c:pt>
                <c:pt idx="7">
                  <c:v>2.4189635279311544E-2</c:v>
                </c:pt>
                <c:pt idx="8">
                  <c:v>1.0903432826394981E-3</c:v>
                </c:pt>
                <c:pt idx="9">
                  <c:v>6.1069392359620984E-3</c:v>
                </c:pt>
                <c:pt idx="10">
                  <c:v>-3.7393591993830516E-3</c:v>
                </c:pt>
                <c:pt idx="11">
                  <c:v>5.5003575992857642E-3</c:v>
                </c:pt>
                <c:pt idx="12">
                  <c:v>3.965911130465561E-2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SML!$A$2:$A$14</c15:f>
                <c15:dlblRangeCache>
                  <c:ptCount val="13"/>
                  <c:pt idx="0">
                    <c:v>GE</c:v>
                  </c:pt>
                  <c:pt idx="1">
                    <c:v>AAPL</c:v>
                  </c:pt>
                  <c:pt idx="2">
                    <c:v>PG</c:v>
                  </c:pt>
                  <c:pt idx="3">
                    <c:v>P1</c:v>
                  </c:pt>
                  <c:pt idx="4">
                    <c:v>P2</c:v>
                  </c:pt>
                  <c:pt idx="5">
                    <c:v>P3</c:v>
                  </c:pt>
                  <c:pt idx="6">
                    <c:v>P4</c:v>
                  </c:pt>
                  <c:pt idx="7">
                    <c:v>P5</c:v>
                  </c:pt>
                  <c:pt idx="8">
                    <c:v>P6</c:v>
                  </c:pt>
                  <c:pt idx="9">
                    <c:v>P7</c:v>
                  </c:pt>
                  <c:pt idx="10">
                    <c:v>P8</c:v>
                  </c:pt>
                  <c:pt idx="11">
                    <c:v>P9</c:v>
                  </c:pt>
                  <c:pt idx="12">
                    <c:v>P10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20E-4EB7-BA04-BFC1804D92C5}"/>
            </c:ext>
          </c:extLst>
        </c:ser>
        <c:ser>
          <c:idx val="2"/>
          <c:order val="1"/>
          <c:tx>
            <c:v>Index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19050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2.777777777777676E-3"/>
                  <c:y val="5.555555555555546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0E-4EB7-BA04-BFC1804D92C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8CB-4194-AB24-95CA19D2B2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30000000000000004"/>
            <c:dispRSqr val="1"/>
            <c:dispEq val="1"/>
            <c:trendlineLbl>
              <c:layout>
                <c:manualLayout>
                  <c:x val="6.3359528487229866E-3"/>
                  <c:y val="-0.3230220630004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SML!$B$15:$B$16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SML!$C$15:$C$16</c:f>
              <c:numCache>
                <c:formatCode>0.000%</c:formatCode>
                <c:ptCount val="2"/>
                <c:pt idx="0" formatCode="0.00%">
                  <c:v>1.9716443866666666E-2</c:v>
                </c:pt>
                <c:pt idx="1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0E-4EB7-BA04-BFC1804D92C5}"/>
            </c:ext>
          </c:extLst>
        </c:ser>
        <c:ser>
          <c:idx val="1"/>
          <c:order val="2"/>
          <c:tx>
            <c:v>RF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7429345722028649E-3"/>
                  <c:y val="-6.365159128978224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0E-4EB7-BA04-BFC1804D92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SML!$B$16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SML!$C$16</c:f>
              <c:numCache>
                <c:formatCode>0.000%</c:formatCode>
                <c:ptCount val="1"/>
                <c:pt idx="0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20E-4EB7-BA04-BFC1804D9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7120"/>
        <c:axId val="475179088"/>
      </c:scatterChart>
      <c:valAx>
        <c:axId val="475177120"/>
        <c:scaling>
          <c:orientation val="minMax"/>
          <c:max val="1.3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>
            <a:outerShdw blurRad="50800" dist="38100" dir="5400000" algn="ctr" rotWithShape="0">
              <a:srgbClr val="000000">
                <a:alpha val="43137"/>
              </a:srgb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79088"/>
        <c:crosses val="autoZero"/>
        <c:crossBetween val="midCat"/>
      </c:valAx>
      <c:valAx>
        <c:axId val="4751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7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347134</xdr:colOff>
      <xdr:row>0</xdr:row>
      <xdr:rowOff>39369</xdr:rowOff>
    </xdr:from>
    <xdr:to>
      <xdr:col>22</xdr:col>
      <xdr:colOff>186267</xdr:colOff>
      <xdr:row>27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DC56F-F99C-4DCD-9E63-D1DC23910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0</xdr:row>
      <xdr:rowOff>0</xdr:rowOff>
    </xdr:from>
    <xdr:to>
      <xdr:col>16</xdr:col>
      <xdr:colOff>411480</xdr:colOff>
      <xdr:row>26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10BA1-36BF-44BA-9A21-BDB14A899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4E57EC-4705-4573-9D9D-6BDB83F85BEC}" name="Table3" displayName="Table3" ref="A2:J99" totalsRowShown="0" tableBorderDxfId="53">
  <autoFilter ref="A2:J99" xr:uid="{234E57EC-4705-4573-9D9D-6BDB83F85BEC}"/>
  <tableColumns count="10">
    <tableColumn id="1" xr3:uid="{550888F0-7619-487F-A795-36EA89EE9C21}" name="Date" dataDxfId="52"/>
    <tableColumn id="2" xr3:uid="{570BEE8A-F394-4B60-8802-C087380644CC}" name="GEPrice" dataDxfId="51"/>
    <tableColumn id="3" xr3:uid="{91EC5054-49AE-4B4B-A15A-7030D00AF02B}" name="GEDiv" dataDxfId="50"/>
    <tableColumn id="4" xr3:uid="{8A6F0F2B-9FCC-4E26-8B22-CE96F48157C8}" name="GEFact" dataDxfId="49"/>
    <tableColumn id="5" xr3:uid="{6DCD1BFC-7EA0-4232-992C-70DB72C322A4}" name="AAPLPrice" dataDxfId="48"/>
    <tableColumn id="6" xr3:uid="{A8F0A229-A5DD-4D62-8DA1-81AD5B8F9DED}" name="AAPLDiv" dataDxfId="47"/>
    <tableColumn id="7" xr3:uid="{9A1EF180-9ACF-4E19-BD7B-665C9FCA2D84}" name="AAPLFact" dataDxfId="46"/>
    <tableColumn id="8" xr3:uid="{FB37C99C-FDB8-40F4-AA1C-855AD13E3136}" name="PGPrice" dataDxfId="45"/>
    <tableColumn id="9" xr3:uid="{F0A6BB8B-403F-4A25-AB8F-B75DB93A4A53}" name="PGDiv" dataDxfId="44"/>
    <tableColumn id="10" xr3:uid="{F6F8BF5C-5237-499C-9C0A-EE79BD9855E1}" name="PGFac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88B0E-F16A-4C50-BE17-803E6CEBAE2A}" name="Table2" displayName="Table2" ref="A1:E97" totalsRowShown="0" headerRowDxfId="43" dataDxfId="42" tableBorderDxfId="41" dataCellStyle="Percent">
  <autoFilter ref="A1:E97" xr:uid="{4CD88B0E-F16A-4C50-BE17-803E6CEBAE2A}"/>
  <tableColumns count="5">
    <tableColumn id="1" xr3:uid="{17F0B52F-28D7-4AFF-B67B-459E1F8CC9B8}" name="Date" dataDxfId="40">
      <calculatedColumnFormula>PriceData!A3</calculatedColumnFormula>
    </tableColumn>
    <tableColumn id="2" xr3:uid="{D1F452BF-595C-4827-B075-BA1514A9A940}" name="GE" dataDxfId="39" dataCellStyle="Percent">
      <calculatedColumnFormula>LN((PriceData!B3+PriceData!C3)/PriceData!D3)-LN((PriceData!B4)/PriceData!D4)</calculatedColumnFormula>
    </tableColumn>
    <tableColumn id="3" xr3:uid="{0E068E2A-DDD9-4CB8-8B8B-D0C593891DE9}" name="AAPL" dataDxfId="38" dataCellStyle="Percent">
      <calculatedColumnFormula>LN((PriceData!E3+PriceData!F3)/PriceData!G3)-LN((PriceData!E4)/PriceData!G4)</calculatedColumnFormula>
    </tableColumn>
    <tableColumn id="4" xr3:uid="{B5DAD4D7-0CC3-47AC-A024-388C0448B055}" name="PG" dataDxfId="37" dataCellStyle="Percent">
      <calculatedColumnFormula>LN((PriceData!H3+PriceData!I3)/PriceData!J3)-LN((PriceData!H4)/PriceData!J4)</calculatedColumnFormula>
    </tableColumn>
    <tableColumn id="5" xr3:uid="{35B20E93-8A1A-4679-BD77-9865A9119A21}" name="Index" dataDxfId="36" dataCellStyle="Perc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E1F1A3-ED85-4BC6-900B-1AA6FBCDAAF7}" name="Table7" displayName="Table7" ref="A1:F97" totalsRowShown="0">
  <autoFilter ref="A1:F97" xr:uid="{F8E1F1A3-ED85-4BC6-900B-1AA6FBCDAAF7}"/>
  <tableColumns count="6">
    <tableColumn id="1" xr3:uid="{E8C1A00B-C4B6-4938-82CB-5844BBA8DE53}" name="Date" dataDxfId="35">
      <calculatedColumnFormula>ReturnData!A2</calculatedColumnFormula>
    </tableColumn>
    <tableColumn id="2" xr3:uid="{C9B6912F-0536-4CCF-9B6A-33478FCCA766}" name="T-Bill Monthly Rate " dataDxfId="34" dataCellStyle="Percent 2"/>
    <tableColumn id="3" xr3:uid="{F825CF48-DE29-426D-8524-E47FFBFAEF48}" name="GE Excess Return " dataDxfId="33">
      <calculatedColumnFormula>ReturnData!B2-$B2</calculatedColumnFormula>
    </tableColumn>
    <tableColumn id="4" xr3:uid="{BA150444-BDEF-4E69-BCAA-28B3545030D0}" name="AAPL Excess Return" dataDxfId="32">
      <calculatedColumnFormula>ReturnData!C2-$B2</calculatedColumnFormula>
    </tableColumn>
    <tableColumn id="5" xr3:uid="{871AD669-3D0A-479A-864C-40532D44D0E6}" name="PG Excess Return" dataDxfId="31">
      <calculatedColumnFormula>ReturnData!D2-$B2</calculatedColumnFormula>
    </tableColumn>
    <tableColumn id="6" xr3:uid="{31F394DC-BB40-4BD9-AA51-F12D3F618E3D}" name="Index Excess Return" dataDxfId="30">
      <calculatedColumnFormula>ReturnData!E2-$B2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32C629-7B33-4A29-AFA0-8A098FEE7CBF}" name="Table9" displayName="Table9" ref="B1:C16" totalsRowShown="0" headerRowDxfId="29" tableBorderDxfId="28">
  <autoFilter ref="B1:C16" xr:uid="{A632C629-7B33-4A29-AFA0-8A098FEE7CBF}"/>
  <tableColumns count="2">
    <tableColumn id="1" xr3:uid="{3EEE1C9D-E1A4-40A1-9F39-AA1639FF5CF2}" name="Beta " dataDxfId="27"/>
    <tableColumn id="2" xr3:uid="{BF19F68F-D83E-418C-A75F-0D76603DF2E4}" name="Mean Return" dataDxfId="2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DE0466-1ADF-403D-BBAD-984918C543A7}" name="Table12" displayName="Table12" ref="A2:J6" totalsRowShown="0">
  <autoFilter ref="A2:J6" xr:uid="{F8DE0466-1ADF-403D-BBAD-984918C543A7}"/>
  <tableColumns count="10">
    <tableColumn id="1" xr3:uid="{D79B96B0-1C2E-4141-B2B3-0CA4EE4F1B45}" name="Date" dataDxfId="25"/>
    <tableColumn id="2" xr3:uid="{FB5BEECE-B868-4CDE-9F1B-CD8144F6E079}" name="GEPrice" dataDxfId="24"/>
    <tableColumn id="3" xr3:uid="{9AA4BFBF-C54A-464A-94A1-A68BB1E12B00}" name="GEDiv" dataDxfId="23"/>
    <tableColumn id="4" xr3:uid="{20C6C3B3-9BE1-4FDF-9C29-2F3E6E2FA240}" name="GEFact" dataDxfId="22"/>
    <tableColumn id="5" xr3:uid="{970A737D-C22F-4FAD-8D61-8F31C6243B19}" name="AAPLPrice" dataDxfId="21"/>
    <tableColumn id="6" xr3:uid="{20FDBF84-5886-4A7B-97D8-95051F0999A1}" name="AAPLDiv" dataDxfId="20"/>
    <tableColumn id="7" xr3:uid="{53BF9BEA-4239-4BAE-81C9-6B607495435C}" name="AAPLFact" dataDxfId="19"/>
    <tableColumn id="8" xr3:uid="{E45D7894-89AE-46B9-9244-28CB5217FDB3}" name="PGPrice" dataDxfId="18"/>
    <tableColumn id="9" xr3:uid="{0A32C319-E55A-4810-93B3-355DECB7877B}" name="PGDiv" dataDxfId="17"/>
    <tableColumn id="10" xr3:uid="{7E90514E-4E8A-4767-A336-C20976ED957F}" name="PGFact" dataDxfId="1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F0CFFB-1A77-4732-9BF2-92402543B74C}" name="Table13" displayName="Table13" ref="A1:O4" totalsRowShown="0" dataDxfId="15" dataCellStyle="Percent">
  <autoFilter ref="A1:O4" xr:uid="{14F0CFFB-1A77-4732-9BF2-92402543B74C}"/>
  <tableColumns count="15">
    <tableColumn id="1" xr3:uid="{8B48ED72-F6C1-4EA7-AF4D-F4DC9A435C99}" name="Date" dataDxfId="14">
      <calculatedColumnFormula>NewPriceData!A3</calculatedColumnFormula>
    </tableColumn>
    <tableColumn id="2" xr3:uid="{0BBA426C-DDA1-4266-BC93-07676A4404E6}" name="GE" dataDxfId="13" dataCellStyle="Percent">
      <calculatedColumnFormula>LN((NewPriceData!B3+NewPriceData!C3)/NewPriceData!D3)-LN((NewPriceData!B4)/NewPriceData!D4)</calculatedColumnFormula>
    </tableColumn>
    <tableColumn id="3" xr3:uid="{CD3E52AC-9AF0-4C60-8A38-23B58FFC2870}" name="AAPL" dataDxfId="12" dataCellStyle="Percent">
      <calculatedColumnFormula>LN((NewPriceData!E3+NewPriceData!F3)/NewPriceData!G3)-LN((NewPriceData!E4)/NewPriceData!G4)</calculatedColumnFormula>
    </tableColumn>
    <tableColumn id="4" xr3:uid="{9BF58225-8C1F-4F54-BBCC-120D498B118D}" name="PG" dataDxfId="11" dataCellStyle="Percent">
      <calculatedColumnFormula>LN((NewPriceData!H3+NewPriceData!I3)/NewPriceData!J3)-LN((NewPriceData!H4)/NewPriceData!J4)</calculatedColumnFormula>
    </tableColumn>
    <tableColumn id="5" xr3:uid="{0526D988-BE10-4DD0-B1B4-8C4A5E498CB6}" name="Index" dataDxfId="10" dataCellStyle="Percent"/>
    <tableColumn id="6" xr3:uid="{C6DDFC30-F67C-4B6C-A05A-510318AC5F2B}" name="P1" dataDxfId="9" dataCellStyle="Percent">
      <calculatedColumnFormula>((0.4*$B2)+(0*$C2)+(0.6*$D2))</calculatedColumnFormula>
    </tableColumn>
    <tableColumn id="7" xr3:uid="{C1B46F76-0834-4A7F-B72E-BF29D99E1533}" name="P2" dataDxfId="8" dataCellStyle="Percent">
      <calculatedColumnFormula>((0.5*$B2)+(0.5*$C2)+(0*$D2))</calculatedColumnFormula>
    </tableColumn>
    <tableColumn id="8" xr3:uid="{857F5D19-AFEC-4495-B237-2CE9755479D7}" name="P3" dataDxfId="7" dataCellStyle="Percent">
      <calculatedColumnFormula>((0*$B2)+(0.45*$C2)+(0.55*$D2))</calculatedColumnFormula>
    </tableColumn>
    <tableColumn id="9" xr3:uid="{B4EC3112-5377-4893-BD0A-40E2D76E13F2}" name="P4" dataDxfId="6" dataCellStyle="Percent">
      <calculatedColumnFormula array="1">((Third*$B2)+(Third*$C2)+(Third*$D2))</calculatedColumnFormula>
    </tableColumn>
    <tableColumn id="10" xr3:uid="{1935D199-E116-4BEC-875F-DB6618E5FDB4}" name="P5" dataDxfId="5" dataCellStyle="Percent">
      <calculatedColumnFormula>((0.5*$B2)+(0.25*$C2)+(0.25*$D2))</calculatedColumnFormula>
    </tableColumn>
    <tableColumn id="11" xr3:uid="{ADEB11FE-AFE8-4252-BDFB-DE126F80CC7B}" name="P6" dataDxfId="4" dataCellStyle="Percent">
      <calculatedColumnFormula>((0.25*$B2)+(0.5*$C2)+(0.25*$D2))</calculatedColumnFormula>
    </tableColumn>
    <tableColumn id="12" xr3:uid="{1564F747-F9B3-4144-97A3-F30C8896949D}" name="P7" dataDxfId="3" dataCellStyle="Percent">
      <calculatedColumnFormula>((0.25*$B2)+(0.25*$C2)+(0.5*$D2))</calculatedColumnFormula>
    </tableColumn>
    <tableColumn id="13" xr3:uid="{653FFE24-E1C3-4F44-A1CC-839A71A574F6}" name="P8" dataDxfId="2" dataCellStyle="Percent">
      <calculatedColumnFormula>((0.1*$B2)+(0.2*$C2)+(0.7*$D2))</calculatedColumnFormula>
    </tableColumn>
    <tableColumn id="14" xr3:uid="{AD3B4333-F857-4362-8F67-5F2F2B65F3E3}" name="P9" dataDxfId="1" dataCellStyle="Percent">
      <calculatedColumnFormula>((0.2*$B2)+(0.1*$C2)+(0.7*$D2))</calculatedColumnFormula>
    </tableColumn>
    <tableColumn id="15" xr3:uid="{325A5A44-27D0-4EF5-9D96-D73613D19CD2}" name="P10" dataDxfId="0" dataCellStyle="Percent">
      <calculatedColumnFormula>((0.7*$B2)+(0.2*$C2)+(0.1*$D2))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E08-0644-4B80-911B-EBE5E62E7966}">
  <dimension ref="A1:J99"/>
  <sheetViews>
    <sheetView workbookViewId="0">
      <selection activeCell="K9" sqref="K9"/>
    </sheetView>
  </sheetViews>
  <sheetFormatPr defaultRowHeight="14.4" x14ac:dyDescent="0.3"/>
  <cols>
    <col min="1" max="1" width="11.5546875" bestFit="1" customWidth="1"/>
    <col min="2" max="2" width="12" bestFit="1" customWidth="1"/>
    <col min="5" max="6" width="12" bestFit="1" customWidth="1"/>
    <col min="7" max="7" width="10.77734375" customWidth="1"/>
    <col min="8" max="8" width="12" bestFit="1" customWidth="1"/>
  </cols>
  <sheetData>
    <row r="1" spans="1:10" ht="15" thickBot="1" x14ac:dyDescent="0.35">
      <c r="A1" t="s">
        <v>0</v>
      </c>
    </row>
    <row r="2" spans="1:10" x14ac:dyDescent="0.3">
      <c r="A2" s="31" t="s">
        <v>1</v>
      </c>
      <c r="B2" s="33" t="s">
        <v>3</v>
      </c>
      <c r="C2" s="34" t="s">
        <v>2</v>
      </c>
      <c r="D2" s="35" t="s">
        <v>4</v>
      </c>
      <c r="E2" s="36" t="s">
        <v>5</v>
      </c>
      <c r="F2" s="37" t="s">
        <v>6</v>
      </c>
      <c r="G2" s="38" t="s">
        <v>7</v>
      </c>
      <c r="H2" s="39" t="s">
        <v>8</v>
      </c>
      <c r="I2" s="40" t="s">
        <v>9</v>
      </c>
      <c r="J2" s="40" t="s">
        <v>10</v>
      </c>
    </row>
    <row r="3" spans="1:10" x14ac:dyDescent="0.3">
      <c r="A3" s="32">
        <v>44196</v>
      </c>
      <c r="B3" s="25">
        <v>10.800000190734863</v>
      </c>
      <c r="C3" s="26">
        <v>9.9999997764825821E-3</v>
      </c>
      <c r="D3" s="27">
        <v>1</v>
      </c>
      <c r="E3" s="25">
        <v>132.69000244140625</v>
      </c>
      <c r="F3" s="26"/>
      <c r="G3" s="27">
        <v>1</v>
      </c>
      <c r="H3" s="25">
        <v>139.13999938964844</v>
      </c>
      <c r="I3" s="26"/>
      <c r="J3" s="51">
        <v>1</v>
      </c>
    </row>
    <row r="4" spans="1:10" x14ac:dyDescent="0.3">
      <c r="A4" s="32">
        <v>44165</v>
      </c>
      <c r="B4" s="25">
        <v>10.180000305175781</v>
      </c>
      <c r="C4" s="26"/>
      <c r="D4" s="27">
        <v>1</v>
      </c>
      <c r="E4" s="25">
        <v>119.05000305175781</v>
      </c>
      <c r="F4" s="26">
        <v>0.20499999821186066</v>
      </c>
      <c r="G4" s="27">
        <v>1</v>
      </c>
      <c r="H4" s="25">
        <v>138.8699951171875</v>
      </c>
      <c r="I4" s="26"/>
      <c r="J4" s="51">
        <v>1</v>
      </c>
    </row>
    <row r="5" spans="1:10" x14ac:dyDescent="0.3">
      <c r="A5" s="32">
        <v>44134</v>
      </c>
      <c r="B5" s="25">
        <v>7.4200000762939453</v>
      </c>
      <c r="C5" s="26"/>
      <c r="D5" s="27">
        <v>1</v>
      </c>
      <c r="E5" s="25">
        <v>108.86000061035156</v>
      </c>
      <c r="F5" s="26"/>
      <c r="G5" s="27">
        <v>1</v>
      </c>
      <c r="H5" s="25">
        <v>137.10000610351563</v>
      </c>
      <c r="I5" s="26">
        <v>0.79070001840591431</v>
      </c>
      <c r="J5" s="51">
        <v>1</v>
      </c>
    </row>
    <row r="6" spans="1:10" x14ac:dyDescent="0.3">
      <c r="A6" s="32">
        <v>44104</v>
      </c>
      <c r="B6" s="25">
        <v>6.2300000190734863</v>
      </c>
      <c r="C6" s="26">
        <v>9.9999997764825821E-3</v>
      </c>
      <c r="D6" s="27">
        <v>1</v>
      </c>
      <c r="E6" s="25">
        <v>115.80999755859375</v>
      </c>
      <c r="F6" s="26"/>
      <c r="G6" s="27">
        <v>1</v>
      </c>
      <c r="H6" s="25">
        <v>138.99000549316406</v>
      </c>
      <c r="I6" s="26"/>
      <c r="J6" s="51">
        <v>1</v>
      </c>
    </row>
    <row r="7" spans="1:10" x14ac:dyDescent="0.3">
      <c r="A7" s="32">
        <v>44074</v>
      </c>
      <c r="B7" s="25">
        <v>6.3400001525878906</v>
      </c>
      <c r="C7" s="26"/>
      <c r="D7" s="27">
        <v>1</v>
      </c>
      <c r="E7" s="25">
        <v>129.03999328613281</v>
      </c>
      <c r="F7" s="26">
        <v>0.20499999821186066</v>
      </c>
      <c r="G7" s="27">
        <v>1</v>
      </c>
      <c r="H7" s="25">
        <v>138.33000183105469</v>
      </c>
      <c r="I7" s="26"/>
      <c r="J7" s="51">
        <v>1</v>
      </c>
    </row>
    <row r="8" spans="1:10" x14ac:dyDescent="0.3">
      <c r="A8" s="32">
        <v>44043</v>
      </c>
      <c r="B8" s="25">
        <v>6.070000171661377</v>
      </c>
      <c r="C8" s="26"/>
      <c r="D8" s="27">
        <v>1</v>
      </c>
      <c r="E8" s="25">
        <v>425.04000854492188</v>
      </c>
      <c r="F8" s="26"/>
      <c r="G8" s="27">
        <v>4</v>
      </c>
      <c r="H8" s="25">
        <v>131.1199951171875</v>
      </c>
      <c r="I8" s="26">
        <v>0.79070001840591431</v>
      </c>
      <c r="J8" s="51">
        <v>1</v>
      </c>
    </row>
    <row r="9" spans="1:10" x14ac:dyDescent="0.3">
      <c r="A9" s="32">
        <v>44012</v>
      </c>
      <c r="B9" s="25">
        <v>6.8299999237060547</v>
      </c>
      <c r="C9" s="26">
        <v>9.9999997764825821E-3</v>
      </c>
      <c r="D9" s="27">
        <v>1</v>
      </c>
      <c r="E9" s="25">
        <v>364.79998779296875</v>
      </c>
      <c r="F9" s="26"/>
      <c r="G9" s="27">
        <v>4</v>
      </c>
      <c r="H9" s="25">
        <v>119.56999969482422</v>
      </c>
      <c r="I9" s="26"/>
      <c r="J9" s="51">
        <v>1</v>
      </c>
    </row>
    <row r="10" spans="1:10" x14ac:dyDescent="0.3">
      <c r="A10" s="32">
        <v>43980</v>
      </c>
      <c r="B10" s="25">
        <v>6.570000171661377</v>
      </c>
      <c r="C10" s="26"/>
      <c r="D10" s="27">
        <v>1</v>
      </c>
      <c r="E10" s="25">
        <v>317.94000244140625</v>
      </c>
      <c r="F10" s="26">
        <v>0.81999999284744263</v>
      </c>
      <c r="G10" s="27">
        <v>4</v>
      </c>
      <c r="H10" s="25">
        <v>115.91999816894531</v>
      </c>
      <c r="I10" s="26"/>
      <c r="J10" s="51">
        <v>1</v>
      </c>
    </row>
    <row r="11" spans="1:10" x14ac:dyDescent="0.3">
      <c r="A11" s="32">
        <v>43951</v>
      </c>
      <c r="B11" s="25">
        <v>6.8000001907348633</v>
      </c>
      <c r="C11" s="26"/>
      <c r="D11" s="27">
        <v>1</v>
      </c>
      <c r="E11" s="25">
        <v>293.79998779296875</v>
      </c>
      <c r="F11" s="26"/>
      <c r="G11" s="27">
        <v>4</v>
      </c>
      <c r="H11" s="25">
        <v>117.87000274658203</v>
      </c>
      <c r="I11" s="26">
        <v>0.79070001840591431</v>
      </c>
      <c r="J11" s="51">
        <v>1</v>
      </c>
    </row>
    <row r="12" spans="1:10" x14ac:dyDescent="0.3">
      <c r="A12" s="32">
        <v>43921</v>
      </c>
      <c r="B12" s="25">
        <v>7.940000057220459</v>
      </c>
      <c r="C12" s="26">
        <v>9.9999997764825821E-3</v>
      </c>
      <c r="D12" s="27">
        <v>1</v>
      </c>
      <c r="E12" s="25">
        <v>254.28999328613281</v>
      </c>
      <c r="F12" s="26"/>
      <c r="G12" s="27">
        <v>4</v>
      </c>
      <c r="H12" s="25">
        <v>110</v>
      </c>
      <c r="I12" s="26"/>
      <c r="J12" s="51">
        <v>1</v>
      </c>
    </row>
    <row r="13" spans="1:10" x14ac:dyDescent="0.3">
      <c r="A13" s="32">
        <v>43889</v>
      </c>
      <c r="B13" s="25">
        <v>10.880000114440918</v>
      </c>
      <c r="C13" s="26"/>
      <c r="D13" s="27">
        <v>1</v>
      </c>
      <c r="E13" s="25">
        <v>273.3599853515625</v>
      </c>
      <c r="F13" s="26">
        <v>0.76999998092651367</v>
      </c>
      <c r="G13" s="27">
        <v>4</v>
      </c>
      <c r="H13" s="25">
        <v>113.23000335693359</v>
      </c>
      <c r="I13" s="26"/>
      <c r="J13" s="51">
        <v>1</v>
      </c>
    </row>
    <row r="14" spans="1:10" x14ac:dyDescent="0.3">
      <c r="A14" s="32">
        <v>43861</v>
      </c>
      <c r="B14" s="25">
        <v>12.449999809265137</v>
      </c>
      <c r="C14" s="26"/>
      <c r="D14" s="27">
        <v>1</v>
      </c>
      <c r="E14" s="25">
        <v>309.510009765625</v>
      </c>
      <c r="F14" s="26"/>
      <c r="G14" s="27">
        <v>4</v>
      </c>
      <c r="H14" s="25">
        <v>124.62000274658203</v>
      </c>
      <c r="I14" s="26">
        <v>0.74589997529983521</v>
      </c>
      <c r="J14" s="51">
        <v>1</v>
      </c>
    </row>
    <row r="15" spans="1:10" x14ac:dyDescent="0.3">
      <c r="A15" s="32">
        <v>43830</v>
      </c>
      <c r="B15" s="25">
        <v>11.159999847412109</v>
      </c>
      <c r="C15" s="26">
        <v>9.9999997764825821E-3</v>
      </c>
      <c r="D15" s="27">
        <v>1</v>
      </c>
      <c r="E15" s="25">
        <v>293.64999389648438</v>
      </c>
      <c r="F15" s="26"/>
      <c r="G15" s="27">
        <v>4</v>
      </c>
      <c r="H15" s="25">
        <v>124.90000152587891</v>
      </c>
      <c r="I15" s="26"/>
      <c r="J15" s="51">
        <v>1</v>
      </c>
    </row>
    <row r="16" spans="1:10" x14ac:dyDescent="0.3">
      <c r="A16" s="32">
        <v>43798</v>
      </c>
      <c r="B16" s="25">
        <v>11.270000457763672</v>
      </c>
      <c r="C16" s="26"/>
      <c r="D16" s="27">
        <v>1</v>
      </c>
      <c r="E16" s="25">
        <v>267.25</v>
      </c>
      <c r="F16" s="26">
        <v>0.76999998092651367</v>
      </c>
      <c r="G16" s="27">
        <v>4</v>
      </c>
      <c r="H16" s="25">
        <v>122.05999755859375</v>
      </c>
      <c r="I16" s="26"/>
      <c r="J16" s="51">
        <v>1</v>
      </c>
    </row>
    <row r="17" spans="1:10" x14ac:dyDescent="0.3">
      <c r="A17" s="32">
        <v>43769</v>
      </c>
      <c r="B17" s="25">
        <v>9.9799995422363281</v>
      </c>
      <c r="C17" s="26"/>
      <c r="D17" s="27">
        <v>1</v>
      </c>
      <c r="E17" s="25">
        <v>248.75999450683594</v>
      </c>
      <c r="F17" s="26"/>
      <c r="G17" s="27">
        <v>4</v>
      </c>
      <c r="H17" s="25">
        <v>124.51000213623047</v>
      </c>
      <c r="I17" s="26">
        <v>0.74589997529983521</v>
      </c>
      <c r="J17" s="51">
        <v>1</v>
      </c>
    </row>
    <row r="18" spans="1:10" x14ac:dyDescent="0.3">
      <c r="A18" s="32">
        <v>43738</v>
      </c>
      <c r="B18" s="25">
        <v>8.9399995803833008</v>
      </c>
      <c r="C18" s="26">
        <v>9.9999997764825821E-3</v>
      </c>
      <c r="D18" s="27">
        <v>1</v>
      </c>
      <c r="E18" s="25">
        <v>223.97000122070313</v>
      </c>
      <c r="F18" s="26"/>
      <c r="G18" s="27">
        <v>4</v>
      </c>
      <c r="H18" s="25">
        <v>124.37999725341797</v>
      </c>
      <c r="I18" s="26"/>
      <c r="J18" s="51">
        <v>1</v>
      </c>
    </row>
    <row r="19" spans="1:10" x14ac:dyDescent="0.3">
      <c r="A19" s="32">
        <v>43707</v>
      </c>
      <c r="B19" s="25">
        <v>8.25</v>
      </c>
      <c r="C19" s="26"/>
      <c r="D19" s="27">
        <v>1</v>
      </c>
      <c r="E19" s="25">
        <v>208.74000549316406</v>
      </c>
      <c r="F19" s="26">
        <v>0.76999998092651367</v>
      </c>
      <c r="G19" s="27">
        <v>4</v>
      </c>
      <c r="H19" s="25">
        <v>120.23000335693359</v>
      </c>
      <c r="I19" s="26"/>
      <c r="J19" s="51">
        <v>1</v>
      </c>
    </row>
    <row r="20" spans="1:10" x14ac:dyDescent="0.3">
      <c r="A20" s="32">
        <v>43677</v>
      </c>
      <c r="B20" s="25">
        <v>10.449999809265137</v>
      </c>
      <c r="C20" s="26"/>
      <c r="D20" s="27">
        <v>1</v>
      </c>
      <c r="E20" s="25">
        <v>213.03999328613281</v>
      </c>
      <c r="F20" s="26"/>
      <c r="G20" s="27">
        <v>4</v>
      </c>
      <c r="H20" s="25">
        <v>118.04000091552734</v>
      </c>
      <c r="I20" s="26">
        <v>0.74589997529983521</v>
      </c>
      <c r="J20" s="51">
        <v>1</v>
      </c>
    </row>
    <row r="21" spans="1:10" x14ac:dyDescent="0.3">
      <c r="A21" s="32">
        <v>43644</v>
      </c>
      <c r="B21" s="25">
        <v>10.5</v>
      </c>
      <c r="C21" s="26">
        <v>9.9999997764825821E-3</v>
      </c>
      <c r="D21" s="27">
        <v>1</v>
      </c>
      <c r="E21" s="25">
        <v>197.91999816894531</v>
      </c>
      <c r="F21" s="26"/>
      <c r="G21" s="27">
        <v>4</v>
      </c>
      <c r="H21" s="25">
        <v>109.65000152587891</v>
      </c>
      <c r="I21" s="26"/>
      <c r="J21" s="51">
        <v>1</v>
      </c>
    </row>
    <row r="22" spans="1:10" x14ac:dyDescent="0.3">
      <c r="A22" s="32">
        <v>43616</v>
      </c>
      <c r="B22" s="25">
        <v>9.4399995803833008</v>
      </c>
      <c r="C22" s="26"/>
      <c r="D22" s="27">
        <v>1</v>
      </c>
      <c r="E22" s="25">
        <v>175.07000732421875</v>
      </c>
      <c r="F22" s="26">
        <v>0.76999998092651367</v>
      </c>
      <c r="G22" s="27">
        <v>4</v>
      </c>
      <c r="H22" s="25">
        <v>102.91000366210938</v>
      </c>
      <c r="I22" s="26"/>
      <c r="J22" s="51">
        <v>1</v>
      </c>
    </row>
    <row r="23" spans="1:10" x14ac:dyDescent="0.3">
      <c r="A23" s="32">
        <v>43585</v>
      </c>
      <c r="B23" s="25">
        <v>10.170000076293945</v>
      </c>
      <c r="C23" s="26"/>
      <c r="D23" s="27">
        <v>1</v>
      </c>
      <c r="E23" s="25">
        <v>200.66999816894531</v>
      </c>
      <c r="F23" s="26"/>
      <c r="G23" s="27">
        <v>4</v>
      </c>
      <c r="H23" s="25">
        <v>106.48000335693359</v>
      </c>
      <c r="I23" s="26">
        <v>0.74589997529983521</v>
      </c>
      <c r="J23" s="51">
        <v>1</v>
      </c>
    </row>
    <row r="24" spans="1:10" x14ac:dyDescent="0.3">
      <c r="A24" s="32">
        <v>43553</v>
      </c>
      <c r="B24" s="25">
        <v>9.9899997711181641</v>
      </c>
      <c r="C24" s="26">
        <v>9.9999997764825821E-3</v>
      </c>
      <c r="D24" s="27">
        <v>1</v>
      </c>
      <c r="E24" s="25">
        <v>189.94999694824219</v>
      </c>
      <c r="F24" s="26"/>
      <c r="G24" s="27">
        <v>4</v>
      </c>
      <c r="H24" s="25">
        <v>104.05000305175781</v>
      </c>
      <c r="I24" s="26"/>
      <c r="J24" s="51">
        <v>1</v>
      </c>
    </row>
    <row r="25" spans="1:10" x14ac:dyDescent="0.3">
      <c r="A25" s="32">
        <v>43524</v>
      </c>
      <c r="B25" s="25">
        <v>10.390000343322754</v>
      </c>
      <c r="C25" s="26">
        <v>0.39723914861679077</v>
      </c>
      <c r="D25" s="27">
        <v>1</v>
      </c>
      <c r="E25" s="25">
        <v>173.14999389648438</v>
      </c>
      <c r="F25" s="26">
        <v>0.73000001907348633</v>
      </c>
      <c r="G25" s="27">
        <v>4</v>
      </c>
      <c r="H25" s="25">
        <v>98.550003051757813</v>
      </c>
      <c r="I25" s="26"/>
      <c r="J25" s="51">
        <v>1</v>
      </c>
    </row>
    <row r="26" spans="1:10" x14ac:dyDescent="0.3">
      <c r="A26" s="32">
        <v>43496</v>
      </c>
      <c r="B26" s="25">
        <v>10.159999847412109</v>
      </c>
      <c r="C26" s="26"/>
      <c r="D26" s="27">
        <v>1</v>
      </c>
      <c r="E26" s="25">
        <v>166.44000244140625</v>
      </c>
      <c r="F26" s="26"/>
      <c r="G26" s="27">
        <v>4</v>
      </c>
      <c r="H26" s="25">
        <v>96.470001220703125</v>
      </c>
      <c r="I26" s="26">
        <v>0.71719998121261597</v>
      </c>
      <c r="J26" s="51">
        <v>1</v>
      </c>
    </row>
    <row r="27" spans="1:10" x14ac:dyDescent="0.3">
      <c r="A27" s="32">
        <v>43465</v>
      </c>
      <c r="B27" s="25">
        <v>7.570000171661377</v>
      </c>
      <c r="C27" s="26">
        <v>9.9999997764825821E-3</v>
      </c>
      <c r="D27" s="27">
        <v>1</v>
      </c>
      <c r="E27" s="25">
        <v>157.74000549316406</v>
      </c>
      <c r="F27" s="26"/>
      <c r="G27" s="27">
        <v>4</v>
      </c>
      <c r="H27" s="25">
        <v>91.919998168945313</v>
      </c>
      <c r="I27" s="26"/>
      <c r="J27" s="51">
        <v>1</v>
      </c>
    </row>
    <row r="28" spans="1:10" x14ac:dyDescent="0.3">
      <c r="A28" s="32">
        <v>43434</v>
      </c>
      <c r="B28" s="25">
        <v>7.5</v>
      </c>
      <c r="C28" s="26"/>
      <c r="D28" s="27">
        <v>1</v>
      </c>
      <c r="E28" s="25">
        <v>178.58000183105469</v>
      </c>
      <c r="F28" s="26">
        <v>0.73000001907348633</v>
      </c>
      <c r="G28" s="27">
        <v>4</v>
      </c>
      <c r="H28" s="25">
        <v>94.510002136230469</v>
      </c>
      <c r="I28" s="26"/>
      <c r="J28" s="51">
        <v>1</v>
      </c>
    </row>
    <row r="29" spans="1:10" x14ac:dyDescent="0.3">
      <c r="A29" s="32">
        <v>43404</v>
      </c>
      <c r="B29" s="25">
        <v>10.100000381469727</v>
      </c>
      <c r="C29" s="26"/>
      <c r="D29" s="27">
        <v>1</v>
      </c>
      <c r="E29" s="25">
        <v>218.86000061035156</v>
      </c>
      <c r="F29" s="26"/>
      <c r="G29" s="27">
        <v>4</v>
      </c>
      <c r="H29" s="25">
        <v>88.680000305175781</v>
      </c>
      <c r="I29" s="26">
        <v>0.71719998121261597</v>
      </c>
      <c r="J29" s="51">
        <v>1</v>
      </c>
    </row>
    <row r="30" spans="1:10" x14ac:dyDescent="0.3">
      <c r="A30" s="32">
        <v>43371</v>
      </c>
      <c r="B30" s="25">
        <v>11.289999961853027</v>
      </c>
      <c r="C30" s="26">
        <v>0.11999999731779099</v>
      </c>
      <c r="D30" s="27">
        <v>1</v>
      </c>
      <c r="E30" s="25">
        <v>225.74000549316406</v>
      </c>
      <c r="F30" s="26"/>
      <c r="G30" s="27">
        <v>4</v>
      </c>
      <c r="H30" s="25">
        <v>83.230003356933594</v>
      </c>
      <c r="I30" s="26"/>
      <c r="J30" s="51">
        <v>1</v>
      </c>
    </row>
    <row r="31" spans="1:10" x14ac:dyDescent="0.3">
      <c r="A31" s="32">
        <v>43343</v>
      </c>
      <c r="B31" s="25">
        <v>12.939999580383301</v>
      </c>
      <c r="C31" s="26"/>
      <c r="D31" s="27">
        <v>1</v>
      </c>
      <c r="E31" s="25">
        <v>227.6300048828125</v>
      </c>
      <c r="F31" s="26">
        <v>0.73000001907348633</v>
      </c>
      <c r="G31" s="27">
        <v>4</v>
      </c>
      <c r="H31" s="25">
        <v>82.949996948242188</v>
      </c>
      <c r="I31" s="26"/>
      <c r="J31" s="51">
        <v>1</v>
      </c>
    </row>
    <row r="32" spans="1:10" x14ac:dyDescent="0.3">
      <c r="A32" s="32">
        <v>43312</v>
      </c>
      <c r="B32" s="25">
        <v>13.630000114440918</v>
      </c>
      <c r="C32" s="26"/>
      <c r="D32" s="27">
        <v>1</v>
      </c>
      <c r="E32" s="25">
        <v>190.28999328613281</v>
      </c>
      <c r="F32" s="26"/>
      <c r="G32" s="27">
        <v>4</v>
      </c>
      <c r="H32" s="25">
        <v>80.879997253417969</v>
      </c>
      <c r="I32" s="26">
        <v>0.71719998121261597</v>
      </c>
      <c r="J32" s="51">
        <v>1</v>
      </c>
    </row>
    <row r="33" spans="1:10" x14ac:dyDescent="0.3">
      <c r="A33" s="32">
        <v>43280</v>
      </c>
      <c r="B33" s="25">
        <v>13.609999656677246</v>
      </c>
      <c r="C33" s="26">
        <v>0.11999999731779099</v>
      </c>
      <c r="D33" s="27">
        <v>1</v>
      </c>
      <c r="E33" s="25">
        <v>185.11000061035156</v>
      </c>
      <c r="F33" s="26"/>
      <c r="G33" s="27">
        <v>4</v>
      </c>
      <c r="H33" s="25">
        <v>78.05999755859375</v>
      </c>
      <c r="I33" s="26"/>
      <c r="J33" s="51">
        <v>1</v>
      </c>
    </row>
    <row r="34" spans="1:10" x14ac:dyDescent="0.3">
      <c r="A34" s="32">
        <v>43251</v>
      </c>
      <c r="B34" s="25">
        <v>14.079999923706055</v>
      </c>
      <c r="C34" s="26"/>
      <c r="D34" s="27">
        <v>1</v>
      </c>
      <c r="E34" s="25">
        <v>186.8699951171875</v>
      </c>
      <c r="F34" s="26">
        <v>0.73000001907348633</v>
      </c>
      <c r="G34" s="27">
        <v>4</v>
      </c>
      <c r="H34" s="25">
        <v>73.169998168945313</v>
      </c>
      <c r="I34" s="26"/>
      <c r="J34" s="51">
        <v>1</v>
      </c>
    </row>
    <row r="35" spans="1:10" x14ac:dyDescent="0.3">
      <c r="A35" s="32">
        <v>43220</v>
      </c>
      <c r="B35" s="25">
        <v>14.069999694824219</v>
      </c>
      <c r="C35" s="26"/>
      <c r="D35" s="27">
        <v>1</v>
      </c>
      <c r="E35" s="25">
        <v>165.25999450683594</v>
      </c>
      <c r="F35" s="26"/>
      <c r="G35" s="27">
        <v>4</v>
      </c>
      <c r="H35" s="25">
        <v>72.339996337890625</v>
      </c>
      <c r="I35" s="26">
        <v>0.71719998121261597</v>
      </c>
      <c r="J35" s="51">
        <v>1</v>
      </c>
    </row>
    <row r="36" spans="1:10" x14ac:dyDescent="0.3">
      <c r="A36" s="32">
        <v>43188</v>
      </c>
      <c r="B36" s="25">
        <v>13.479999542236328</v>
      </c>
      <c r="C36" s="26"/>
      <c r="D36" s="27">
        <v>1</v>
      </c>
      <c r="E36" s="25">
        <v>167.77999877929688</v>
      </c>
      <c r="F36" s="26"/>
      <c r="G36" s="27">
        <v>4</v>
      </c>
      <c r="H36" s="25">
        <v>79.279998779296875</v>
      </c>
      <c r="I36" s="26"/>
      <c r="J36" s="51">
        <v>1</v>
      </c>
    </row>
    <row r="37" spans="1:10" x14ac:dyDescent="0.3">
      <c r="A37" s="32">
        <v>43159</v>
      </c>
      <c r="B37" s="25">
        <v>14.109999656677246</v>
      </c>
      <c r="C37" s="26">
        <v>0.11999999731779099</v>
      </c>
      <c r="D37" s="27">
        <v>1</v>
      </c>
      <c r="E37" s="25">
        <v>178.1199951171875</v>
      </c>
      <c r="F37" s="26">
        <v>0.62999999523162842</v>
      </c>
      <c r="G37" s="27">
        <v>4</v>
      </c>
      <c r="H37" s="25">
        <v>78.519996643066406</v>
      </c>
      <c r="I37" s="26"/>
      <c r="J37" s="51">
        <v>1</v>
      </c>
    </row>
    <row r="38" spans="1:10" x14ac:dyDescent="0.3">
      <c r="A38" s="32">
        <v>43131</v>
      </c>
      <c r="B38" s="25">
        <v>16.170000076293945</v>
      </c>
      <c r="C38" s="26"/>
      <c r="D38" s="27">
        <v>1</v>
      </c>
      <c r="E38" s="25">
        <v>167.42999267578125</v>
      </c>
      <c r="F38" s="26"/>
      <c r="G38" s="27">
        <v>4</v>
      </c>
      <c r="H38" s="25">
        <v>86.339996337890625</v>
      </c>
      <c r="I38" s="26">
        <v>0.68959999084472656</v>
      </c>
      <c r="J38" s="51">
        <v>1</v>
      </c>
    </row>
    <row r="39" spans="1:10" x14ac:dyDescent="0.3">
      <c r="A39" s="32">
        <v>43098</v>
      </c>
      <c r="B39" s="25">
        <v>17.450000762939453</v>
      </c>
      <c r="C39" s="26">
        <v>0.11999999731779099</v>
      </c>
      <c r="D39" s="27">
        <v>1</v>
      </c>
      <c r="E39" s="25">
        <v>169.22999572753906</v>
      </c>
      <c r="F39" s="26"/>
      <c r="G39" s="27">
        <v>4</v>
      </c>
      <c r="H39" s="25">
        <v>91.879997253417969</v>
      </c>
      <c r="I39" s="26"/>
      <c r="J39" s="51">
        <v>1</v>
      </c>
    </row>
    <row r="40" spans="1:10" x14ac:dyDescent="0.3">
      <c r="A40" s="32">
        <v>43069</v>
      </c>
      <c r="B40" s="25">
        <v>18.290000915527344</v>
      </c>
      <c r="C40" s="26"/>
      <c r="D40" s="27">
        <v>1</v>
      </c>
      <c r="E40" s="25">
        <v>171.85000610351563</v>
      </c>
      <c r="F40" s="26">
        <v>0.62999999523162842</v>
      </c>
      <c r="G40" s="27">
        <v>4</v>
      </c>
      <c r="H40" s="25">
        <v>89.989997863769531</v>
      </c>
      <c r="I40" s="26"/>
      <c r="J40" s="51">
        <v>1</v>
      </c>
    </row>
    <row r="41" spans="1:10" x14ac:dyDescent="0.3">
      <c r="A41" s="32">
        <v>43039</v>
      </c>
      <c r="B41" s="25">
        <v>20.159999847412109</v>
      </c>
      <c r="C41" s="26"/>
      <c r="D41" s="27">
        <v>1</v>
      </c>
      <c r="E41" s="25">
        <v>169.03999328613281</v>
      </c>
      <c r="F41" s="26"/>
      <c r="G41" s="27">
        <v>4</v>
      </c>
      <c r="H41" s="25">
        <v>86.339996337890625</v>
      </c>
      <c r="I41" s="26">
        <v>0.68959999084472656</v>
      </c>
      <c r="J41" s="51">
        <v>1</v>
      </c>
    </row>
    <row r="42" spans="1:10" x14ac:dyDescent="0.3">
      <c r="A42" s="32">
        <v>43007</v>
      </c>
      <c r="B42" s="25">
        <v>24.180000305175781</v>
      </c>
      <c r="C42" s="26">
        <v>0.23999999463558197</v>
      </c>
      <c r="D42" s="27">
        <v>1</v>
      </c>
      <c r="E42" s="25">
        <v>154.1199951171875</v>
      </c>
      <c r="F42" s="26"/>
      <c r="G42" s="27">
        <v>4</v>
      </c>
      <c r="H42" s="25">
        <v>90.980003356933594</v>
      </c>
      <c r="I42" s="26"/>
      <c r="J42" s="51">
        <v>1</v>
      </c>
    </row>
    <row r="43" spans="1:10" x14ac:dyDescent="0.3">
      <c r="A43" s="32">
        <v>42978</v>
      </c>
      <c r="B43" s="25">
        <v>24.549999237060547</v>
      </c>
      <c r="C43" s="26"/>
      <c r="D43" s="27">
        <v>1</v>
      </c>
      <c r="E43" s="25">
        <v>164</v>
      </c>
      <c r="F43" s="26">
        <v>0.62999999523162842</v>
      </c>
      <c r="G43" s="27">
        <v>4</v>
      </c>
      <c r="H43" s="25">
        <v>92.269996643066406</v>
      </c>
      <c r="I43" s="26"/>
      <c r="J43" s="51">
        <v>1</v>
      </c>
    </row>
    <row r="44" spans="1:10" x14ac:dyDescent="0.3">
      <c r="A44" s="32">
        <v>42947</v>
      </c>
      <c r="B44" s="25">
        <v>25.610000610351563</v>
      </c>
      <c r="C44" s="26"/>
      <c r="D44" s="27">
        <v>1</v>
      </c>
      <c r="E44" s="25">
        <v>148.72999572753906</v>
      </c>
      <c r="F44" s="26"/>
      <c r="G44" s="27">
        <v>4</v>
      </c>
      <c r="H44" s="25">
        <v>90.819999694824219</v>
      </c>
      <c r="I44" s="26">
        <v>0.68959999084472656</v>
      </c>
      <c r="J44" s="51">
        <v>1</v>
      </c>
    </row>
    <row r="45" spans="1:10" x14ac:dyDescent="0.3">
      <c r="A45" s="32">
        <v>42916</v>
      </c>
      <c r="B45" s="25">
        <v>27.010000228881836</v>
      </c>
      <c r="C45" s="26">
        <v>0.23999999463558197</v>
      </c>
      <c r="D45" s="27">
        <v>1</v>
      </c>
      <c r="E45" s="25">
        <v>144.02000427246094</v>
      </c>
      <c r="F45" s="26"/>
      <c r="G45" s="27">
        <v>4</v>
      </c>
      <c r="H45" s="25">
        <v>87.150001525878906</v>
      </c>
      <c r="I45" s="26"/>
      <c r="J45" s="51">
        <v>1</v>
      </c>
    </row>
    <row r="46" spans="1:10" x14ac:dyDescent="0.3">
      <c r="A46" s="32">
        <v>42886</v>
      </c>
      <c r="B46" s="25">
        <v>27.379999160766602</v>
      </c>
      <c r="C46" s="26"/>
      <c r="D46" s="27">
        <v>1</v>
      </c>
      <c r="E46" s="25">
        <v>152.75999450683594</v>
      </c>
      <c r="F46" s="26">
        <v>0.62999999523162842</v>
      </c>
      <c r="G46" s="27">
        <v>4</v>
      </c>
      <c r="H46" s="25">
        <v>88.089996337890625</v>
      </c>
      <c r="I46" s="26"/>
      <c r="J46" s="51">
        <v>1</v>
      </c>
    </row>
    <row r="47" spans="1:10" x14ac:dyDescent="0.3">
      <c r="A47" s="32">
        <v>42853</v>
      </c>
      <c r="B47" s="25">
        <v>28.989999771118164</v>
      </c>
      <c r="C47" s="26"/>
      <c r="D47" s="27">
        <v>1</v>
      </c>
      <c r="E47" s="25">
        <v>143.64999389648438</v>
      </c>
      <c r="F47" s="26"/>
      <c r="G47" s="27">
        <v>4</v>
      </c>
      <c r="H47" s="25">
        <v>87.330001831054688</v>
      </c>
      <c r="I47" s="26">
        <v>0.68959999084472656</v>
      </c>
      <c r="J47" s="51">
        <v>1</v>
      </c>
    </row>
    <row r="48" spans="1:10" x14ac:dyDescent="0.3">
      <c r="A48" s="32">
        <v>42825</v>
      </c>
      <c r="B48" s="25">
        <v>29.799999237060547</v>
      </c>
      <c r="C48" s="26"/>
      <c r="D48" s="27">
        <v>1</v>
      </c>
      <c r="E48" s="25">
        <v>143.66000366210938</v>
      </c>
      <c r="F48" s="26"/>
      <c r="G48" s="27">
        <v>4</v>
      </c>
      <c r="H48" s="25">
        <v>89.849998474121094</v>
      </c>
      <c r="I48" s="26"/>
      <c r="J48" s="51">
        <v>1</v>
      </c>
    </row>
    <row r="49" spans="1:10" x14ac:dyDescent="0.3">
      <c r="A49" s="32">
        <v>42794</v>
      </c>
      <c r="B49" s="25">
        <v>29.809999465942383</v>
      </c>
      <c r="C49" s="26">
        <v>0.23999999463558197</v>
      </c>
      <c r="D49" s="27">
        <v>1</v>
      </c>
      <c r="E49" s="25">
        <v>136.99000549316406</v>
      </c>
      <c r="F49" s="26">
        <v>0.56999999284744263</v>
      </c>
      <c r="G49" s="27">
        <v>4</v>
      </c>
      <c r="H49" s="25">
        <v>91.069999694824219</v>
      </c>
      <c r="I49" s="26"/>
      <c r="J49" s="51">
        <v>1</v>
      </c>
    </row>
    <row r="50" spans="1:10" x14ac:dyDescent="0.3">
      <c r="A50" s="32">
        <v>42766</v>
      </c>
      <c r="B50" s="25">
        <v>29.700000762939453</v>
      </c>
      <c r="C50" s="26"/>
      <c r="D50" s="27">
        <v>1</v>
      </c>
      <c r="E50" s="25">
        <v>121.34999847412109</v>
      </c>
      <c r="F50" s="26"/>
      <c r="G50" s="27">
        <v>4</v>
      </c>
      <c r="H50" s="25">
        <v>87.599998474121094</v>
      </c>
      <c r="I50" s="26">
        <v>0.66949999332427979</v>
      </c>
      <c r="J50" s="51">
        <v>1</v>
      </c>
    </row>
    <row r="51" spans="1:10" x14ac:dyDescent="0.3">
      <c r="A51" s="32">
        <v>42734</v>
      </c>
      <c r="B51" s="25">
        <v>31.600000381469727</v>
      </c>
      <c r="C51" s="26">
        <v>0.23999999463558197</v>
      </c>
      <c r="D51" s="27">
        <v>1</v>
      </c>
      <c r="E51" s="25">
        <v>115.81999969482422</v>
      </c>
      <c r="F51" s="26"/>
      <c r="G51" s="27">
        <v>4</v>
      </c>
      <c r="H51" s="25">
        <v>84.080001831054688</v>
      </c>
      <c r="I51" s="26"/>
      <c r="J51" s="51">
        <v>1</v>
      </c>
    </row>
    <row r="52" spans="1:10" x14ac:dyDescent="0.3">
      <c r="A52" s="32">
        <v>42704</v>
      </c>
      <c r="B52" s="25">
        <v>30.760000228881836</v>
      </c>
      <c r="C52" s="26"/>
      <c r="D52" s="27">
        <v>1</v>
      </c>
      <c r="E52" s="25">
        <v>110.51999664306641</v>
      </c>
      <c r="F52" s="26">
        <v>0.56999999284744263</v>
      </c>
      <c r="G52" s="27">
        <v>4</v>
      </c>
      <c r="H52" s="25">
        <v>82.459999084472656</v>
      </c>
      <c r="I52" s="26"/>
      <c r="J52" s="51">
        <v>1</v>
      </c>
    </row>
    <row r="53" spans="1:10" x14ac:dyDescent="0.3">
      <c r="A53" s="32">
        <v>42674</v>
      </c>
      <c r="B53" s="25">
        <v>29.100000381469727</v>
      </c>
      <c r="C53" s="26"/>
      <c r="D53" s="27">
        <v>1</v>
      </c>
      <c r="E53" s="25">
        <v>113.54000091552734</v>
      </c>
      <c r="F53" s="26"/>
      <c r="G53" s="27">
        <v>4</v>
      </c>
      <c r="H53" s="25">
        <v>86.800003051757813</v>
      </c>
      <c r="I53" s="26">
        <v>0.66949999332427979</v>
      </c>
      <c r="J53" s="51">
        <v>1</v>
      </c>
    </row>
    <row r="54" spans="1:10" x14ac:dyDescent="0.3">
      <c r="A54" s="32">
        <v>42643</v>
      </c>
      <c r="B54" s="25">
        <v>29.620000839233398</v>
      </c>
      <c r="C54" s="26">
        <v>0.23000000417232513</v>
      </c>
      <c r="D54" s="27">
        <v>1</v>
      </c>
      <c r="E54" s="25">
        <v>113.05000305175781</v>
      </c>
      <c r="F54" s="26"/>
      <c r="G54" s="27">
        <v>4</v>
      </c>
      <c r="H54" s="25">
        <v>89.75</v>
      </c>
      <c r="I54" s="26"/>
      <c r="J54" s="51">
        <v>1</v>
      </c>
    </row>
    <row r="55" spans="1:10" x14ac:dyDescent="0.3">
      <c r="A55" s="32">
        <v>42613</v>
      </c>
      <c r="B55" s="25">
        <v>31.239999771118164</v>
      </c>
      <c r="C55" s="26"/>
      <c r="D55" s="27">
        <v>1</v>
      </c>
      <c r="E55" s="25">
        <v>106.09999847412109</v>
      </c>
      <c r="F55" s="26">
        <v>0.56999999284744263</v>
      </c>
      <c r="G55" s="27">
        <v>4</v>
      </c>
      <c r="H55" s="25">
        <v>87.30999755859375</v>
      </c>
      <c r="I55" s="26"/>
      <c r="J55" s="51">
        <v>1</v>
      </c>
    </row>
    <row r="56" spans="1:10" x14ac:dyDescent="0.3">
      <c r="A56" s="32">
        <v>42580</v>
      </c>
      <c r="B56" s="25">
        <v>31.139999389648438</v>
      </c>
      <c r="C56" s="26"/>
      <c r="D56" s="27">
        <v>1</v>
      </c>
      <c r="E56" s="25">
        <v>104.20999908447266</v>
      </c>
      <c r="F56" s="26"/>
      <c r="G56" s="27">
        <v>4</v>
      </c>
      <c r="H56" s="25">
        <v>85.589996337890625</v>
      </c>
      <c r="I56" s="26">
        <v>0.66949999332427979</v>
      </c>
      <c r="J56" s="51">
        <v>1</v>
      </c>
    </row>
    <row r="57" spans="1:10" x14ac:dyDescent="0.3">
      <c r="A57" s="32">
        <v>42551</v>
      </c>
      <c r="B57" s="25">
        <v>31.479999542236328</v>
      </c>
      <c r="C57" s="26">
        <v>0.23000000417232513</v>
      </c>
      <c r="D57" s="27">
        <v>1</v>
      </c>
      <c r="E57" s="25">
        <v>95.599998474121094</v>
      </c>
      <c r="F57" s="26"/>
      <c r="G57" s="27">
        <v>4</v>
      </c>
      <c r="H57" s="25">
        <v>84.669998168945313</v>
      </c>
      <c r="I57" s="26"/>
      <c r="J57" s="51">
        <v>1</v>
      </c>
    </row>
    <row r="58" spans="1:10" x14ac:dyDescent="0.3">
      <c r="A58" s="32">
        <v>42521</v>
      </c>
      <c r="B58" s="25">
        <v>30.229999542236328</v>
      </c>
      <c r="C58" s="26"/>
      <c r="D58" s="27">
        <v>1</v>
      </c>
      <c r="E58" s="25">
        <v>99.860000610351563</v>
      </c>
      <c r="F58" s="26">
        <v>0.56999999284744263</v>
      </c>
      <c r="G58" s="27">
        <v>4</v>
      </c>
      <c r="H58" s="25">
        <v>81.040000915527344</v>
      </c>
      <c r="I58" s="26"/>
      <c r="J58" s="51">
        <v>1</v>
      </c>
    </row>
    <row r="59" spans="1:10" x14ac:dyDescent="0.3">
      <c r="A59" s="32">
        <v>42489</v>
      </c>
      <c r="B59" s="25">
        <v>30.75</v>
      </c>
      <c r="C59" s="26"/>
      <c r="D59" s="27">
        <v>1</v>
      </c>
      <c r="E59" s="25">
        <v>93.739997863769531</v>
      </c>
      <c r="F59" s="26"/>
      <c r="G59" s="27">
        <v>4</v>
      </c>
      <c r="H59" s="25">
        <v>80.120002746582031</v>
      </c>
      <c r="I59" s="26">
        <v>0.66949999332427979</v>
      </c>
      <c r="J59" s="51">
        <v>1</v>
      </c>
    </row>
    <row r="60" spans="1:10" x14ac:dyDescent="0.3">
      <c r="A60" s="32">
        <v>42460</v>
      </c>
      <c r="B60" s="25">
        <v>31.790000915527344</v>
      </c>
      <c r="C60" s="26"/>
      <c r="D60" s="27">
        <v>1</v>
      </c>
      <c r="E60" s="25">
        <v>108.98999786376953</v>
      </c>
      <c r="F60" s="26"/>
      <c r="G60" s="27">
        <v>4</v>
      </c>
      <c r="H60" s="25">
        <v>82.30999755859375</v>
      </c>
      <c r="I60" s="26"/>
      <c r="J60" s="51">
        <v>1</v>
      </c>
    </row>
    <row r="61" spans="1:10" x14ac:dyDescent="0.3">
      <c r="A61" s="32">
        <v>42429</v>
      </c>
      <c r="B61" s="25">
        <v>29.139999389648438</v>
      </c>
      <c r="C61" s="26">
        <v>0.23000000417232513</v>
      </c>
      <c r="D61" s="27">
        <v>1</v>
      </c>
      <c r="E61" s="25">
        <v>96.69000244140625</v>
      </c>
      <c r="F61" s="26">
        <v>0.51999998092651367</v>
      </c>
      <c r="G61" s="27">
        <v>4</v>
      </c>
      <c r="H61" s="25">
        <v>80.290000915527344</v>
      </c>
      <c r="I61" s="26"/>
      <c r="J61" s="51">
        <v>1</v>
      </c>
    </row>
    <row r="62" spans="1:10" x14ac:dyDescent="0.3">
      <c r="A62" s="32">
        <v>42398</v>
      </c>
      <c r="B62" s="25">
        <v>29.100000381469727</v>
      </c>
      <c r="C62" s="26"/>
      <c r="D62" s="27">
        <v>1</v>
      </c>
      <c r="E62" s="25">
        <v>97.339996337890625</v>
      </c>
      <c r="F62" s="26"/>
      <c r="G62" s="27">
        <v>4</v>
      </c>
      <c r="H62" s="25">
        <v>81.69000244140625</v>
      </c>
      <c r="I62" s="26">
        <v>0.66289997100830078</v>
      </c>
      <c r="J62" s="51">
        <v>1</v>
      </c>
    </row>
    <row r="63" spans="1:10" x14ac:dyDescent="0.3">
      <c r="A63" s="32">
        <v>42369</v>
      </c>
      <c r="B63" s="25">
        <v>31.149999618530273</v>
      </c>
      <c r="C63" s="26">
        <v>0.23000000417232513</v>
      </c>
      <c r="D63" s="27">
        <v>1</v>
      </c>
      <c r="E63" s="25">
        <v>105.26000213623047</v>
      </c>
      <c r="F63" s="26"/>
      <c r="G63" s="27">
        <v>4</v>
      </c>
      <c r="H63" s="25">
        <v>79.410003662109375</v>
      </c>
      <c r="I63" s="26"/>
      <c r="J63" s="51">
        <v>1</v>
      </c>
    </row>
    <row r="64" spans="1:10" x14ac:dyDescent="0.3">
      <c r="A64" s="32">
        <v>42338</v>
      </c>
      <c r="B64" s="25">
        <v>29.940000534057617</v>
      </c>
      <c r="C64" s="26"/>
      <c r="D64" s="27">
        <v>1</v>
      </c>
      <c r="E64" s="25">
        <v>118.30000305175781</v>
      </c>
      <c r="F64" s="26">
        <v>0.51999998092651367</v>
      </c>
      <c r="G64" s="27">
        <v>4</v>
      </c>
      <c r="H64" s="25">
        <v>74.839996337890625</v>
      </c>
      <c r="I64" s="26"/>
      <c r="J64" s="51">
        <v>1</v>
      </c>
    </row>
    <row r="65" spans="1:10" x14ac:dyDescent="0.3">
      <c r="A65" s="32">
        <v>42307</v>
      </c>
      <c r="B65" s="25">
        <v>28.920000076293945</v>
      </c>
      <c r="C65" s="26"/>
      <c r="D65" s="27">
        <v>1</v>
      </c>
      <c r="E65" s="25">
        <v>119.5</v>
      </c>
      <c r="F65" s="26"/>
      <c r="G65" s="27">
        <v>4</v>
      </c>
      <c r="H65" s="25">
        <v>76.379997253417969</v>
      </c>
      <c r="I65" s="26">
        <v>0.66289997100830078</v>
      </c>
      <c r="J65" s="51">
        <v>1</v>
      </c>
    </row>
    <row r="66" spans="1:10" x14ac:dyDescent="0.3">
      <c r="A66" s="32">
        <v>42277</v>
      </c>
      <c r="B66" s="25">
        <v>25.219999313354492</v>
      </c>
      <c r="C66" s="26">
        <v>0.23000000417232513</v>
      </c>
      <c r="D66" s="27">
        <v>1</v>
      </c>
      <c r="E66" s="25">
        <v>110.30000305175781</v>
      </c>
      <c r="F66" s="26"/>
      <c r="G66" s="27">
        <v>4</v>
      </c>
      <c r="H66" s="25">
        <v>71.94000244140625</v>
      </c>
      <c r="I66" s="26"/>
      <c r="J66" s="51">
        <v>1</v>
      </c>
    </row>
    <row r="67" spans="1:10" x14ac:dyDescent="0.3">
      <c r="A67" s="32">
        <v>42247</v>
      </c>
      <c r="B67" s="25">
        <v>24.819999694824219</v>
      </c>
      <c r="C67" s="26"/>
      <c r="D67" s="27">
        <v>1</v>
      </c>
      <c r="E67" s="25">
        <v>112.76000213623047</v>
      </c>
      <c r="F67" s="26">
        <v>0.51999998092651367</v>
      </c>
      <c r="G67" s="27">
        <v>4</v>
      </c>
      <c r="H67" s="25">
        <v>70.669998168945313</v>
      </c>
      <c r="I67" s="26"/>
      <c r="J67" s="51">
        <v>1</v>
      </c>
    </row>
    <row r="68" spans="1:10" x14ac:dyDescent="0.3">
      <c r="A68" s="32">
        <v>42216</v>
      </c>
      <c r="B68" s="25">
        <v>26.100000381469727</v>
      </c>
      <c r="C68" s="26"/>
      <c r="D68" s="27">
        <v>1</v>
      </c>
      <c r="E68" s="25">
        <v>121.30000305175781</v>
      </c>
      <c r="F68" s="26"/>
      <c r="G68" s="27">
        <v>4</v>
      </c>
      <c r="H68" s="25">
        <v>76.699996948242188</v>
      </c>
      <c r="I68" s="26">
        <v>0.66289997100830078</v>
      </c>
      <c r="J68" s="51">
        <v>1</v>
      </c>
    </row>
    <row r="69" spans="1:10" x14ac:dyDescent="0.3">
      <c r="A69" s="32">
        <v>42185</v>
      </c>
      <c r="B69" s="25">
        <v>26.569999694824219</v>
      </c>
      <c r="C69" s="26">
        <v>0.23000000417232513</v>
      </c>
      <c r="D69" s="27">
        <v>1</v>
      </c>
      <c r="E69" s="25">
        <v>125.42500305175781</v>
      </c>
      <c r="F69" s="26"/>
      <c r="G69" s="27">
        <v>4</v>
      </c>
      <c r="H69" s="25">
        <v>78.239997863769531</v>
      </c>
      <c r="I69" s="26"/>
      <c r="J69" s="51">
        <v>1</v>
      </c>
    </row>
    <row r="70" spans="1:10" x14ac:dyDescent="0.3">
      <c r="A70" s="32">
        <v>42153</v>
      </c>
      <c r="B70" s="25">
        <v>27.270000457763672</v>
      </c>
      <c r="C70" s="26"/>
      <c r="D70" s="27">
        <v>1</v>
      </c>
      <c r="E70" s="25">
        <v>130.27999877929688</v>
      </c>
      <c r="F70" s="26">
        <v>0.51999998092651367</v>
      </c>
      <c r="G70" s="27">
        <v>4</v>
      </c>
      <c r="H70" s="25">
        <v>78.389999389648438</v>
      </c>
      <c r="I70" s="26"/>
      <c r="J70" s="51">
        <v>1</v>
      </c>
    </row>
    <row r="71" spans="1:10" x14ac:dyDescent="0.3">
      <c r="A71" s="32">
        <v>42124</v>
      </c>
      <c r="B71" s="25">
        <v>27.079999923706055</v>
      </c>
      <c r="C71" s="26"/>
      <c r="D71" s="27">
        <v>1</v>
      </c>
      <c r="E71" s="25">
        <v>125.15000152587891</v>
      </c>
      <c r="F71" s="26"/>
      <c r="G71" s="27">
        <v>4</v>
      </c>
      <c r="H71" s="25">
        <v>79.510002136230469</v>
      </c>
      <c r="I71" s="26">
        <v>0.66289997100830078</v>
      </c>
      <c r="J71" s="51">
        <v>1</v>
      </c>
    </row>
    <row r="72" spans="1:10" x14ac:dyDescent="0.3">
      <c r="A72" s="32">
        <v>42094</v>
      </c>
      <c r="B72" s="25">
        <v>24.809999465942383</v>
      </c>
      <c r="C72" s="26"/>
      <c r="D72" s="27">
        <v>1</v>
      </c>
      <c r="E72" s="25">
        <v>124.43000030517578</v>
      </c>
      <c r="F72" s="26"/>
      <c r="G72" s="27">
        <v>4</v>
      </c>
      <c r="H72" s="25">
        <v>81.94000244140625</v>
      </c>
      <c r="I72" s="26"/>
      <c r="J72" s="51">
        <v>1</v>
      </c>
    </row>
    <row r="73" spans="1:10" x14ac:dyDescent="0.3">
      <c r="A73" s="32">
        <v>42062</v>
      </c>
      <c r="B73" s="25">
        <v>25.989999771118164</v>
      </c>
      <c r="C73" s="26">
        <v>0.23000000417232513</v>
      </c>
      <c r="D73" s="27">
        <v>1</v>
      </c>
      <c r="E73" s="25">
        <v>128.46000671386719</v>
      </c>
      <c r="F73" s="26">
        <v>0.4699999988079071</v>
      </c>
      <c r="G73" s="27">
        <v>4</v>
      </c>
      <c r="H73" s="25">
        <v>85.129997253417969</v>
      </c>
      <c r="I73" s="26"/>
      <c r="J73" s="51">
        <v>1</v>
      </c>
    </row>
    <row r="74" spans="1:10" x14ac:dyDescent="0.3">
      <c r="A74" s="32">
        <v>42034</v>
      </c>
      <c r="B74" s="25">
        <v>23.889999389648438</v>
      </c>
      <c r="C74" s="26"/>
      <c r="D74" s="27">
        <v>1</v>
      </c>
      <c r="E74" s="25">
        <v>117.16000366210938</v>
      </c>
      <c r="F74" s="26"/>
      <c r="G74" s="27">
        <v>4</v>
      </c>
      <c r="H74" s="25">
        <v>84.290000915527344</v>
      </c>
      <c r="I74" s="26">
        <v>0.6435999870300293</v>
      </c>
      <c r="J74" s="51">
        <v>1</v>
      </c>
    </row>
    <row r="75" spans="1:10" x14ac:dyDescent="0.3">
      <c r="A75" s="32">
        <v>42004</v>
      </c>
      <c r="B75" s="25">
        <v>25.270000457763672</v>
      </c>
      <c r="C75" s="26">
        <v>0.23000000417232513</v>
      </c>
      <c r="D75" s="27">
        <v>1</v>
      </c>
      <c r="E75" s="25">
        <v>110.37999725341797</v>
      </c>
      <c r="F75" s="26"/>
      <c r="G75" s="27">
        <v>4</v>
      </c>
      <c r="H75" s="25">
        <v>91.089996337890625</v>
      </c>
      <c r="I75" s="26"/>
      <c r="J75" s="51">
        <v>1</v>
      </c>
    </row>
    <row r="76" spans="1:10" x14ac:dyDescent="0.3">
      <c r="A76" s="32">
        <v>41971</v>
      </c>
      <c r="B76" s="25">
        <v>26.489999771118164</v>
      </c>
      <c r="C76" s="26"/>
      <c r="D76" s="27">
        <v>1</v>
      </c>
      <c r="E76" s="25">
        <v>118.93000030517578</v>
      </c>
      <c r="F76" s="26">
        <v>0.4699999988079071</v>
      </c>
      <c r="G76" s="27">
        <v>4</v>
      </c>
      <c r="H76" s="25">
        <v>90.430000305175781</v>
      </c>
      <c r="I76" s="26"/>
      <c r="J76" s="51">
        <v>1</v>
      </c>
    </row>
    <row r="77" spans="1:10" x14ac:dyDescent="0.3">
      <c r="A77" s="32">
        <v>41943</v>
      </c>
      <c r="B77" s="25">
        <v>25.809999465942383</v>
      </c>
      <c r="C77" s="26"/>
      <c r="D77" s="27">
        <v>1</v>
      </c>
      <c r="E77" s="25">
        <v>108</v>
      </c>
      <c r="F77" s="26"/>
      <c r="G77" s="27">
        <v>4</v>
      </c>
      <c r="H77" s="25">
        <v>87.269996643066406</v>
      </c>
      <c r="I77" s="26">
        <v>0.6435999870300293</v>
      </c>
      <c r="J77" s="51">
        <v>1</v>
      </c>
    </row>
    <row r="78" spans="1:10" x14ac:dyDescent="0.3">
      <c r="A78" s="32">
        <v>41912</v>
      </c>
      <c r="B78" s="25">
        <v>25.620000839233398</v>
      </c>
      <c r="C78" s="26">
        <v>0.2199999988079071</v>
      </c>
      <c r="D78" s="27">
        <v>1</v>
      </c>
      <c r="E78" s="25">
        <v>100.75</v>
      </c>
      <c r="F78" s="26"/>
      <c r="G78" s="27">
        <v>4</v>
      </c>
      <c r="H78" s="25">
        <v>83.739997863769531</v>
      </c>
      <c r="I78" s="26"/>
      <c r="J78" s="51">
        <v>1</v>
      </c>
    </row>
    <row r="79" spans="1:10" x14ac:dyDescent="0.3">
      <c r="A79" s="32">
        <v>41880</v>
      </c>
      <c r="B79" s="25">
        <v>25.979999542236328</v>
      </c>
      <c r="C79" s="26"/>
      <c r="D79" s="27">
        <v>1</v>
      </c>
      <c r="E79" s="25">
        <v>102.5</v>
      </c>
      <c r="F79" s="26">
        <v>0.4699999988079071</v>
      </c>
      <c r="G79" s="27">
        <v>4</v>
      </c>
      <c r="H79" s="25">
        <v>83.110000610351563</v>
      </c>
      <c r="I79" s="26"/>
      <c r="J79" s="51">
        <v>1</v>
      </c>
    </row>
    <row r="80" spans="1:10" x14ac:dyDescent="0.3">
      <c r="A80" s="32">
        <v>41851</v>
      </c>
      <c r="B80" s="25">
        <v>25.149999618530273</v>
      </c>
      <c r="C80" s="26"/>
      <c r="D80" s="27">
        <v>1</v>
      </c>
      <c r="E80" s="25">
        <v>95.599998474121094</v>
      </c>
      <c r="F80" s="26"/>
      <c r="G80" s="27">
        <v>4</v>
      </c>
      <c r="H80" s="25">
        <v>77.319999694824219</v>
      </c>
      <c r="I80" s="26">
        <v>0.6435999870300293</v>
      </c>
      <c r="J80" s="51">
        <v>1</v>
      </c>
    </row>
    <row r="81" spans="1:10" x14ac:dyDescent="0.3">
      <c r="A81" s="32">
        <v>41820</v>
      </c>
      <c r="B81" s="25">
        <v>26.280000686645508</v>
      </c>
      <c r="C81" s="26">
        <v>0.2199999988079071</v>
      </c>
      <c r="D81" s="27">
        <v>1</v>
      </c>
      <c r="E81" s="25">
        <v>92.930000305175781</v>
      </c>
      <c r="F81" s="26">
        <v>0</v>
      </c>
      <c r="G81" s="27">
        <v>4</v>
      </c>
      <c r="H81" s="25">
        <v>78.589996337890625</v>
      </c>
      <c r="I81" s="26"/>
      <c r="J81" s="51">
        <v>1</v>
      </c>
    </row>
    <row r="82" spans="1:10" x14ac:dyDescent="0.3">
      <c r="A82" s="32">
        <v>41789</v>
      </c>
      <c r="B82" s="25">
        <v>26.790000915527344</v>
      </c>
      <c r="C82" s="26"/>
      <c r="D82" s="27">
        <v>1</v>
      </c>
      <c r="E82" s="25">
        <v>633</v>
      </c>
      <c r="F82" s="26">
        <v>3.2899999618530273</v>
      </c>
      <c r="G82" s="27">
        <v>28</v>
      </c>
      <c r="H82" s="25">
        <v>80.790000915527344</v>
      </c>
      <c r="I82" s="26"/>
      <c r="J82" s="51">
        <v>1</v>
      </c>
    </row>
    <row r="83" spans="1:10" x14ac:dyDescent="0.3">
      <c r="A83" s="32">
        <v>41759</v>
      </c>
      <c r="B83" s="25">
        <v>26.889999389648438</v>
      </c>
      <c r="C83" s="26"/>
      <c r="D83" s="27">
        <v>1</v>
      </c>
      <c r="E83" s="25">
        <v>590.09002685546875</v>
      </c>
      <c r="F83" s="26"/>
      <c r="G83" s="27">
        <v>28</v>
      </c>
      <c r="H83" s="25">
        <v>82.550003051757813</v>
      </c>
      <c r="I83" s="26">
        <v>0.6435999870300293</v>
      </c>
      <c r="J83" s="51">
        <v>1</v>
      </c>
    </row>
    <row r="84" spans="1:10" x14ac:dyDescent="0.3">
      <c r="A84" s="32">
        <v>41729</v>
      </c>
      <c r="B84" s="25">
        <v>25.889999389648438</v>
      </c>
      <c r="C84" s="26"/>
      <c r="D84" s="27">
        <v>1</v>
      </c>
      <c r="E84" s="25">
        <v>536.739990234375</v>
      </c>
      <c r="F84" s="26"/>
      <c r="G84" s="27">
        <v>28</v>
      </c>
      <c r="H84" s="25">
        <v>80.599998474121094</v>
      </c>
      <c r="I84" s="26"/>
      <c r="J84" s="51">
        <v>1</v>
      </c>
    </row>
    <row r="85" spans="1:10" x14ac:dyDescent="0.3">
      <c r="A85" s="32">
        <v>41698</v>
      </c>
      <c r="B85" s="25">
        <v>25.469999313354492</v>
      </c>
      <c r="C85" s="26">
        <v>0.2199999988079071</v>
      </c>
      <c r="D85" s="27">
        <v>1</v>
      </c>
      <c r="E85" s="25">
        <v>526.239990234375</v>
      </c>
      <c r="F85" s="26">
        <v>3.0499999523162842</v>
      </c>
      <c r="G85" s="27">
        <v>28</v>
      </c>
      <c r="H85" s="25">
        <v>78.660003662109375</v>
      </c>
      <c r="I85" s="26"/>
      <c r="J85" s="51">
        <v>1</v>
      </c>
    </row>
    <row r="86" spans="1:10" x14ac:dyDescent="0.3">
      <c r="A86" s="32">
        <v>41670</v>
      </c>
      <c r="B86" s="25">
        <v>25.129999160766602</v>
      </c>
      <c r="C86" s="26"/>
      <c r="D86" s="27">
        <v>1</v>
      </c>
      <c r="E86" s="25">
        <v>500.60000610351563</v>
      </c>
      <c r="F86" s="26"/>
      <c r="G86" s="27">
        <v>28</v>
      </c>
      <c r="H86" s="25">
        <v>76.620002746582031</v>
      </c>
      <c r="I86" s="26">
        <v>0.60149997472763062</v>
      </c>
      <c r="J86" s="51">
        <v>1</v>
      </c>
    </row>
    <row r="87" spans="1:10" x14ac:dyDescent="0.3">
      <c r="A87" s="32">
        <v>41639</v>
      </c>
      <c r="B87" s="25">
        <v>28.030000686645508</v>
      </c>
      <c r="C87" s="26">
        <v>0.2199999988079071</v>
      </c>
      <c r="D87" s="27">
        <v>1</v>
      </c>
      <c r="E87" s="25">
        <v>561.02001953125</v>
      </c>
      <c r="F87" s="26"/>
      <c r="G87" s="27">
        <v>28</v>
      </c>
      <c r="H87" s="25">
        <v>81.410003662109375</v>
      </c>
      <c r="I87" s="26"/>
      <c r="J87" s="51">
        <v>1</v>
      </c>
    </row>
    <row r="88" spans="1:10" x14ac:dyDescent="0.3">
      <c r="A88" s="32">
        <v>41607</v>
      </c>
      <c r="B88" s="25">
        <v>26.659999847412109</v>
      </c>
      <c r="C88" s="26"/>
      <c r="D88" s="27">
        <v>1</v>
      </c>
      <c r="E88" s="25">
        <v>556.07000732421875</v>
      </c>
      <c r="F88" s="26">
        <v>3.0499999523162842</v>
      </c>
      <c r="G88" s="27">
        <v>28</v>
      </c>
      <c r="H88" s="25">
        <v>84.220001220703125</v>
      </c>
      <c r="I88" s="26"/>
      <c r="J88" s="51">
        <v>1</v>
      </c>
    </row>
    <row r="89" spans="1:10" x14ac:dyDescent="0.3">
      <c r="A89" s="32">
        <v>41578</v>
      </c>
      <c r="B89" s="25">
        <v>26.139999389648438</v>
      </c>
      <c r="C89" s="26"/>
      <c r="D89" s="27">
        <v>1</v>
      </c>
      <c r="E89" s="25">
        <v>522.7020263671875</v>
      </c>
      <c r="F89" s="26"/>
      <c r="G89" s="27">
        <v>28</v>
      </c>
      <c r="H89" s="25">
        <v>80.75</v>
      </c>
      <c r="I89" s="26">
        <v>0.60149997472763062</v>
      </c>
      <c r="J89" s="51">
        <v>1</v>
      </c>
    </row>
    <row r="90" spans="1:10" x14ac:dyDescent="0.3">
      <c r="A90" s="32">
        <v>41547</v>
      </c>
      <c r="B90" s="25">
        <v>23.889999389648438</v>
      </c>
      <c r="C90" s="26">
        <v>0.18999999761581421</v>
      </c>
      <c r="D90" s="27">
        <v>1</v>
      </c>
      <c r="E90" s="25">
        <v>476.75</v>
      </c>
      <c r="F90" s="26"/>
      <c r="G90" s="27">
        <v>28</v>
      </c>
      <c r="H90" s="25">
        <v>75.589996337890625</v>
      </c>
      <c r="I90" s="26"/>
      <c r="J90" s="51">
        <v>1</v>
      </c>
    </row>
    <row r="91" spans="1:10" x14ac:dyDescent="0.3">
      <c r="A91" s="32">
        <v>41516</v>
      </c>
      <c r="B91" s="25">
        <v>23.139999389648438</v>
      </c>
      <c r="C91" s="26"/>
      <c r="D91" s="27">
        <v>1</v>
      </c>
      <c r="E91" s="25">
        <v>487.21600341796875</v>
      </c>
      <c r="F91" s="26">
        <v>3.0499999523162842</v>
      </c>
      <c r="G91" s="27">
        <v>28</v>
      </c>
      <c r="H91" s="25">
        <v>77.889999389648438</v>
      </c>
      <c r="I91" s="26"/>
      <c r="J91" s="51">
        <v>1</v>
      </c>
    </row>
    <row r="92" spans="1:10" x14ac:dyDescent="0.3">
      <c r="A92" s="32">
        <v>41486</v>
      </c>
      <c r="B92" s="25">
        <v>24.370000839233398</v>
      </c>
      <c r="C92" s="26"/>
      <c r="D92" s="27">
        <v>1</v>
      </c>
      <c r="E92" s="25">
        <v>452.52999877929688</v>
      </c>
      <c r="F92" s="26"/>
      <c r="G92" s="27">
        <v>28</v>
      </c>
      <c r="H92" s="25">
        <v>80.300003051757813</v>
      </c>
      <c r="I92" s="26">
        <v>0.60149997472763062</v>
      </c>
      <c r="J92" s="51">
        <v>1</v>
      </c>
    </row>
    <row r="93" spans="1:10" x14ac:dyDescent="0.3">
      <c r="A93" s="32">
        <v>41453</v>
      </c>
      <c r="B93" s="25">
        <v>23.190000534057617</v>
      </c>
      <c r="C93" s="26">
        <v>0.18999999761581421</v>
      </c>
      <c r="D93" s="27">
        <v>1</v>
      </c>
      <c r="E93" s="25">
        <v>396.52999877929688</v>
      </c>
      <c r="F93" s="26"/>
      <c r="G93" s="27">
        <v>28</v>
      </c>
      <c r="H93" s="25">
        <v>76.989997863769531</v>
      </c>
      <c r="I93" s="26"/>
      <c r="J93" s="51">
        <v>1</v>
      </c>
    </row>
    <row r="94" spans="1:10" x14ac:dyDescent="0.3">
      <c r="A94" s="32">
        <v>41425</v>
      </c>
      <c r="B94" s="25">
        <v>23.319999694824219</v>
      </c>
      <c r="C94" s="26"/>
      <c r="D94" s="27">
        <v>1</v>
      </c>
      <c r="E94" s="25">
        <v>449.7349853515625</v>
      </c>
      <c r="F94" s="26">
        <v>3.0499999523162842</v>
      </c>
      <c r="G94" s="27">
        <v>28</v>
      </c>
      <c r="H94" s="25">
        <v>76.760002136230469</v>
      </c>
      <c r="I94" s="26"/>
      <c r="J94" s="51">
        <v>1</v>
      </c>
    </row>
    <row r="95" spans="1:10" x14ac:dyDescent="0.3">
      <c r="A95" s="32">
        <v>41394</v>
      </c>
      <c r="B95" s="25">
        <v>22.290000915527344</v>
      </c>
      <c r="C95" s="26"/>
      <c r="D95" s="27">
        <v>1</v>
      </c>
      <c r="E95" s="25">
        <v>442.77999877929688</v>
      </c>
      <c r="F95" s="26"/>
      <c r="G95" s="27">
        <v>28</v>
      </c>
      <c r="H95" s="25">
        <v>76.769996643066406</v>
      </c>
      <c r="I95" s="26">
        <v>0.60149997472763062</v>
      </c>
      <c r="J95" s="51">
        <v>1</v>
      </c>
    </row>
    <row r="96" spans="1:10" x14ac:dyDescent="0.3">
      <c r="A96" s="32">
        <v>41361</v>
      </c>
      <c r="B96" s="25">
        <v>23.120000839233398</v>
      </c>
      <c r="C96" s="26"/>
      <c r="D96" s="27">
        <v>1</v>
      </c>
      <c r="E96" s="25">
        <v>442.66000366210938</v>
      </c>
      <c r="F96" s="26"/>
      <c r="G96" s="27">
        <v>28</v>
      </c>
      <c r="H96" s="25">
        <v>77.05999755859375</v>
      </c>
      <c r="I96" s="26"/>
      <c r="J96" s="51">
        <v>1</v>
      </c>
    </row>
    <row r="97" spans="1:10" x14ac:dyDescent="0.3">
      <c r="A97" s="32">
        <v>41333</v>
      </c>
      <c r="B97" s="25">
        <v>23.219999313354492</v>
      </c>
      <c r="C97" s="26">
        <v>0.18999999761581421</v>
      </c>
      <c r="D97" s="27">
        <v>1</v>
      </c>
      <c r="E97" s="25">
        <v>441.39999389648438</v>
      </c>
      <c r="F97" s="26">
        <v>2.6500000953674316</v>
      </c>
      <c r="G97" s="27">
        <v>28</v>
      </c>
      <c r="H97" s="25">
        <v>76.180000305175781</v>
      </c>
      <c r="I97" s="26"/>
      <c r="J97" s="51">
        <v>1</v>
      </c>
    </row>
    <row r="98" spans="1:10" x14ac:dyDescent="0.3">
      <c r="A98" s="32">
        <v>41305</v>
      </c>
      <c r="B98" s="25">
        <v>22.280000686645508</v>
      </c>
      <c r="C98" s="26"/>
      <c r="D98" s="27">
        <v>1</v>
      </c>
      <c r="E98" s="25">
        <v>455.489990234375</v>
      </c>
      <c r="F98" s="26"/>
      <c r="G98" s="27">
        <v>28</v>
      </c>
      <c r="H98" s="25">
        <v>75.160003662109375</v>
      </c>
      <c r="I98" s="26">
        <v>0.56199997663497925</v>
      </c>
      <c r="J98" s="51">
        <v>1</v>
      </c>
    </row>
    <row r="99" spans="1:10" ht="15" thickBot="1" x14ac:dyDescent="0.35">
      <c r="A99" s="32">
        <v>41274</v>
      </c>
      <c r="B99" s="28">
        <v>20.989999771118164</v>
      </c>
      <c r="C99" s="29">
        <v>0.18999999761581421</v>
      </c>
      <c r="D99" s="30">
        <v>1</v>
      </c>
      <c r="E99" s="28">
        <v>532.17291259765625</v>
      </c>
      <c r="F99" s="29"/>
      <c r="G99" s="30">
        <v>28</v>
      </c>
      <c r="H99" s="28">
        <v>67.889999389648438</v>
      </c>
      <c r="I99" s="29"/>
      <c r="J99" s="52">
        <v>1</v>
      </c>
    </row>
  </sheetData>
  <sortState xmlns:xlrd2="http://schemas.microsoft.com/office/spreadsheetml/2017/richdata2" ref="A3:J99">
    <sortCondition descending="1" ref="A3:A99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E2B6-99BB-4F5C-BBEF-AD3E1753131A}">
  <dimension ref="A1:E99"/>
  <sheetViews>
    <sheetView topLeftCell="A2" workbookViewId="0">
      <selection activeCell="J20" sqref="J20"/>
    </sheetView>
  </sheetViews>
  <sheetFormatPr defaultRowHeight="14.4" x14ac:dyDescent="0.3"/>
  <cols>
    <col min="1" max="1" width="10.5546875" bestFit="1" customWidth="1"/>
  </cols>
  <sheetData>
    <row r="1" spans="1:5" x14ac:dyDescent="0.3">
      <c r="A1" s="49" t="s">
        <v>1</v>
      </c>
      <c r="B1" s="33" t="s">
        <v>11</v>
      </c>
      <c r="C1" s="36" t="s">
        <v>12</v>
      </c>
      <c r="D1" s="39" t="s">
        <v>13</v>
      </c>
      <c r="E1" s="50" t="s">
        <v>14</v>
      </c>
    </row>
    <row r="2" spans="1:5" x14ac:dyDescent="0.3">
      <c r="A2" s="1">
        <f>PriceData!A3</f>
        <v>44196</v>
      </c>
      <c r="B2" s="42">
        <f>LN((PriceData!B3+PriceData!C3)/PriceData!D3)-LN((PriceData!B4)/PriceData!D4)</f>
        <v>6.0046608174387117E-2</v>
      </c>
      <c r="C2" s="42">
        <f>LN((PriceData!E3+PriceData!F3)/PriceData!G3)-LN((PriceData!E4)/PriceData!G4)</f>
        <v>0.10847200038054439</v>
      </c>
      <c r="D2" s="42">
        <f>LN((PriceData!H3+PriceData!I3)/PriceData!J3)-LN((PriceData!H4)/PriceData!J4)</f>
        <v>1.9424075586380596E-3</v>
      </c>
      <c r="E2" s="47">
        <v>4.5048329999999998E-2</v>
      </c>
    </row>
    <row r="3" spans="1:5" x14ac:dyDescent="0.3">
      <c r="A3" s="1">
        <f>PriceData!A4</f>
        <v>44165</v>
      </c>
      <c r="B3" s="42">
        <f>LN((PriceData!B4+PriceData!C4)/PriceData!D4)-LN((PriceData!B5)/PriceData!D5)</f>
        <v>0.31624597363885876</v>
      </c>
      <c r="C3" s="42">
        <f>LN((PriceData!E4+PriceData!F4)/PriceData!G4)-LN((PriceData!E5)/PriceData!G5)</f>
        <v>9.1201424573022827E-2</v>
      </c>
      <c r="D3" s="42">
        <f>LN((PriceData!H4+PriceData!I4)/PriceData!J4)-LN((PriceData!H5)/PriceData!J5)</f>
        <v>1.2827577463275119E-2</v>
      </c>
      <c r="E3" s="47">
        <v>0.12370689999999999</v>
      </c>
    </row>
    <row r="4" spans="1:5" x14ac:dyDescent="0.3">
      <c r="A4" s="1">
        <f>PriceData!A5</f>
        <v>44134</v>
      </c>
      <c r="B4" s="42">
        <f>LN((PriceData!B5+PriceData!C5)/PriceData!D5)-LN((PriceData!B6)/PriceData!D6)</f>
        <v>0.17480273160057558</v>
      </c>
      <c r="C4" s="42">
        <f>LN((PriceData!E5+PriceData!F5)/PriceData!G5)-LN((PriceData!E6)/PriceData!G6)</f>
        <v>-6.1888237502340182E-2</v>
      </c>
      <c r="D4" s="42">
        <f>LN((PriceData!H5+PriceData!I5)/PriceData!J5)-LN((PriceData!H6)/PriceData!J6)</f>
        <v>-7.9406408707356491E-3</v>
      </c>
      <c r="E4" s="47">
        <v>-2.0178419999999999E-2</v>
      </c>
    </row>
    <row r="5" spans="1:5" x14ac:dyDescent="0.3">
      <c r="A5" s="1">
        <f>PriceData!A6</f>
        <v>44104</v>
      </c>
      <c r="B5" s="42">
        <f>LN((PriceData!B6+PriceData!C6)/PriceData!D6)-LN((PriceData!B7)/PriceData!D7)</f>
        <v>-1.589860711446045E-2</v>
      </c>
      <c r="C5" s="42">
        <f>LN((PriceData!E6+PriceData!F6)/PriceData!G6)-LN((PriceData!E7)/PriceData!G7)</f>
        <v>-0.10817148567245205</v>
      </c>
      <c r="D5" s="42">
        <f>LN((PriceData!H6+PriceData!I6)/PriceData!J6)-LN((PriceData!H7)/PriceData!J7)</f>
        <v>4.7598794950918233E-3</v>
      </c>
      <c r="E5" s="47">
        <v>-3.5056820000000002E-2</v>
      </c>
    </row>
    <row r="6" spans="1:5" x14ac:dyDescent="0.3">
      <c r="A6" s="1">
        <f>PriceData!A7</f>
        <v>44074</v>
      </c>
      <c r="B6" s="42">
        <f>LN((PriceData!B7+PriceData!C7)/PriceData!D7)-LN((PriceData!B8)/PriceData!D8)</f>
        <v>4.3520159164925687E-2</v>
      </c>
      <c r="C6" s="42">
        <f>LN((PriceData!E7+PriceData!F7)/PriceData!G7)-LN((PriceData!E8)/PriceData!G8)</f>
        <v>0.19582083483346668</v>
      </c>
      <c r="D6" s="42">
        <f>LN((PriceData!H7+PriceData!I7)/PriceData!J7)-LN((PriceData!H8)/PriceData!J8)</f>
        <v>5.3529250927274674E-2</v>
      </c>
      <c r="E6" s="47">
        <v>6.8442459999999997E-2</v>
      </c>
    </row>
    <row r="7" spans="1:5" x14ac:dyDescent="0.3">
      <c r="A7" s="1">
        <f>PriceData!A8</f>
        <v>44043</v>
      </c>
      <c r="B7" s="42">
        <f>LN((PriceData!B8+PriceData!C8)/PriceData!D8)-LN((PriceData!B9)/PriceData!D9)</f>
        <v>-0.11796602906058262</v>
      </c>
      <c r="C7" s="42">
        <f>LN((PriceData!E8+PriceData!F8)/PriceData!G8)-LN((PriceData!E9)/PriceData!G9)</f>
        <v>0.15283407750857503</v>
      </c>
      <c r="D7" s="42">
        <f>LN((PriceData!H8+PriceData!I8)/PriceData!J8)-LN((PriceData!H9)/PriceData!J9)</f>
        <v>9.8223170239496227E-2</v>
      </c>
      <c r="E7" s="47">
        <v>5.5528850000000005E-2</v>
      </c>
    </row>
    <row r="8" spans="1:5" x14ac:dyDescent="0.3">
      <c r="A8" s="1">
        <f>PriceData!A9</f>
        <v>44012</v>
      </c>
      <c r="B8" s="42">
        <f>LN((PriceData!B9+PriceData!C9)/PriceData!D9)-LN((PriceData!B10)/PriceData!D10)</f>
        <v>4.0273861823113322E-2</v>
      </c>
      <c r="C8" s="42">
        <f>LN((PriceData!E9+PriceData!F9)/PriceData!G9)-LN((PriceData!E10)/PriceData!G10)</f>
        <v>0.13748653132636601</v>
      </c>
      <c r="D8" s="42">
        <f>LN((PriceData!H9+PriceData!I9)/PriceData!J9)-LN((PriceData!H10)/PriceData!J10)</f>
        <v>3.1001689162631685E-2</v>
      </c>
      <c r="E8" s="47">
        <v>2.5299180000000001E-2</v>
      </c>
    </row>
    <row r="9" spans="1:5" x14ac:dyDescent="0.3">
      <c r="A9" s="1">
        <f>PriceData!A10</f>
        <v>43980</v>
      </c>
      <c r="B9" s="42">
        <f>LN((PriceData!B10+PriceData!C10)/PriceData!D10)-LN((PriceData!B11)/PriceData!D11)</f>
        <v>-3.4408781606723116E-2</v>
      </c>
      <c r="C9" s="42">
        <f>LN((PriceData!E10+PriceData!F10)/PriceData!G10)-LN((PriceData!E11)/PriceData!G11)</f>
        <v>8.1539253975185133E-2</v>
      </c>
      <c r="D9" s="42">
        <f>LN((PriceData!H10+PriceData!I10)/PriceData!J10)-LN((PriceData!H11)/PriceData!J11)</f>
        <v>-1.6682063323688823E-2</v>
      </c>
      <c r="E9" s="47">
        <v>5.3738590000000003E-2</v>
      </c>
    </row>
    <row r="10" spans="1:5" x14ac:dyDescent="0.3">
      <c r="A10" s="1">
        <f>PriceData!A11</f>
        <v>43951</v>
      </c>
      <c r="B10" s="42">
        <f>LN((PriceData!B11+PriceData!C11)/PriceData!D11)-LN((PriceData!B12)/PriceData!D12)</f>
        <v>-0.15499064223434589</v>
      </c>
      <c r="C10" s="42">
        <f>LN((PriceData!E11+PriceData!F11)/PriceData!G11)-LN((PriceData!E12)/PriceData!G12)</f>
        <v>0.1444239005720247</v>
      </c>
      <c r="D10" s="42">
        <f>LN((PriceData!H11+PriceData!I11)/PriceData!J11)-LN((PriceData!H12)/PriceData!J12)</f>
        <v>7.5787817530132529E-2</v>
      </c>
      <c r="E10" s="47">
        <v>0.1296766</v>
      </c>
    </row>
    <row r="11" spans="1:5" x14ac:dyDescent="0.3">
      <c r="A11" s="1">
        <f>PriceData!A12</f>
        <v>43921</v>
      </c>
      <c r="B11" s="42">
        <f>LN((PriceData!B12+PriceData!C12)/PriceData!D12)-LN((PriceData!B13)/PriceData!D13)</f>
        <v>-0.31375431611059623</v>
      </c>
      <c r="C11" s="42">
        <f>LN((PriceData!E12+PriceData!F12)/PriceData!G12)-LN((PriceData!E13)/PriceData!G13)</f>
        <v>-7.2314232601446093E-2</v>
      </c>
      <c r="D11" s="42">
        <f>LN((PriceData!H12+PriceData!I12)/PriceData!J12)-LN((PriceData!H13)/PriceData!J13)</f>
        <v>-2.894081218056499E-2</v>
      </c>
      <c r="E11" s="47">
        <v>-0.14173259999999999</v>
      </c>
    </row>
    <row r="12" spans="1:5" x14ac:dyDescent="0.3">
      <c r="A12" s="1">
        <f>PriceData!A13</f>
        <v>43889</v>
      </c>
      <c r="B12" s="42">
        <f>LN((PriceData!B13+PriceData!C13)/PriceData!D13)-LN((PriceData!B14)/PriceData!D14)</f>
        <v>-0.13479435564438402</v>
      </c>
      <c r="C12" s="42">
        <f>LN((PriceData!E13+PriceData!F13)/PriceData!G13)-LN((PriceData!E14)/PriceData!G14)</f>
        <v>-0.12138804041217099</v>
      </c>
      <c r="D12" s="42">
        <f>LN((PriceData!H13+PriceData!I13)/PriceData!J13)-LN((PriceData!H14)/PriceData!J14)</f>
        <v>-9.5847951182751245E-2</v>
      </c>
      <c r="E12" s="47">
        <v>-7.7918070000000006E-2</v>
      </c>
    </row>
    <row r="13" spans="1:5" x14ac:dyDescent="0.3">
      <c r="A13" s="1">
        <f>PriceData!A14</f>
        <v>43861</v>
      </c>
      <c r="B13" s="42">
        <f>LN((PriceData!B14+PriceData!C14)/PriceData!D14)-LN((PriceData!B15)/PriceData!D15)</f>
        <v>0.10938466431023253</v>
      </c>
      <c r="C13" s="42">
        <f>LN((PriceData!E14+PriceData!F14)/PriceData!G14)-LN((PriceData!E15)/PriceData!G15)</f>
        <v>5.2601872148756001E-2</v>
      </c>
      <c r="D13" s="42">
        <f>LN((PriceData!H14+PriceData!I14)/PriceData!J14)-LN((PriceData!H15)/PriceData!J15)</f>
        <v>3.7232537578040237E-3</v>
      </c>
      <c r="E13" s="47">
        <v>-1.7277760000000001E-3</v>
      </c>
    </row>
    <row r="14" spans="1:5" x14ac:dyDescent="0.3">
      <c r="A14" s="1">
        <f>PriceData!A15</f>
        <v>43830</v>
      </c>
      <c r="B14" s="42">
        <f>LN((PriceData!B15+PriceData!C15)/PriceData!D15)-LN((PriceData!B16)/PriceData!D16)</f>
        <v>-8.9127692689894289E-3</v>
      </c>
      <c r="C14" s="42">
        <f>LN((PriceData!E15+PriceData!F15)/PriceData!G15)-LN((PriceData!E16)/PriceData!G16)</f>
        <v>9.4204011278372413E-2</v>
      </c>
      <c r="D14" s="42">
        <f>LN((PriceData!H15+PriceData!I15)/PriceData!J15)-LN((PriceData!H16)/PriceData!J16)</f>
        <v>2.3000722233677884E-2</v>
      </c>
      <c r="E14" s="47">
        <v>2.8490680000000001E-2</v>
      </c>
    </row>
    <row r="15" spans="1:5" x14ac:dyDescent="0.3">
      <c r="A15" s="1">
        <f>PriceData!A16</f>
        <v>43798</v>
      </c>
      <c r="B15" s="42">
        <f>LN((PriceData!B16+PriceData!C16)/PriceData!D16)-LN((PriceData!B17)/PriceData!D17)</f>
        <v>0.12156132421431076</v>
      </c>
      <c r="C15" s="42">
        <f>LN((PriceData!E16+PriceData!F16)/PriceData!G16)-LN((PriceData!E17)/PriceData!G17)</f>
        <v>7.457305036741424E-2</v>
      </c>
      <c r="D15" s="42">
        <f>LN((PriceData!H16+PriceData!I16)/PriceData!J16)-LN((PriceData!H17)/PriceData!J17)</f>
        <v>-1.9873344006761329E-2</v>
      </c>
      <c r="E15" s="47">
        <v>3.4996520000000003E-2</v>
      </c>
    </row>
    <row r="16" spans="1:5" x14ac:dyDescent="0.3">
      <c r="A16" s="1">
        <f>PriceData!A17</f>
        <v>43769</v>
      </c>
      <c r="B16" s="42">
        <f>LN((PriceData!B17+PriceData!C17)/PriceData!D17)-LN((PriceData!B18)/PriceData!D18)</f>
        <v>0.11004750220683723</v>
      </c>
      <c r="C16" s="42">
        <f>LN((PriceData!E17+PriceData!F17)/PriceData!G17)-LN((PriceData!E18)/PriceData!G18)</f>
        <v>0.10497643438882687</v>
      </c>
      <c r="D16" s="42">
        <f>LN((PriceData!H17+PriceData!I17)/PriceData!J17)-LN((PriceData!H18)/PriceData!J18)</f>
        <v>7.0174879081266184E-3</v>
      </c>
      <c r="E16" s="47">
        <v>1.9255939999999999E-2</v>
      </c>
    </row>
    <row r="17" spans="1:5" x14ac:dyDescent="0.3">
      <c r="A17" s="1">
        <f>PriceData!A18</f>
        <v>43738</v>
      </c>
      <c r="B17" s="42">
        <f>LN((PriceData!B18+PriceData!C18)/PriceData!D18)-LN((PriceData!B19)/PriceData!D19)</f>
        <v>8.1440285030652149E-2</v>
      </c>
      <c r="C17" s="42">
        <f>LN((PriceData!E18+PriceData!F18)/PriceData!G18)-LN((PriceData!E19)/PriceData!G19)</f>
        <v>7.0422635056953009E-2</v>
      </c>
      <c r="D17" s="42">
        <f>LN((PriceData!H18+PriceData!I18)/PriceData!J18)-LN((PriceData!H19)/PriceData!J19)</f>
        <v>3.3934770685809745E-2</v>
      </c>
      <c r="E17" s="47">
        <v>1.6032970000000001E-2</v>
      </c>
    </row>
    <row r="18" spans="1:5" x14ac:dyDescent="0.3">
      <c r="A18" s="1">
        <f>PriceData!A19</f>
        <v>43707</v>
      </c>
      <c r="B18" s="42">
        <f>LN((PriceData!B19+PriceData!C19)/PriceData!D19)-LN((PriceData!B20)/PriceData!D20)</f>
        <v>-0.2363887598120904</v>
      </c>
      <c r="C18" s="42">
        <f>LN((PriceData!E19+PriceData!F19)/PriceData!G19)-LN((PriceData!E20)/PriceData!G20)</f>
        <v>-1.6708412943107209E-2</v>
      </c>
      <c r="D18" s="42">
        <f>LN((PriceData!H19+PriceData!I19)/PriceData!J19)-LN((PriceData!H20)/PriceData!J20)</f>
        <v>1.8383045076933335E-2</v>
      </c>
      <c r="E18" s="47">
        <v>-2.0339329999999999E-2</v>
      </c>
    </row>
    <row r="19" spans="1:5" x14ac:dyDescent="0.3">
      <c r="A19" s="1">
        <f>PriceData!A20</f>
        <v>43677</v>
      </c>
      <c r="B19" s="42">
        <f>LN((PriceData!B20+PriceData!C20)/PriceData!D20)-LN((PriceData!B21)/PriceData!D21)</f>
        <v>-4.773297004797783E-3</v>
      </c>
      <c r="C19" s="42">
        <f>LN((PriceData!E20+PriceData!F20)/PriceData!G20)-LN((PriceData!E21)/PriceData!G21)</f>
        <v>7.3617010598402643E-2</v>
      </c>
      <c r="D19" s="42">
        <f>LN((PriceData!H20+PriceData!I20)/PriceData!J20)-LN((PriceData!H21)/PriceData!J21)</f>
        <v>8.0029231735647244E-2</v>
      </c>
      <c r="E19" s="47">
        <v>1.185431E-2</v>
      </c>
    </row>
    <row r="20" spans="1:5" x14ac:dyDescent="0.3">
      <c r="A20" s="1">
        <f>PriceData!A21</f>
        <v>43644</v>
      </c>
      <c r="B20" s="42">
        <f>LN((PriceData!B21+PriceData!C21)/PriceData!D21)-LN((PriceData!B22)/PriceData!D22)</f>
        <v>0.10737124916110563</v>
      </c>
      <c r="C20" s="42">
        <f>LN((PriceData!E21+PriceData!F21)/PriceData!G21)-LN((PriceData!E22)/PriceData!G22)</f>
        <v>0.12267696361190428</v>
      </c>
      <c r="D20" s="42">
        <f>LN((PriceData!H21+PriceData!I21)/PriceData!J21)-LN((PriceData!H22)/PriceData!J22)</f>
        <v>6.3438633346247997E-2</v>
      </c>
      <c r="E20" s="47">
        <v>6.7278859999999996E-2</v>
      </c>
    </row>
    <row r="21" spans="1:5" x14ac:dyDescent="0.3">
      <c r="A21" s="1">
        <f>PriceData!A22</f>
        <v>43616</v>
      </c>
      <c r="B21" s="42">
        <f>LN((PriceData!B22+PriceData!C22)/PriceData!D22)-LN((PriceData!B23)/PriceData!D23)</f>
        <v>-7.4486281855844272E-2</v>
      </c>
      <c r="C21" s="42">
        <f>LN((PriceData!E22+PriceData!F22)/PriceData!G22)-LN((PriceData!E23)/PriceData!G23)</f>
        <v>-0.13208722647413573</v>
      </c>
      <c r="D21" s="42">
        <f>LN((PriceData!H22+PriceData!I22)/PriceData!J22)-LN((PriceData!H23)/PriceData!J23)</f>
        <v>-3.410235017972596E-2</v>
      </c>
      <c r="E21" s="47">
        <v>-6.167856E-2</v>
      </c>
    </row>
    <row r="22" spans="1:5" x14ac:dyDescent="0.3">
      <c r="A22" s="1">
        <f>PriceData!A23</f>
        <v>43585</v>
      </c>
      <c r="B22" s="42">
        <f>LN((PriceData!B23+PriceData!C23)/PriceData!D23)-LN((PriceData!B24)/PriceData!D24)</f>
        <v>1.785764781296395E-2</v>
      </c>
      <c r="C22" s="42">
        <f>LN((PriceData!E23+PriceData!F23)/PriceData!G23)-LN((PriceData!E24)/PriceData!G24)</f>
        <v>5.4900895106197556E-2</v>
      </c>
      <c r="D22" s="42">
        <f>LN((PriceData!H23+PriceData!I23)/PriceData!J23)-LN((PriceData!H24)/PriceData!J24)</f>
        <v>3.0066272840042707E-2</v>
      </c>
      <c r="E22" s="47">
        <v>3.788859E-2</v>
      </c>
    </row>
    <row r="23" spans="1:5" x14ac:dyDescent="0.3">
      <c r="A23" s="1">
        <f>PriceData!A24</f>
        <v>43553</v>
      </c>
      <c r="B23" s="42">
        <f>LN((PriceData!B24+PriceData!C24)/PriceData!D24)-LN((PriceData!B25)/PriceData!D25)</f>
        <v>-3.825876807120121E-2</v>
      </c>
      <c r="C23" s="42">
        <f>LN((PriceData!E24+PriceData!F24)/PriceData!G24)-LN((PriceData!E25)/PriceData!G25)</f>
        <v>9.2602627968966456E-2</v>
      </c>
      <c r="D23" s="42">
        <f>LN((PriceData!H24+PriceData!I24)/PriceData!J24)-LN((PriceData!H25)/PriceData!J25)</f>
        <v>5.4307517604044619E-2</v>
      </c>
      <c r="E23" s="47">
        <v>1.2963510000000001E-2</v>
      </c>
    </row>
    <row r="24" spans="1:5" x14ac:dyDescent="0.3">
      <c r="A24" s="1">
        <f>PriceData!A25</f>
        <v>43524</v>
      </c>
      <c r="B24" s="42">
        <f>LN((PriceData!B25+PriceData!C25)/PriceData!D25)-LN((PriceData!B26)/PriceData!D26)</f>
        <v>5.9905479919092564E-2</v>
      </c>
      <c r="C24" s="42">
        <f>LN((PriceData!E25+PriceData!F25)/PriceData!G25)-LN((PriceData!E26)/PriceData!G26)</f>
        <v>4.373047234527272E-2</v>
      </c>
      <c r="D24" s="42">
        <f>LN((PriceData!H25+PriceData!I25)/PriceData!J25)-LN((PriceData!H26)/PriceData!J26)</f>
        <v>2.1331972729153215E-2</v>
      </c>
      <c r="E24" s="47">
        <v>3.2723530000000001E-2</v>
      </c>
    </row>
    <row r="25" spans="1:5" x14ac:dyDescent="0.3">
      <c r="A25" s="1">
        <f>PriceData!A26</f>
        <v>43496</v>
      </c>
      <c r="B25" s="42">
        <f>LN((PriceData!B26+PriceData!C26)/PriceData!D26)-LN((PriceData!B27)/PriceData!D27)</f>
        <v>0.29426533700594959</v>
      </c>
      <c r="C25" s="42">
        <f>LN((PriceData!E26+PriceData!F26)/PriceData!G26)-LN((PriceData!E27)/PriceData!G27)</f>
        <v>5.3686755989116097E-2</v>
      </c>
      <c r="D25" s="42">
        <f>LN((PriceData!H26+PriceData!I26)/PriceData!J26)-LN((PriceData!H27)/PriceData!J27)</f>
        <v>5.5720414298676246E-2</v>
      </c>
      <c r="E25" s="47">
        <v>8.8295239999999997E-2</v>
      </c>
    </row>
    <row r="26" spans="1:5" x14ac:dyDescent="0.3">
      <c r="A26" s="1">
        <f>PriceData!A27</f>
        <v>43465</v>
      </c>
      <c r="B26" s="42">
        <f>LN((PriceData!B27+PriceData!C27)/PriceData!D27)-LN((PriceData!B28)/PriceData!D28)</f>
        <v>1.0610201729147395E-2</v>
      </c>
      <c r="C26" s="42">
        <f>LN((PriceData!E27+PriceData!F27)/PriceData!G27)-LN((PriceData!E28)/PriceData!G28)</f>
        <v>-0.12408854754847365</v>
      </c>
      <c r="D26" s="42">
        <f>LN((PriceData!H27+PriceData!I27)/PriceData!J27)-LN((PriceData!H28)/PriceData!J28)</f>
        <v>-2.7787057989776542E-2</v>
      </c>
      <c r="E26" s="47">
        <v>-8.9888949999999995E-2</v>
      </c>
    </row>
    <row r="27" spans="1:5" x14ac:dyDescent="0.3">
      <c r="A27" s="1">
        <f>PriceData!A28</f>
        <v>43434</v>
      </c>
      <c r="B27" s="42">
        <f>LN((PriceData!B28+PriceData!C28)/PriceData!D28)-LN((PriceData!B29)/PriceData!D29)</f>
        <v>-0.29763244107422837</v>
      </c>
      <c r="C27" s="42">
        <f>LN((PriceData!E28+PriceData!F28)/PriceData!G28)-LN((PriceData!E29)/PriceData!G29)</f>
        <v>-0.19931609695675867</v>
      </c>
      <c r="D27" s="42">
        <f>LN((PriceData!H28+PriceData!I28)/PriceData!J28)-LN((PriceData!H29)/PriceData!J29)</f>
        <v>6.3671283420760894E-2</v>
      </c>
      <c r="E27" s="47">
        <v>1.8489490000000001E-2</v>
      </c>
    </row>
    <row r="28" spans="1:5" x14ac:dyDescent="0.3">
      <c r="A28" s="1">
        <f>PriceData!A29</f>
        <v>43404</v>
      </c>
      <c r="B28" s="42">
        <f>LN((PriceData!B29+PriceData!C29)/PriceData!D29)-LN((PriceData!B30)/PriceData!D30)</f>
        <v>-0.11138191316624901</v>
      </c>
      <c r="C28" s="42">
        <f>LN((PriceData!E29+PriceData!F29)/PriceData!G29)-LN((PriceData!E30)/PriceData!G30)</f>
        <v>-3.0951660082436661E-2</v>
      </c>
      <c r="D28" s="42">
        <f>LN((PriceData!H29+PriceData!I29)/PriceData!J29)-LN((PriceData!H30)/PriceData!J30)</f>
        <v>7.1481464890806201E-2</v>
      </c>
      <c r="E28" s="47">
        <v>-7.4075700000000008E-2</v>
      </c>
    </row>
    <row r="29" spans="1:5" x14ac:dyDescent="0.3">
      <c r="A29" s="1">
        <f>PriceData!A30</f>
        <v>43371</v>
      </c>
      <c r="B29" s="42">
        <f>LN((PriceData!B30+PriceData!C30)/PriceData!D30)-LN((PriceData!B31)/PriceData!D31)</f>
        <v>-0.12583309634926287</v>
      </c>
      <c r="C29" s="42">
        <f>LN((PriceData!E30+PriceData!F30)/PriceData!G30)-LN((PriceData!E31)/PriceData!G31)</f>
        <v>-8.3376063484417173E-3</v>
      </c>
      <c r="D29" s="42">
        <f>LN((PriceData!H30+PriceData!I30)/PriceData!J30)-LN((PriceData!H31)/PriceData!J31)</f>
        <v>3.3699202450954147E-3</v>
      </c>
      <c r="E29" s="47">
        <v>4.32142E-4</v>
      </c>
    </row>
    <row r="30" spans="1:5" x14ac:dyDescent="0.3">
      <c r="A30" s="1">
        <f>PriceData!A31</f>
        <v>43343</v>
      </c>
      <c r="B30" s="42">
        <f>LN((PriceData!B31+PriceData!C31)/PriceData!D31)-LN((PriceData!B32)/PriceData!D32)</f>
        <v>-5.1949997459814323E-2</v>
      </c>
      <c r="C30" s="42">
        <f>LN((PriceData!E31+PriceData!F31)/PriceData!G31)-LN((PriceData!E32)/PriceData!G32)</f>
        <v>0.18237416353004132</v>
      </c>
      <c r="D30" s="42">
        <f>LN((PriceData!H31+PriceData!I31)/PriceData!J31)-LN((PriceData!H32)/PriceData!J32)</f>
        <v>2.5271439092637848E-2</v>
      </c>
      <c r="E30" s="47">
        <v>3.0204399999999999E-2</v>
      </c>
    </row>
    <row r="31" spans="1:5" x14ac:dyDescent="0.3">
      <c r="A31" s="1">
        <f>PriceData!A32</f>
        <v>43312</v>
      </c>
      <c r="B31" s="42">
        <f>LN((PriceData!B32+PriceData!C32)/PriceData!D32)-LN((PriceData!B33)/PriceData!D33)</f>
        <v>1.4684626670908862E-3</v>
      </c>
      <c r="C31" s="42">
        <f>LN((PriceData!E32+PriceData!F32)/PriceData!G32)-LN((PriceData!E33)/PriceData!G33)</f>
        <v>2.7598942762792955E-2</v>
      </c>
      <c r="D31" s="42">
        <f>LN((PriceData!H32+PriceData!I32)/PriceData!J32)-LN((PriceData!H33)/PriceData!J33)</f>
        <v>4.4317183288900885E-2</v>
      </c>
      <c r="E31" s="47">
        <v>3.1602690000000003E-2</v>
      </c>
    </row>
    <row r="32" spans="1:5" x14ac:dyDescent="0.3">
      <c r="A32" s="1">
        <f>PriceData!A33</f>
        <v>43280</v>
      </c>
      <c r="B32" s="42">
        <f>LN((PriceData!B33+PriceData!C33)/PriceData!D33)-LN((PriceData!B34)/PriceData!D34)</f>
        <v>-2.5172150732065912E-2</v>
      </c>
      <c r="C32" s="42">
        <f>LN((PriceData!E33+PriceData!F33)/PriceData!G33)-LN((PriceData!E34)/PriceData!G34)</f>
        <v>-9.4629155358711969E-3</v>
      </c>
      <c r="D32" s="42">
        <f>LN((PriceData!H33+PriceData!I33)/PriceData!J33)-LN((PriceData!H34)/PriceData!J34)</f>
        <v>6.4692254605172472E-2</v>
      </c>
      <c r="E32" s="47">
        <v>5.362637E-3</v>
      </c>
    </row>
    <row r="33" spans="1:5" x14ac:dyDescent="0.3">
      <c r="A33" s="1">
        <f>PriceData!A34</f>
        <v>43251</v>
      </c>
      <c r="B33" s="42">
        <f>LN((PriceData!B34+PriceData!C34)/PriceData!D34)-LN((PriceData!B35)/PriceData!D35)</f>
        <v>7.1049587481608611E-4</v>
      </c>
      <c r="C33" s="42">
        <f>LN((PriceData!E34+PriceData!F34)/PriceData!G34)-LN((PriceData!E35)/PriceData!G35)</f>
        <v>0.12679205261249793</v>
      </c>
      <c r="D33" s="42">
        <f>LN((PriceData!H34+PriceData!I34)/PriceData!J34)-LN((PriceData!H35)/PriceData!J35)</f>
        <v>1.1408299970898206E-2</v>
      </c>
      <c r="E33" s="47">
        <v>2.6174670000000001E-2</v>
      </c>
    </row>
    <row r="34" spans="1:5" x14ac:dyDescent="0.3">
      <c r="A34" s="1">
        <f>PriceData!A35</f>
        <v>43220</v>
      </c>
      <c r="B34" s="42">
        <f>LN((PriceData!B35+PriceData!C35)/PriceData!D35)-LN((PriceData!B36)/PriceData!D36)</f>
        <v>4.2837777911045372E-2</v>
      </c>
      <c r="C34" s="42">
        <f>LN((PriceData!E35+PriceData!F35)/PriceData!G35)-LN((PriceData!E36)/PriceData!G36)</f>
        <v>-1.5133632109018968E-2</v>
      </c>
      <c r="D34" s="42">
        <f>LN((PriceData!H35+PriceData!I35)/PriceData!J35)-LN((PriceData!H36)/PriceData!J36)</f>
        <v>-8.1743229040064591E-2</v>
      </c>
      <c r="E34" s="47">
        <v>4.710115E-3</v>
      </c>
    </row>
    <row r="35" spans="1:5" x14ac:dyDescent="0.3">
      <c r="A35" s="1">
        <f>PriceData!A36</f>
        <v>43188</v>
      </c>
      <c r="B35" s="42">
        <f>LN((PriceData!B36+PriceData!C36)/PriceData!D36)-LN((PriceData!B37)/PriceData!D37)</f>
        <v>-4.5676670007416487E-2</v>
      </c>
      <c r="C35" s="42">
        <f>LN((PriceData!E36+PriceData!F36)/PriceData!G36)-LN((PriceData!E37)/PriceData!G37)</f>
        <v>-5.9803862897920279E-2</v>
      </c>
      <c r="D35" s="42">
        <f>LN((PriceData!H36+PriceData!I36)/PriceData!J36)-LN((PriceData!H37)/PriceData!J37)</f>
        <v>9.6325479687013882E-3</v>
      </c>
      <c r="E35" s="47">
        <v>-1.845426E-2</v>
      </c>
    </row>
    <row r="36" spans="1:5" x14ac:dyDescent="0.3">
      <c r="A36" s="1">
        <f>PriceData!A37</f>
        <v>43159</v>
      </c>
      <c r="B36" s="42">
        <f>LN((PriceData!B37+PriceData!C37)/PriceData!D37)-LN((PriceData!B38)/PriceData!D38)</f>
        <v>-0.12780529052067147</v>
      </c>
      <c r="C36" s="42">
        <f>LN((PriceData!E37+PriceData!F37)/PriceData!G37)-LN((PriceData!E38)/PriceData!G38)</f>
        <v>6.5422844507516675E-2</v>
      </c>
      <c r="D36" s="42">
        <f>LN((PriceData!H37+PriceData!I37)/PriceData!J37)-LN((PriceData!H38)/PriceData!J38)</f>
        <v>-9.4939621056684409E-2</v>
      </c>
      <c r="E36" s="47">
        <v>-3.9511110000000002E-2</v>
      </c>
    </row>
    <row r="37" spans="1:5" x14ac:dyDescent="0.3">
      <c r="A37" s="1">
        <f>PriceData!A38</f>
        <v>43131</v>
      </c>
      <c r="B37" s="42">
        <f>LN((PriceData!B38+PriceData!C38)/PriceData!D38)-LN((PriceData!B39)/PriceData!D39)</f>
        <v>-7.6182014062637915E-2</v>
      </c>
      <c r="C37" s="42">
        <f>LN((PriceData!E38+PriceData!F38)/PriceData!G38)-LN((PriceData!E39)/PriceData!G39)</f>
        <v>-1.0693401450029061E-2</v>
      </c>
      <c r="D37" s="42">
        <f>LN((PriceData!H38+PriceData!I38)/PriceData!J38)-LN((PriceData!H39)/PriceData!J39)</f>
        <v>-5.4235099437268453E-2</v>
      </c>
      <c r="E37" s="47">
        <v>5.0626650000000002E-2</v>
      </c>
    </row>
    <row r="38" spans="1:5" x14ac:dyDescent="0.3">
      <c r="A38" s="1">
        <f>PriceData!A39</f>
        <v>43098</v>
      </c>
      <c r="B38" s="42">
        <f>LN((PriceData!B39+PriceData!C39)/PriceData!D39)-LN((PriceData!B40)/PriceData!D40)</f>
        <v>-4.0161566989747488E-2</v>
      </c>
      <c r="C38" s="42">
        <f>LN((PriceData!E39+PriceData!F39)/PriceData!G39)-LN((PriceData!E40)/PriceData!G40)</f>
        <v>-1.5363327638852731E-2</v>
      </c>
      <c r="D38" s="42">
        <f>LN((PriceData!H39+PriceData!I39)/PriceData!J39)-LN((PriceData!H40)/PriceData!J40)</f>
        <v>2.0784818620428247E-2</v>
      </c>
      <c r="E38" s="47">
        <v>1.2152690000000001E-2</v>
      </c>
    </row>
    <row r="39" spans="1:5" x14ac:dyDescent="0.3">
      <c r="A39" s="1">
        <f>PriceData!A40</f>
        <v>43069</v>
      </c>
      <c r="B39" s="42">
        <f>LN((PriceData!B40+PriceData!C40)/PriceData!D40)-LN((PriceData!B41)/PriceData!D41)</f>
        <v>-9.7345923175381266E-2</v>
      </c>
      <c r="C39" s="42">
        <f>LN((PriceData!E40+PriceData!F40)/PriceData!G40)-LN((PriceData!E41)/PriceData!G41)</f>
        <v>2.0145989489611438E-2</v>
      </c>
      <c r="D39" s="42">
        <f>LN((PriceData!H40+PriceData!I40)/PriceData!J40)-LN((PriceData!H41)/PriceData!J41)</f>
        <v>4.1405581594974983E-2</v>
      </c>
      <c r="E39" s="47">
        <v>2.7252490000000001E-2</v>
      </c>
    </row>
    <row r="40" spans="1:5" x14ac:dyDescent="0.3">
      <c r="A40" s="1">
        <f>PriceData!A41</f>
        <v>43039</v>
      </c>
      <c r="B40" s="42">
        <f>LN((PriceData!B41+PriceData!C41)/PriceData!D41)-LN((PriceData!B42)/PriceData!D42)</f>
        <v>-0.18182542217332243</v>
      </c>
      <c r="C40" s="42">
        <f>LN((PriceData!E41+PriceData!F41)/PriceData!G41)-LN((PriceData!E42)/PriceData!G42)</f>
        <v>9.240384551410763E-2</v>
      </c>
      <c r="D40" s="42">
        <f>LN((PriceData!H41+PriceData!I41)/PriceData!J41)-LN((PriceData!H42)/PriceData!J42)</f>
        <v>-4.4391490548861157E-2</v>
      </c>
      <c r="E40" s="47">
        <v>1.9276790000000002E-2</v>
      </c>
    </row>
    <row r="41" spans="1:5" x14ac:dyDescent="0.3">
      <c r="A41" s="1">
        <f>PriceData!A42</f>
        <v>43007</v>
      </c>
      <c r="B41" s="42">
        <f>LN((PriceData!B42+PriceData!C42)/PriceData!D42)-LN((PriceData!B43)/PriceData!D43)</f>
        <v>-5.3093422037195914E-3</v>
      </c>
      <c r="C41" s="42">
        <f>LN((PriceData!E42+PriceData!F42)/PriceData!G42)-LN((PriceData!E43)/PriceData!G43)</f>
        <v>-6.2134939748129892E-2</v>
      </c>
      <c r="D41" s="42">
        <f>LN((PriceData!H42+PriceData!I42)/PriceData!J42)-LN((PriceData!H43)/PriceData!J43)</f>
        <v>-1.4079286169480731E-2</v>
      </c>
      <c r="E41" s="47">
        <v>2.3777450000000002E-2</v>
      </c>
    </row>
    <row r="42" spans="1:5" x14ac:dyDescent="0.3">
      <c r="A42" s="1">
        <f>PriceData!A43</f>
        <v>42978</v>
      </c>
      <c r="B42" s="42">
        <f>LN((PriceData!B43+PriceData!C43)/PriceData!D43)-LN((PriceData!B44)/PriceData!D44)</f>
        <v>-4.2271100880415968E-2</v>
      </c>
      <c r="C42" s="42">
        <f>LN((PriceData!E43+PriceData!F43)/PriceData!G43)-LN((PriceData!E44)/PriceData!G44)</f>
        <v>0.10156797875274881</v>
      </c>
      <c r="D42" s="42">
        <f>LN((PriceData!H43+PriceData!I43)/PriceData!J43)-LN((PriceData!H44)/PriceData!J44)</f>
        <v>1.5839502899249069E-2</v>
      </c>
      <c r="E42" s="47">
        <v>1.5746460000000001E-3</v>
      </c>
    </row>
    <row r="43" spans="1:5" x14ac:dyDescent="0.3">
      <c r="A43" s="1">
        <f>PriceData!A44</f>
        <v>42947</v>
      </c>
      <c r="B43" s="42">
        <f>LN((PriceData!B44+PriceData!C44)/PriceData!D44)-LN((PriceData!B45)/PriceData!D45)</f>
        <v>-5.3224252234508995E-2</v>
      </c>
      <c r="C43" s="42">
        <f>LN((PriceData!E44+PriceData!F44)/PriceData!G44)-LN((PriceData!E45)/PriceData!G45)</f>
        <v>3.218034439174966E-2</v>
      </c>
      <c r="D43" s="42">
        <f>LN((PriceData!H44+PriceData!I44)/PriceData!J44)-LN((PriceData!H45)/PriceData!J45)</f>
        <v>4.881309190111871E-2</v>
      </c>
      <c r="E43" s="47">
        <v>2.030879E-2</v>
      </c>
    </row>
    <row r="44" spans="1:5" x14ac:dyDescent="0.3">
      <c r="A44" s="1">
        <f>PriceData!A45</f>
        <v>42916</v>
      </c>
      <c r="B44" s="42">
        <f>LN((PriceData!B45+PriceData!C45)/PriceData!D45)-LN((PriceData!B46)/PriceData!D46)</f>
        <v>-4.7592598972459044E-3</v>
      </c>
      <c r="C44" s="42">
        <f>LN((PriceData!E45+PriceData!F45)/PriceData!G45)-LN((PriceData!E46)/PriceData!G46)</f>
        <v>-5.891581791140732E-2</v>
      </c>
      <c r="D44" s="42">
        <f>LN((PriceData!H45+PriceData!I45)/PriceData!J45)-LN((PriceData!H46)/PriceData!J46)</f>
        <v>-1.0728188074661027E-2</v>
      </c>
      <c r="E44" s="47">
        <v>9.5514930000000012E-3</v>
      </c>
    </row>
    <row r="45" spans="1:5" x14ac:dyDescent="0.3">
      <c r="A45" s="1">
        <f>PriceData!A46</f>
        <v>42886</v>
      </c>
      <c r="B45" s="42">
        <f>LN((PriceData!B46+PriceData!C46)/PriceData!D46)-LN((PriceData!B47)/PriceData!D47)</f>
        <v>-5.7138145829391807E-2</v>
      </c>
      <c r="C45" s="42">
        <f>LN((PriceData!E46+PriceData!F46)/PriceData!G46)-LN((PriceData!E47)/PriceData!G47)</f>
        <v>6.5603918980680742E-2</v>
      </c>
      <c r="D45" s="42">
        <f>LN((PriceData!H46+PriceData!I46)/PriceData!J46)-LN((PriceData!H47)/PriceData!J47)</f>
        <v>8.6649101566242948E-3</v>
      </c>
      <c r="E45" s="47">
        <v>9.3033030000000006E-3</v>
      </c>
    </row>
    <row r="46" spans="1:5" x14ac:dyDescent="0.3">
      <c r="A46" s="1">
        <f>PriceData!A47</f>
        <v>42853</v>
      </c>
      <c r="B46" s="42">
        <f>LN((PriceData!B47+PriceData!C47)/PriceData!D47)-LN((PriceData!B48)/PriceData!D48)</f>
        <v>-2.7557432870998877E-2</v>
      </c>
      <c r="C46" s="42">
        <f>LN((PriceData!E47+PriceData!F47)/PriceData!G47)-LN((PriceData!E48)/PriceData!G48)</f>
        <v>-6.9679201657457668E-5</v>
      </c>
      <c r="D46" s="42">
        <f>LN((PriceData!H47+PriceData!I47)/PriceData!J47)-LN((PriceData!H48)/PriceData!J48)</f>
        <v>-2.0582058597364394E-2</v>
      </c>
      <c r="E46" s="47">
        <v>9.6275750000000011E-3</v>
      </c>
    </row>
    <row r="47" spans="1:5" x14ac:dyDescent="0.3">
      <c r="A47" s="1">
        <f>PriceData!A48</f>
        <v>42825</v>
      </c>
      <c r="B47" s="42">
        <f>LN((PriceData!B48+PriceData!C48)/PriceData!D48)-LN((PriceData!B49)/PriceData!D49)</f>
        <v>-3.3552186523166938E-4</v>
      </c>
      <c r="C47" s="42">
        <f>LN((PriceData!E48+PriceData!F48)/PriceData!G48)-LN((PriceData!E49)/PriceData!G49)</f>
        <v>4.7541451575846327E-2</v>
      </c>
      <c r="D47" s="42">
        <f>LN((PriceData!H48+PriceData!I48)/PriceData!J48)-LN((PriceData!H49)/PriceData!J49)</f>
        <v>-1.3486841981671382E-2</v>
      </c>
      <c r="E47" s="47">
        <v>2.0949690000000003E-3</v>
      </c>
    </row>
    <row r="48" spans="1:5" x14ac:dyDescent="0.3">
      <c r="A48" s="1">
        <f>PriceData!A49</f>
        <v>42794</v>
      </c>
      <c r="B48" s="42">
        <f>LN((PriceData!B49+PriceData!C49)/PriceData!D49)-LN((PriceData!B50)/PriceData!D50)</f>
        <v>1.1715571533549074E-2</v>
      </c>
      <c r="C48" s="42">
        <f>LN((PriceData!E49+PriceData!F49)/PriceData!G49)-LN((PriceData!E50)/PriceData!G50)</f>
        <v>0.12538130584651519</v>
      </c>
      <c r="D48" s="42">
        <f>LN((PriceData!H49+PriceData!I49)/PriceData!J49)-LN((PriceData!H50)/PriceData!J50)</f>
        <v>3.8847457705088573E-2</v>
      </c>
      <c r="E48" s="47">
        <v>3.2631899999999998E-2</v>
      </c>
    </row>
    <row r="49" spans="1:5" x14ac:dyDescent="0.3">
      <c r="A49" s="1">
        <f>PriceData!A50</f>
        <v>42766</v>
      </c>
      <c r="B49" s="42">
        <f>LN((PriceData!B50+PriceData!C50)/PriceData!D50)-LN((PriceData!B51)/PriceData!D51)</f>
        <v>-6.2010061167842245E-2</v>
      </c>
      <c r="C49" s="42">
        <f>LN((PriceData!E50+PriceData!F50)/PriceData!G50)-LN((PriceData!E51)/PriceData!G51)</f>
        <v>4.6641660435683185E-2</v>
      </c>
      <c r="D49" s="42">
        <f>LN((PriceData!H50+PriceData!I50)/PriceData!J50)-LN((PriceData!H51)/PriceData!J51)</f>
        <v>4.8625868868997557E-2</v>
      </c>
      <c r="E49" s="47">
        <v>2.2176669999999999E-2</v>
      </c>
    </row>
    <row r="50" spans="1:5" x14ac:dyDescent="0.3">
      <c r="A50" s="1">
        <f>PriceData!A51</f>
        <v>42734</v>
      </c>
      <c r="B50" s="42">
        <f>LN((PriceData!B51+PriceData!C51)/PriceData!D51)-LN((PriceData!B52)/PriceData!D52)</f>
        <v>3.4508220710199655E-2</v>
      </c>
      <c r="C50" s="42">
        <f>LN((PriceData!E51+PriceData!F51)/PriceData!G51)-LN((PriceData!E52)/PriceData!G52)</f>
        <v>4.684078948150594E-2</v>
      </c>
      <c r="D50" s="42">
        <f>LN((PriceData!H51+PriceData!I51)/PriceData!J51)-LN((PriceData!H52)/PriceData!J52)</f>
        <v>1.945543217015544E-2</v>
      </c>
      <c r="E50" s="47">
        <v>1.8767820000000001E-2</v>
      </c>
    </row>
    <row r="51" spans="1:5" x14ac:dyDescent="0.3">
      <c r="A51" s="1">
        <f>PriceData!A52</f>
        <v>42704</v>
      </c>
      <c r="B51" s="42">
        <f>LN((PriceData!B52+PriceData!C52)/PriceData!D52)-LN((PriceData!B53)/PriceData!D53)</f>
        <v>5.547696479196329E-2</v>
      </c>
      <c r="C51" s="42">
        <f>LN((PriceData!E52+PriceData!F52)/PriceData!G52)-LN((PriceData!E53)/PriceData!G53)</f>
        <v>-2.181455249495734E-2</v>
      </c>
      <c r="D51" s="42">
        <f>LN((PriceData!H52+PriceData!I52)/PriceData!J52)-LN((PriceData!H53)/PriceData!J53)</f>
        <v>-5.1293340648734365E-2</v>
      </c>
      <c r="E51" s="47">
        <v>4.0545749999999998E-2</v>
      </c>
    </row>
    <row r="52" spans="1:5" x14ac:dyDescent="0.3">
      <c r="A52" s="1">
        <f>PriceData!A53</f>
        <v>42674</v>
      </c>
      <c r="B52" s="42">
        <f>LN((PriceData!B53+PriceData!C53)/PriceData!D53)-LN((PriceData!B54)/PriceData!D54)</f>
        <v>-1.7711649886615888E-2</v>
      </c>
      <c r="C52" s="42">
        <f>LN((PriceData!E53+PriceData!F53)/PriceData!G53)-LN((PriceData!E54)/PriceData!G54)</f>
        <v>4.3249800873184086E-3</v>
      </c>
      <c r="D52" s="42">
        <f>LN((PriceData!H53+PriceData!I53)/PriceData!J53)-LN((PriceData!H54)/PriceData!J54)</f>
        <v>-2.5737831385460375E-2</v>
      </c>
      <c r="E52" s="47">
        <v>-2.158622E-2</v>
      </c>
    </row>
    <row r="53" spans="1:5" x14ac:dyDescent="0.3">
      <c r="A53" s="1">
        <f>PriceData!A54</f>
        <v>42643</v>
      </c>
      <c r="B53" s="42">
        <f>LN((PriceData!B54+PriceData!C54)/PriceData!D54)-LN((PriceData!B55)/PriceData!D55)</f>
        <v>-4.5514449551513181E-2</v>
      </c>
      <c r="C53" s="42">
        <f>LN((PriceData!E54+PriceData!F54)/PriceData!G54)-LN((PriceData!E55)/PriceData!G55)</f>
        <v>6.3448194480319575E-2</v>
      </c>
      <c r="D53" s="42">
        <f>LN((PriceData!H54+PriceData!I54)/PriceData!J54)-LN((PriceData!H55)/PriceData!J55)</f>
        <v>2.7563051508177061E-2</v>
      </c>
      <c r="E53" s="47">
        <v>3.0199040000000003E-3</v>
      </c>
    </row>
    <row r="54" spans="1:5" x14ac:dyDescent="0.3">
      <c r="A54" s="1">
        <f>PriceData!A55</f>
        <v>42613</v>
      </c>
      <c r="B54" s="42">
        <f>LN((PriceData!B55+PriceData!C55)/PriceData!D55)-LN((PriceData!B56)/PriceData!D56)</f>
        <v>3.2061708393125166E-3</v>
      </c>
      <c r="C54" s="42">
        <f>LN((PriceData!E55+PriceData!F55)/PriceData!G55)-LN((PriceData!E56)/PriceData!G56)</f>
        <v>2.3331857046742233E-2</v>
      </c>
      <c r="D54" s="42">
        <f>LN((PriceData!H55+PriceData!I55)/PriceData!J55)-LN((PriceData!H56)/PriceData!J56)</f>
        <v>1.989656475334467E-2</v>
      </c>
      <c r="E54" s="47">
        <v>2.7996640000000003E-3</v>
      </c>
    </row>
    <row r="55" spans="1:5" x14ac:dyDescent="0.3">
      <c r="A55" s="1">
        <f>PriceData!A56</f>
        <v>42580</v>
      </c>
      <c r="B55" s="42">
        <f>LN((PriceData!B56+PriceData!C56)/PriceData!D56)-LN((PriceData!B57)/PriceData!D57)</f>
        <v>-1.0859262202180364E-2</v>
      </c>
      <c r="C55" s="42">
        <f>LN((PriceData!E56+PriceData!F56)/PriceData!G56)-LN((PriceData!E57)/PriceData!G57)</f>
        <v>8.6235281122649443E-2</v>
      </c>
      <c r="D55" s="42">
        <f>LN((PriceData!H56+PriceData!I56)/PriceData!J56)-LN((PriceData!H57)/PriceData!J57)</f>
        <v>1.859882621313691E-2</v>
      </c>
      <c r="E55" s="47">
        <v>3.8846079999999998E-2</v>
      </c>
    </row>
    <row r="56" spans="1:5" x14ac:dyDescent="0.3">
      <c r="A56" s="1">
        <f>PriceData!A57</f>
        <v>42551</v>
      </c>
      <c r="B56" s="42">
        <f>LN((PriceData!B57+PriceData!C57)/PriceData!D57)-LN((PriceData!B58)/PriceData!D58)</f>
        <v>4.7797280597221548E-2</v>
      </c>
      <c r="C56" s="42">
        <f>LN((PriceData!E57+PriceData!F57)/PriceData!G57)-LN((PriceData!E58)/PriceData!G58)</f>
        <v>-4.359640708825685E-2</v>
      </c>
      <c r="D56" s="42">
        <f>LN((PriceData!H57+PriceData!I57)/PriceData!J57)-LN((PriceData!H58)/PriceData!J58)</f>
        <v>4.3818454790750749E-2</v>
      </c>
      <c r="E56" s="47">
        <v>2.926236E-3</v>
      </c>
    </row>
    <row r="57" spans="1:5" x14ac:dyDescent="0.3">
      <c r="A57" s="1">
        <f>PriceData!A58</f>
        <v>42521</v>
      </c>
      <c r="B57" s="42">
        <f>LN((PriceData!B58+PriceData!C58)/PriceData!D58)-LN((PriceData!B59)/PriceData!D59)</f>
        <v>-1.7055200603855347E-2</v>
      </c>
      <c r="C57" s="42">
        <f>LN((PriceData!E58+PriceData!F58)/PriceData!G58)-LN((PriceData!E59)/PriceData!G59)</f>
        <v>6.893600370574049E-2</v>
      </c>
      <c r="D57" s="42">
        <f>LN((PriceData!H58+PriceData!I58)/PriceData!J58)-LN((PriceData!H59)/PriceData!J59)</f>
        <v>1.1417326159184782E-2</v>
      </c>
      <c r="E57" s="47">
        <v>1.426884E-2</v>
      </c>
    </row>
    <row r="58" spans="1:5" x14ac:dyDescent="0.3">
      <c r="A58" s="1">
        <f>PriceData!A59</f>
        <v>42489</v>
      </c>
      <c r="B58" s="42">
        <f>LN((PriceData!B59+PriceData!C59)/PriceData!D59)-LN((PriceData!B60)/PriceData!D60)</f>
        <v>-3.3261809469408821E-2</v>
      </c>
      <c r="C58" s="42">
        <f>LN((PriceData!E59+PriceData!F59)/PriceData!G59)-LN((PriceData!E60)/PriceData!G60)</f>
        <v>-0.15073114559530643</v>
      </c>
      <c r="D58" s="42">
        <f>LN((PriceData!H59+PriceData!I59)/PriceData!J59)-LN((PriceData!H60)/PriceData!J60)</f>
        <v>-1.8645536821597197E-2</v>
      </c>
      <c r="E58" s="47">
        <v>1.173658E-2</v>
      </c>
    </row>
    <row r="59" spans="1:5" x14ac:dyDescent="0.3">
      <c r="A59" s="1">
        <f>PriceData!A60</f>
        <v>42460</v>
      </c>
      <c r="B59" s="42">
        <f>LN((PriceData!B60+PriceData!C60)/PriceData!D60)-LN((PriceData!B61)/PriceData!D61)</f>
        <v>8.7040023900366581E-2</v>
      </c>
      <c r="C59" s="42">
        <f>LN((PriceData!E60+PriceData!F60)/PriceData!G60)-LN((PriceData!E61)/PriceData!G61)</f>
        <v>0.11974610555568921</v>
      </c>
      <c r="D59" s="42">
        <f>LN((PriceData!H60+PriceData!I60)/PriceData!J60)-LN((PriceData!H61)/PriceData!J61)</f>
        <v>2.4847485724088791E-2</v>
      </c>
      <c r="E59" s="47">
        <v>7.0581190000000002E-2</v>
      </c>
    </row>
    <row r="60" spans="1:5" x14ac:dyDescent="0.3">
      <c r="A60" s="1">
        <f>PriceData!A61</f>
        <v>42429</v>
      </c>
      <c r="B60" s="42">
        <f>LN((PriceData!B61+PriceData!C61)/PriceData!D61)-LN((PriceData!B62)/PriceData!D62)</f>
        <v>9.2355372847543471E-3</v>
      </c>
      <c r="C60" s="42">
        <f>LN((PriceData!E61+PriceData!F61)/PriceData!G61)-LN((PriceData!E62)/PriceData!G62)</f>
        <v>-1.336355031940073E-3</v>
      </c>
      <c r="D60" s="42">
        <f>LN((PriceData!H61+PriceData!I61)/PriceData!J61)-LN((PriceData!H62)/PriceData!J62)</f>
        <v>-1.728653364065913E-2</v>
      </c>
      <c r="E60" s="47">
        <v>6.0439800000000002E-4</v>
      </c>
    </row>
    <row r="61" spans="1:5" x14ac:dyDescent="0.3">
      <c r="A61" s="1">
        <f>PriceData!A62</f>
        <v>42398</v>
      </c>
      <c r="B61" s="42">
        <f>LN((PriceData!B62+PriceData!C62)/PriceData!D62)-LN((PriceData!B63)/PriceData!D63)</f>
        <v>-6.8076045700871113E-2</v>
      </c>
      <c r="C61" s="42">
        <f>LN((PriceData!E62+PriceData!F62)/PriceData!G62)-LN((PriceData!E63)/PriceData!G63)</f>
        <v>-7.8223533436958093E-2</v>
      </c>
      <c r="D61" s="42">
        <f>LN((PriceData!H62+PriceData!I62)/PriceData!J62)-LN((PriceData!H63)/PriceData!J63)</f>
        <v>3.6389349817033789E-2</v>
      </c>
      <c r="E61" s="47">
        <v>-5.7180120000000001E-2</v>
      </c>
    </row>
    <row r="62" spans="1:5" x14ac:dyDescent="0.3">
      <c r="A62" s="1">
        <f>PriceData!A63</f>
        <v>42369</v>
      </c>
      <c r="B62" s="42">
        <f>LN((PriceData!B63+PriceData!C63)/PriceData!D63)-LN((PriceData!B64)/PriceData!D64)</f>
        <v>4.6975338452309501E-2</v>
      </c>
      <c r="C62" s="42">
        <f>LN((PriceData!E63+PriceData!F63)/PriceData!G63)-LN((PriceData!E64)/PriceData!G64)</f>
        <v>-0.11679029656067907</v>
      </c>
      <c r="D62" s="42">
        <f>LN((PriceData!H63+PriceData!I63)/PriceData!J63)-LN((PriceData!H64)/PriceData!J64)</f>
        <v>5.9271898550221636E-2</v>
      </c>
      <c r="E62" s="47">
        <v>-2.228842E-2</v>
      </c>
    </row>
    <row r="63" spans="1:5" x14ac:dyDescent="0.3">
      <c r="A63" s="1">
        <f>PriceData!A64</f>
        <v>42338</v>
      </c>
      <c r="B63" s="42">
        <f>LN((PriceData!B64+PriceData!C64)/PriceData!D64)-LN((PriceData!B65)/PriceData!D65)</f>
        <v>3.4661996900410497E-2</v>
      </c>
      <c r="C63" s="42">
        <f>LN((PriceData!E64+PriceData!F64)/PriceData!G64)-LN((PriceData!E65)/PriceData!G65)</f>
        <v>-5.7066029206214175E-3</v>
      </c>
      <c r="D63" s="42">
        <f>LN((PriceData!H64+PriceData!I64)/PriceData!J64)-LN((PriceData!H65)/PriceData!J65)</f>
        <v>-2.0368393364556425E-2</v>
      </c>
      <c r="E63" s="47">
        <v>2.4256760000000003E-3</v>
      </c>
    </row>
    <row r="64" spans="1:5" x14ac:dyDescent="0.3">
      <c r="A64" s="1">
        <f>PriceData!A65</f>
        <v>42307</v>
      </c>
      <c r="B64" s="42">
        <f>LN((PriceData!B65+PriceData!C65)/PriceData!D65)-LN((PriceData!B66)/PriceData!D66)</f>
        <v>0.13689609661812385</v>
      </c>
      <c r="C64" s="42">
        <f>LN((PriceData!E65+PriceData!F65)/PriceData!G65)-LN((PriceData!E66)/PriceData!G66)</f>
        <v>8.0112417444313966E-2</v>
      </c>
      <c r="D64" s="42">
        <f>LN((PriceData!H65+PriceData!I65)/PriceData!J65)-LN((PriceData!H66)/PriceData!J66)</f>
        <v>6.8529901333849175E-2</v>
      </c>
      <c r="E64" s="47">
        <v>7.403962E-2</v>
      </c>
    </row>
    <row r="65" spans="1:5" x14ac:dyDescent="0.3">
      <c r="A65" s="1">
        <f>PriceData!A66</f>
        <v>42277</v>
      </c>
      <c r="B65" s="42">
        <f>LN((PriceData!B66+PriceData!C66)/PriceData!D66)-LN((PriceData!B67)/PriceData!D67)</f>
        <v>2.5065948699394269E-2</v>
      </c>
      <c r="C65" s="42">
        <f>LN((PriceData!E66+PriceData!F66)/PriceData!G66)-LN((PriceData!E67)/PriceData!G67)</f>
        <v>-2.2057731263591673E-2</v>
      </c>
      <c r="D65" s="42">
        <f>LN((PriceData!H66+PriceData!I66)/PriceData!J66)-LN((PriceData!H67)/PriceData!J67)</f>
        <v>1.7811343411344716E-2</v>
      </c>
      <c r="E65" s="47">
        <v>-3.3830579999999999E-2</v>
      </c>
    </row>
    <row r="66" spans="1:5" x14ac:dyDescent="0.3">
      <c r="A66" s="1">
        <f>PriceData!A67</f>
        <v>42247</v>
      </c>
      <c r="B66" s="42">
        <f>LN((PriceData!B67+PriceData!C67)/PriceData!D67)-LN((PriceData!B68)/PriceData!D68)</f>
        <v>-5.0285561463443873E-2</v>
      </c>
      <c r="C66" s="42">
        <f>LN((PriceData!E67+PriceData!F67)/PriceData!G67)-LN((PriceData!E68)/PriceData!G68)</f>
        <v>-6.8404192473764613E-2</v>
      </c>
      <c r="D66" s="42">
        <f>LN((PriceData!H67+PriceData!I67)/PriceData!J67)-LN((PriceData!H68)/PriceData!J68)</f>
        <v>-8.188053979213894E-2</v>
      </c>
      <c r="E66" s="47">
        <v>-5.9979000000000005E-2</v>
      </c>
    </row>
    <row r="67" spans="1:5" x14ac:dyDescent="0.3">
      <c r="A67" s="1">
        <f>PriceData!A68</f>
        <v>42216</v>
      </c>
      <c r="B67" s="42">
        <f>LN((PriceData!B68+PriceData!C68)/PriceData!D68)-LN((PriceData!B69)/PriceData!D69)</f>
        <v>-1.7847419341648685E-2</v>
      </c>
      <c r="C67" s="42">
        <f>LN((PriceData!E68+PriceData!F68)/PriceData!G68)-LN((PriceData!E69)/PriceData!G69)</f>
        <v>-3.3441153592886241E-2</v>
      </c>
      <c r="D67" s="42">
        <f>LN((PriceData!H68+PriceData!I68)/PriceData!J68)-LN((PriceData!H69)/PriceData!J69)</f>
        <v>-1.127370072921785E-2</v>
      </c>
      <c r="E67" s="47">
        <v>1.2063300000000001E-2</v>
      </c>
    </row>
    <row r="68" spans="1:5" x14ac:dyDescent="0.3">
      <c r="A68" s="1">
        <f>PriceData!A69</f>
        <v>42185</v>
      </c>
      <c r="B68" s="42">
        <f>LN((PriceData!B69+PriceData!C69)/PriceData!D69)-LN((PriceData!B70)/PriceData!D70)</f>
        <v>-1.7385337358504671E-2</v>
      </c>
      <c r="C68" s="42">
        <f>LN((PriceData!E69+PriceData!F69)/PriceData!G69)-LN((PriceData!E70)/PriceData!G70)</f>
        <v>-3.7977976336537544E-2</v>
      </c>
      <c r="D68" s="42">
        <f>LN((PriceData!H69+PriceData!I69)/PriceData!J69)-LN((PriceData!H70)/PriceData!J70)</f>
        <v>-1.9153619915384112E-3</v>
      </c>
      <c r="E68" s="47">
        <v>-1.9272060000000001E-2</v>
      </c>
    </row>
    <row r="69" spans="1:5" x14ac:dyDescent="0.3">
      <c r="A69" s="1">
        <f>PriceData!A70</f>
        <v>42153</v>
      </c>
      <c r="B69" s="42">
        <f>LN((PriceData!B70+PriceData!C70)/PriceData!D70)-LN((PriceData!B71)/PriceData!D71)</f>
        <v>6.9917684171234562E-3</v>
      </c>
      <c r="C69" s="42">
        <f>LN((PriceData!E70+PriceData!F70)/PriceData!G70)-LN((PriceData!E71)/PriceData!G71)</f>
        <v>4.415639947450023E-2</v>
      </c>
      <c r="D69" s="42">
        <f>LN((PriceData!H70+PriceData!I70)/PriceData!J70)-LN((PriceData!H71)/PriceData!J71)</f>
        <v>-1.4186466366294503E-2</v>
      </c>
      <c r="E69" s="47">
        <v>1.0268910000000001E-2</v>
      </c>
    </row>
    <row r="70" spans="1:5" x14ac:dyDescent="0.3">
      <c r="A70" s="1">
        <f>PriceData!A71</f>
        <v>42124</v>
      </c>
      <c r="B70" s="42">
        <f>LN((PriceData!B71+PriceData!C71)/PriceData!D71)-LN((PriceData!B72)/PriceData!D72)</f>
        <v>8.7548669048912231E-2</v>
      </c>
      <c r="C70" s="42">
        <f>LN((PriceData!E71+PriceData!F71)/PriceData!G71)-LN((PriceData!E72)/PriceData!G72)</f>
        <v>5.7697188300536162E-3</v>
      </c>
      <c r="D70" s="42">
        <f>LN((PriceData!H71+PriceData!I71)/PriceData!J71)-LN((PriceData!H72)/PriceData!J72)</f>
        <v>-2.1801723097371273E-2</v>
      </c>
      <c r="E70" s="47">
        <v>8.7764100000000001E-3</v>
      </c>
    </row>
    <row r="71" spans="1:5" x14ac:dyDescent="0.3">
      <c r="A71" s="1">
        <f>PriceData!A72</f>
        <v>42094</v>
      </c>
      <c r="B71" s="42">
        <f>LN((PriceData!B72+PriceData!C72)/PriceData!D72)-LN((PriceData!B73)/PriceData!D73)</f>
        <v>-4.6465063669056228E-2</v>
      </c>
      <c r="C71" s="42">
        <f>LN((PriceData!E72+PriceData!F72)/PriceData!G72)-LN((PriceData!E73)/PriceData!G73)</f>
        <v>-3.1874312853777731E-2</v>
      </c>
      <c r="D71" s="42">
        <f>LN((PriceData!H72+PriceData!I72)/PriceData!J72)-LN((PriceData!H73)/PriceData!J73)</f>
        <v>-3.8192165718806237E-2</v>
      </c>
      <c r="E71" s="47">
        <v>-1.040959E-2</v>
      </c>
    </row>
    <row r="72" spans="1:5" x14ac:dyDescent="0.3">
      <c r="A72" s="1">
        <f>PriceData!A73</f>
        <v>42062</v>
      </c>
      <c r="B72" s="42">
        <f>LN((PriceData!B73+PriceData!C73)/PriceData!D73)-LN((PriceData!B74)/PriceData!D74)</f>
        <v>9.30625339760911E-2</v>
      </c>
      <c r="C72" s="42">
        <f>LN((PriceData!E73+PriceData!F73)/PriceData!G73)-LN((PriceData!E74)/PriceData!G74)</f>
        <v>9.5729120270370949E-2</v>
      </c>
      <c r="D72" s="42">
        <f>LN((PriceData!H73+PriceData!I73)/PriceData!J73)-LN((PriceData!H74)/PriceData!J74)</f>
        <v>9.9162227615519072E-3</v>
      </c>
      <c r="E72" s="47">
        <v>5.5999350000000003E-2</v>
      </c>
    </row>
    <row r="73" spans="1:5" x14ac:dyDescent="0.3">
      <c r="A73" s="1">
        <f>PriceData!A74</f>
        <v>42034</v>
      </c>
      <c r="B73" s="42">
        <f>LN((PriceData!B74+PriceData!C74)/PriceData!D74)-LN((PriceData!B75)/PriceData!D75)</f>
        <v>-5.6158003725702788E-2</v>
      </c>
      <c r="C73" s="42">
        <f>LN((PriceData!E74+PriceData!F74)/PriceData!G74)-LN((PriceData!E75)/PriceData!G75)</f>
        <v>5.9611620088480421E-2</v>
      </c>
      <c r="D73" s="42">
        <f>LN((PriceData!H74+PriceData!I74)/PriceData!J74)-LN((PriceData!H75)/PriceData!J75)</f>
        <v>-6.9978203184500209E-2</v>
      </c>
      <c r="E73" s="47">
        <v>-2.7206939999999999E-2</v>
      </c>
    </row>
    <row r="74" spans="1:5" x14ac:dyDescent="0.3">
      <c r="A74" s="1">
        <f>PriceData!A75</f>
        <v>42004</v>
      </c>
      <c r="B74" s="42">
        <f>LN((PriceData!B75+PriceData!C75)/PriceData!D75)-LN((PriceData!B76)/PriceData!D76)</f>
        <v>-3.8088824364149954E-2</v>
      </c>
      <c r="C74" s="42">
        <f>LN((PriceData!E75+PriceData!F75)/PriceData!G75)-LN((PriceData!E76)/PriceData!G76)</f>
        <v>-7.4606154176779071E-2</v>
      </c>
      <c r="D74" s="42">
        <f>LN((PriceData!H75+PriceData!I75)/PriceData!J75)-LN((PriceData!H76)/PriceData!J76)</f>
        <v>7.2719144264112856E-3</v>
      </c>
      <c r="E74" s="47">
        <v>-3.6613360000000003E-3</v>
      </c>
    </row>
    <row r="75" spans="1:5" x14ac:dyDescent="0.3">
      <c r="A75" s="1">
        <f>PriceData!A76</f>
        <v>41971</v>
      </c>
      <c r="B75" s="42">
        <f>LN((PriceData!B76+PriceData!C76)/PriceData!D76)-LN((PriceData!B77)/PriceData!D77)</f>
        <v>2.600530160503256E-2</v>
      </c>
      <c r="C75" s="42">
        <f>LN((PriceData!E76+PriceData!F76)/PriceData!G76)-LN((PriceData!E77)/PriceData!G77)</f>
        <v>0.10034797638020887</v>
      </c>
      <c r="D75" s="42">
        <f>LN((PriceData!H76+PriceData!I76)/PriceData!J76)-LN((PriceData!H77)/PriceData!J77)</f>
        <v>3.5569351417954032E-2</v>
      </c>
      <c r="E75" s="47">
        <v>2.1114290000000001E-2</v>
      </c>
    </row>
    <row r="76" spans="1:5" x14ac:dyDescent="0.3">
      <c r="A76" s="1">
        <f>PriceData!A77</f>
        <v>41943</v>
      </c>
      <c r="B76" s="42">
        <f>LN((PriceData!B77+PriceData!C77)/PriceData!D77)-LN((PriceData!B78)/PriceData!D78)</f>
        <v>7.3886638130837845E-3</v>
      </c>
      <c r="C76" s="42">
        <f>LN((PriceData!E77+PriceData!F77)/PriceData!G77)-LN((PriceData!E78)/PriceData!G78)</f>
        <v>6.9489026297427259E-2</v>
      </c>
      <c r="D76" s="42">
        <f>LN((PriceData!H77+PriceData!I77)/PriceData!J77)-LN((PriceData!H78)/PriceData!J78)</f>
        <v>4.863774058448822E-2</v>
      </c>
      <c r="E76" s="47">
        <v>2.1171800000000001E-2</v>
      </c>
    </row>
    <row r="77" spans="1:5" x14ac:dyDescent="0.3">
      <c r="A77" s="1">
        <f>PriceData!A78</f>
        <v>41912</v>
      </c>
      <c r="B77" s="42">
        <f>LN((PriceData!B78+PriceData!C78)/PriceData!D78)-LN((PriceData!B79)/PriceData!D79)</f>
        <v>-5.4032822762648536E-3</v>
      </c>
      <c r="C77" s="42">
        <f>LN((PriceData!E78+PriceData!F78)/PriceData!G78)-LN((PriceData!E79)/PriceData!G79)</f>
        <v>-1.7220597751670397E-2</v>
      </c>
      <c r="D77" s="42">
        <f>LN((PriceData!H78+PriceData!I78)/PriceData!J78)-LN((PriceData!H79)/PriceData!J79)</f>
        <v>7.5516961718866682E-3</v>
      </c>
      <c r="E77" s="47">
        <v>-2.520847E-2</v>
      </c>
    </row>
    <row r="78" spans="1:5" x14ac:dyDescent="0.3">
      <c r="A78" s="1">
        <f>PriceData!A79</f>
        <v>41880</v>
      </c>
      <c r="B78" s="42">
        <f>LN((PriceData!B79+PriceData!C79)/PriceData!D79)-LN((PriceData!B80)/PriceData!D80)</f>
        <v>3.2469112244638776E-2</v>
      </c>
      <c r="C78" s="42">
        <f>LN((PriceData!E79+PriceData!F79)/PriceData!G79)-LN((PriceData!E80)/PriceData!G80)</f>
        <v>7.4264879560803632E-2</v>
      </c>
      <c r="D78" s="42">
        <f>LN((PriceData!H79+PriceData!I79)/PriceData!J79)-LN((PriceData!H80)/PriceData!J80)</f>
        <v>7.2212388515624504E-2</v>
      </c>
      <c r="E78" s="47">
        <v>4.0226110000000002E-2</v>
      </c>
    </row>
    <row r="79" spans="1:5" x14ac:dyDescent="0.3">
      <c r="A79" s="1">
        <f>PriceData!A80</f>
        <v>41851</v>
      </c>
      <c r="B79" s="42">
        <f>LN((PriceData!B80+PriceData!C80)/PriceData!D80)-LN((PriceData!B81)/PriceData!D81)</f>
        <v>-4.3950338366506969E-2</v>
      </c>
      <c r="C79" s="42">
        <f>LN((PriceData!E80+PriceData!F80)/PriceData!G80)-LN((PriceData!E81)/PriceData!G81)</f>
        <v>2.8326279243099162E-2</v>
      </c>
      <c r="D79" s="42">
        <f>LN((PriceData!H80+PriceData!I80)/PriceData!J80)-LN((PriceData!H81)/PriceData!J81)</f>
        <v>-8.0023712609804676E-3</v>
      </c>
      <c r="E79" s="47">
        <v>-2.0567539999999999E-2</v>
      </c>
    </row>
    <row r="80" spans="1:5" x14ac:dyDescent="0.3">
      <c r="A80" s="1">
        <f>PriceData!A81</f>
        <v>41820</v>
      </c>
      <c r="B80" s="42">
        <f>LN((PriceData!B81+PriceData!C81)/PriceData!D81)-LN((PriceData!B82)/PriceData!D82)</f>
        <v>-1.0883958872393684E-2</v>
      </c>
      <c r="C80" s="42">
        <f>LN((PriceData!E81+PriceData!F81)/PriceData!G81)-LN((PriceData!E82)/PriceData!G82)</f>
        <v>2.7286251764316649E-2</v>
      </c>
      <c r="D80" s="42">
        <f>LN((PriceData!H81+PriceData!I81)/PriceData!J81)-LN((PriceData!H82)/PriceData!J82)</f>
        <v>-2.7608788543371787E-2</v>
      </c>
      <c r="E80" s="47">
        <v>2.799051E-2</v>
      </c>
    </row>
    <row r="81" spans="1:5" x14ac:dyDescent="0.3">
      <c r="A81" s="1">
        <f>PriceData!A82</f>
        <v>41789</v>
      </c>
      <c r="B81" s="42">
        <f>LN((PriceData!B82+PriceData!C82)/PriceData!D82)-LN((PriceData!B83)/PriceData!D83)</f>
        <v>-3.7257298519497439E-3</v>
      </c>
      <c r="C81" s="42">
        <f>LN((PriceData!E82+PriceData!F82)/PriceData!G82)-LN((PriceData!E83)/PriceData!G83)</f>
        <v>7.5379321047956971E-2</v>
      </c>
      <c r="D81" s="42">
        <f>LN((PriceData!H82+PriceData!I82)/PriceData!J82)-LN((PriceData!H83)/PriceData!J83)</f>
        <v>-2.1551000510931395E-2</v>
      </c>
      <c r="E81" s="47">
        <v>2.026027E-2</v>
      </c>
    </row>
    <row r="82" spans="1:5" x14ac:dyDescent="0.3">
      <c r="A82" s="1">
        <f>PriceData!A83</f>
        <v>41759</v>
      </c>
      <c r="B82" s="42">
        <f>LN((PriceData!B83+PriceData!C83)/PriceData!D83)-LN((PriceData!B84)/PriceData!D84)</f>
        <v>3.7897677394039597E-2</v>
      </c>
      <c r="C82" s="42">
        <f>LN((PriceData!E83+PriceData!F83)/PriceData!G83)-LN((PriceData!E84)/PriceData!G84)</f>
        <v>9.4761325406449881E-2</v>
      </c>
      <c r="D82" s="42">
        <f>LN((PriceData!H83+PriceData!I83)/PriceData!J83)-LN((PriceData!H84)/PriceData!J84)</f>
        <v>3.1671827737127067E-2</v>
      </c>
      <c r="E82" s="47">
        <v>1.5691170000000001E-3</v>
      </c>
    </row>
    <row r="83" spans="1:5" x14ac:dyDescent="0.3">
      <c r="A83" s="1">
        <f>PriceData!A84</f>
        <v>41729</v>
      </c>
      <c r="B83" s="42">
        <f>LN((PriceData!B84+PriceData!C84)/PriceData!D84)-LN((PriceData!B85)/PriceData!D85)</f>
        <v>1.6355508156272514E-2</v>
      </c>
      <c r="C83" s="42">
        <f>LN((PriceData!E84+PriceData!F84)/PriceData!G84)-LN((PriceData!E85)/PriceData!G85)</f>
        <v>1.9756423860205263E-2</v>
      </c>
      <c r="D83" s="42">
        <f>LN((PriceData!H84+PriceData!I84)/PriceData!J84)-LN((PriceData!H85)/PriceData!J85)</f>
        <v>2.4363817021236578E-2</v>
      </c>
      <c r="E83" s="47">
        <v>4.5441450000000003E-3</v>
      </c>
    </row>
    <row r="84" spans="1:5" x14ac:dyDescent="0.3">
      <c r="A84" s="1">
        <f>PriceData!A85</f>
        <v>41698</v>
      </c>
      <c r="B84" s="42">
        <f>LN((PriceData!B85+PriceData!C85)/PriceData!D85)-LN((PriceData!B86)/PriceData!D86)</f>
        <v>2.2039466187442791E-2</v>
      </c>
      <c r="C84" s="42">
        <f>LN((PriceData!E85+PriceData!F85)/PriceData!G85)-LN((PriceData!E86)/PriceData!G86)</f>
        <v>5.5729076077495776E-2</v>
      </c>
      <c r="D84" s="42">
        <f>LN((PriceData!H85+PriceData!I85)/PriceData!J85)-LN((PriceData!H86)/PriceData!J86)</f>
        <v>2.6276638440540623E-2</v>
      </c>
      <c r="E84" s="47">
        <v>4.6225469999999998E-2</v>
      </c>
    </row>
    <row r="85" spans="1:5" x14ac:dyDescent="0.3">
      <c r="A85" s="1">
        <f>PriceData!A86</f>
        <v>41670</v>
      </c>
      <c r="B85" s="42">
        <f>LN((PriceData!B86+PriceData!C86)/PriceData!D86)-LN((PriceData!B87)/PriceData!D87)</f>
        <v>-0.10921307151368165</v>
      </c>
      <c r="C85" s="42">
        <f>LN((PriceData!E86+PriceData!F86)/PriceData!G86)-LN((PriceData!E87)/PriceData!G87)</f>
        <v>-0.11394919913486046</v>
      </c>
      <c r="D85" s="42">
        <f>LN((PriceData!H86+PriceData!I86)/PriceData!J86)-LN((PriceData!H87)/PriceData!J87)</f>
        <v>-5.2820209662255202E-2</v>
      </c>
      <c r="E85" s="47">
        <v>-3.0046730000000001E-2</v>
      </c>
    </row>
    <row r="86" spans="1:5" x14ac:dyDescent="0.3">
      <c r="A86" s="1">
        <f>PriceData!A87</f>
        <v>41639</v>
      </c>
      <c r="B86" s="42">
        <f>LN((PriceData!B87+PriceData!C87)/PriceData!D87)-LN((PriceData!B88)/PriceData!D88)</f>
        <v>5.7929172829201292E-2</v>
      </c>
      <c r="C86" s="42">
        <f>LN((PriceData!E87+PriceData!F87)/PriceData!G87)-LN((PriceData!E88)/PriceData!G88)</f>
        <v>8.8623915470291692E-3</v>
      </c>
      <c r="D86" s="42">
        <f>LN((PriceData!H87+PriceData!I87)/PriceData!J87)-LN((PriceData!H88)/PriceData!J88)</f>
        <v>-3.3934276658582618E-2</v>
      </c>
      <c r="E86" s="47">
        <v>2.615955E-2</v>
      </c>
    </row>
    <row r="87" spans="1:5" x14ac:dyDescent="0.3">
      <c r="A87" s="1">
        <f>PriceData!A88</f>
        <v>41607</v>
      </c>
      <c r="B87" s="42">
        <f>LN((PriceData!B88+PriceData!C88)/PriceData!D88)-LN((PriceData!B89)/PriceData!D89)</f>
        <v>1.9697624180343265E-2</v>
      </c>
      <c r="C87" s="42">
        <f>LN((PriceData!E88+PriceData!F88)/PriceData!G88)-LN((PriceData!E89)/PriceData!G89)</f>
        <v>6.7352569740978474E-2</v>
      </c>
      <c r="D87" s="42">
        <f>LN((PriceData!H88+PriceData!I88)/PriceData!J88)-LN((PriceData!H89)/PriceData!J89)</f>
        <v>4.2074475125234656E-2</v>
      </c>
      <c r="E87" s="47">
        <v>2.4972850000000001E-2</v>
      </c>
    </row>
    <row r="88" spans="1:5" x14ac:dyDescent="0.3">
      <c r="A88" s="1">
        <f>PriceData!A89</f>
        <v>41578</v>
      </c>
      <c r="B88" s="42">
        <f>LN((PriceData!B89+PriceData!C89)/PriceData!D89)-LN((PriceData!B90)/PriceData!D90)</f>
        <v>9.0006749057436775E-2</v>
      </c>
      <c r="C88" s="42">
        <f>LN((PriceData!E89+PriceData!F89)/PriceData!G89)-LN((PriceData!E90)/PriceData!G90)</f>
        <v>9.2019317961629987E-2</v>
      </c>
      <c r="D88" s="42">
        <f>LN((PriceData!H89+PriceData!I89)/PriceData!J89)-LN((PriceData!H90)/PriceData!J90)</f>
        <v>7.3455321171819854E-2</v>
      </c>
      <c r="E88" s="47">
        <v>3.990784E-2</v>
      </c>
    </row>
    <row r="89" spans="1:5" x14ac:dyDescent="0.3">
      <c r="A89" s="1">
        <f>PriceData!A90</f>
        <v>41547</v>
      </c>
      <c r="B89" s="42">
        <f>LN((PriceData!B90+PriceData!C90)/PriceData!D90)-LN((PriceData!B91)/PriceData!D91)</f>
        <v>3.9818899605724933E-2</v>
      </c>
      <c r="C89" s="42">
        <f>LN((PriceData!E90+PriceData!F90)/PriceData!G90)-LN((PriceData!E91)/PriceData!G91)</f>
        <v>-2.1715319113714937E-2</v>
      </c>
      <c r="D89" s="42">
        <f>LN((PriceData!H90+PriceData!I90)/PriceData!J90)-LN((PriceData!H91)/PriceData!J91)</f>
        <v>-2.9973616238710754E-2</v>
      </c>
      <c r="E89" s="47">
        <v>3.7513930000000001E-2</v>
      </c>
    </row>
    <row r="90" spans="1:5" x14ac:dyDescent="0.3">
      <c r="A90" s="1">
        <f>PriceData!A91</f>
        <v>41516</v>
      </c>
      <c r="B90" s="42">
        <f>LN((PriceData!B91+PriceData!C91)/PriceData!D91)-LN((PriceData!B92)/PriceData!D92)</f>
        <v>-5.1790206685208062E-2</v>
      </c>
      <c r="C90" s="42">
        <f>LN((PriceData!E91+PriceData!F91)/PriceData!G91)-LN((PriceData!E92)/PriceData!G92)</f>
        <v>8.0094051240918951E-2</v>
      </c>
      <c r="D90" s="42">
        <f>LN((PriceData!H91+PriceData!I91)/PriceData!J91)-LN((PriceData!H92)/PriceData!J92)</f>
        <v>-3.0472091861384776E-2</v>
      </c>
      <c r="E90" s="47">
        <v>-2.5760680000000001E-2</v>
      </c>
    </row>
    <row r="91" spans="1:5" x14ac:dyDescent="0.3">
      <c r="A91" s="1">
        <f>PriceData!A92</f>
        <v>41486</v>
      </c>
      <c r="B91" s="42">
        <f>LN((PriceData!B92+PriceData!C92)/PriceData!D92)-LN((PriceData!B93)/PriceData!D93)</f>
        <v>4.9631727777174728E-2</v>
      </c>
      <c r="C91" s="42">
        <f>LN((PriceData!E92+PriceData!F92)/PriceData!G92)-LN((PriceData!E93)/PriceData!G93)</f>
        <v>0.13210235941029014</v>
      </c>
      <c r="D91" s="42">
        <f>LN((PriceData!H92+PriceData!I92)/PriceData!J92)-LN((PriceData!H93)/PriceData!J93)</f>
        <v>4.9556887168110464E-2</v>
      </c>
      <c r="E91" s="47">
        <v>5.2689720000000002E-2</v>
      </c>
    </row>
    <row r="92" spans="1:5" x14ac:dyDescent="0.3">
      <c r="A92" s="1">
        <f>PriceData!A93</f>
        <v>41453</v>
      </c>
      <c r="B92" s="42">
        <f>LN((PriceData!B93+PriceData!C93)/PriceData!D93)-LN((PriceData!B94)/PriceData!D94)</f>
        <v>2.5696303885935912E-3</v>
      </c>
      <c r="C92" s="42">
        <f>LN((PriceData!E93+PriceData!F93)/PriceData!G93)-LN((PriceData!E94)/PriceData!G94)</f>
        <v>-0.12590679066396016</v>
      </c>
      <c r="D92" s="42">
        <f>LN((PriceData!H93+PriceData!I93)/PriceData!J93)-LN((PriceData!H94)/PriceData!J94)</f>
        <v>2.9918165736075863E-3</v>
      </c>
      <c r="E92" s="47">
        <v>-1.5071280000000001E-2</v>
      </c>
    </row>
    <row r="93" spans="1:5" x14ac:dyDescent="0.3">
      <c r="A93" s="1">
        <f>PriceData!A94</f>
        <v>41425</v>
      </c>
      <c r="B93" s="42">
        <f>LN((PriceData!B94+PriceData!C94)/PriceData!D94)-LN((PriceData!B95)/PriceData!D95)</f>
        <v>4.5173159924618567E-2</v>
      </c>
      <c r="C93" s="42">
        <f>LN((PriceData!E94+PriceData!F94)/PriceData!G94)-LN((PriceData!E95)/PriceData!G95)</f>
        <v>2.234433673542835E-2</v>
      </c>
      <c r="D93" s="42">
        <f>LN((PriceData!H94+PriceData!I94)/PriceData!J94)-LN((PriceData!H95)/PriceData!J95)</f>
        <v>-1.3019614315812333E-4</v>
      </c>
      <c r="E93" s="47">
        <v>1.9154819999999999E-2</v>
      </c>
    </row>
    <row r="94" spans="1:5" x14ac:dyDescent="0.3">
      <c r="A94" s="1">
        <f>PriceData!A95</f>
        <v>41394</v>
      </c>
      <c r="B94" s="42">
        <f>LN((PriceData!B95+PriceData!C95)/PriceData!D95)-LN((PriceData!B96)/PriceData!D96)</f>
        <v>-3.6559891631965158E-2</v>
      </c>
      <c r="C94" s="42">
        <f>LN((PriceData!E95+PriceData!F95)/PriceData!G95)-LN((PriceData!E96)/PriceData!G96)</f>
        <v>2.7104065231142727E-4</v>
      </c>
      <c r="D94" s="42">
        <f>LN((PriceData!H95+PriceData!I95)/PriceData!J95)-LN((PriceData!H96)/PriceData!J96)</f>
        <v>4.0341445029001832E-3</v>
      </c>
      <c r="E94" s="47">
        <v>1.494209E-2</v>
      </c>
    </row>
    <row r="95" spans="1:5" x14ac:dyDescent="0.3">
      <c r="A95" s="1">
        <f>PriceData!A96</f>
        <v>41361</v>
      </c>
      <c r="B95" s="42">
        <f>LN((PriceData!B96+PriceData!C96)/PriceData!D96)-LN((PriceData!B97)/PriceData!D97)</f>
        <v>-4.315866595250295E-3</v>
      </c>
      <c r="C95" s="42">
        <f>LN((PriceData!E96+PriceData!F96)/PriceData!G96)-LN((PriceData!E97)/PriceData!G97)</f>
        <v>2.8505092918544861E-3</v>
      </c>
      <c r="D95" s="42">
        <f>LN((PriceData!H96+PriceData!I96)/PriceData!J96)-LN((PriceData!H97)/PriceData!J97)</f>
        <v>1.1485342459683245E-2</v>
      </c>
      <c r="E95" s="47">
        <v>3.5319990000000002E-2</v>
      </c>
    </row>
    <row r="96" spans="1:5" x14ac:dyDescent="0.3">
      <c r="A96" s="1">
        <f>PriceData!A97</f>
        <v>41333</v>
      </c>
      <c r="B96" s="42">
        <f>LN((PriceData!B97+PriceData!C97)/PriceData!D97)-LN((PriceData!B98)/PriceData!D98)</f>
        <v>4.9473806191682623E-2</v>
      </c>
      <c r="C96" s="42">
        <f>LN((PriceData!E97+PriceData!F97)/PriceData!G97)-LN((PriceData!E98)/PriceData!G98)</f>
        <v>-2.5436585948210855E-2</v>
      </c>
      <c r="D96" s="42">
        <f>LN((PriceData!H97+PriceData!I97)/PriceData!J97)-LN((PriceData!H98)/PriceData!J98)</f>
        <v>1.3479741786997401E-2</v>
      </c>
      <c r="E96" s="47">
        <v>8.2843470000000009E-3</v>
      </c>
    </row>
    <row r="97" spans="1:5" x14ac:dyDescent="0.3">
      <c r="A97" s="1">
        <f>PriceData!A98</f>
        <v>41305</v>
      </c>
      <c r="B97" s="42">
        <f>LN((PriceData!B98+PriceData!C98)/PriceData!D98)-LN((PriceData!B99)/PriceData!D99)</f>
        <v>5.9643322949787247E-2</v>
      </c>
      <c r="C97" s="42">
        <f>LN((PriceData!E98+PriceData!F98)/PriceData!G98)-LN((PriceData!E99)/PriceData!G99)</f>
        <v>-0.1555947190903133</v>
      </c>
      <c r="D97" s="42">
        <f>LN((PriceData!H98+PriceData!I98)/PriceData!J98)-LN((PriceData!H99)/PriceData!J99)</f>
        <v>0.1091800478239362</v>
      </c>
      <c r="E97" s="47">
        <v>5.4189170000000002E-2</v>
      </c>
    </row>
    <row r="98" spans="1:5" ht="15" thickBot="1" x14ac:dyDescent="0.35">
      <c r="A98" s="48" t="s">
        <v>89</v>
      </c>
      <c r="B98" s="53">
        <f>Beta!B18</f>
        <v>1.1108222270639252</v>
      </c>
      <c r="C98" s="53">
        <f>Beta!B37</f>
        <v>1.1346773407904327</v>
      </c>
      <c r="D98" s="53">
        <f>Beta!B57</f>
        <v>0.44092885332449422</v>
      </c>
      <c r="E98" s="54">
        <v>1</v>
      </c>
    </row>
    <row r="99" spans="1:5" ht="15" thickTop="1" x14ac:dyDescent="0.3">
      <c r="A9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A090-58D1-40C7-8D6D-07EA0BC827FC}">
  <dimension ref="A1:G99"/>
  <sheetViews>
    <sheetView workbookViewId="0">
      <selection activeCell="F9" sqref="F9"/>
    </sheetView>
  </sheetViews>
  <sheetFormatPr defaultRowHeight="14.4" x14ac:dyDescent="0.3"/>
  <cols>
    <col min="1" max="1" width="10.5546875" bestFit="1" customWidth="1"/>
    <col min="2" max="2" width="9.44140625" bestFit="1" customWidth="1"/>
    <col min="5" max="7" width="13.5546875" bestFit="1" customWidth="1"/>
  </cols>
  <sheetData>
    <row r="1" spans="1:7" ht="16.8" x14ac:dyDescent="0.35">
      <c r="A1" s="41" t="str">
        <f>ReturnData!A1</f>
        <v>Date</v>
      </c>
      <c r="B1" s="43" t="s">
        <v>15</v>
      </c>
      <c r="C1" s="67" t="s">
        <v>94</v>
      </c>
      <c r="F1" s="59" t="s">
        <v>20</v>
      </c>
      <c r="G1" s="59" t="s">
        <v>19</v>
      </c>
    </row>
    <row r="2" spans="1:7" x14ac:dyDescent="0.3">
      <c r="A2" s="55">
        <f>ReturnData!A2</f>
        <v>44196</v>
      </c>
      <c r="B2" s="56" cm="1">
        <f t="array" ref="B2:B97">PGReturns</f>
        <v>1.9424075586380596E-3</v>
      </c>
      <c r="C2" s="56">
        <f t="shared" ref="C2:C33" si="0">(B2-PGAverageReturn)^2</f>
        <v>6.5053674843771809E-5</v>
      </c>
      <c r="E2" s="59" t="s">
        <v>18</v>
      </c>
      <c r="F2" s="44">
        <f>SUM(PGReturns)/COUNT(PGReturns)</f>
        <v>1.0007993392523395E-2</v>
      </c>
      <c r="G2" s="45">
        <f>AVERAGE(PGReturns)</f>
        <v>1.0007993392523395E-2</v>
      </c>
    </row>
    <row r="3" spans="1:7" x14ac:dyDescent="0.3">
      <c r="A3" s="57">
        <f>ReturnData!A3</f>
        <v>44165</v>
      </c>
      <c r="B3" s="42">
        <v>1.2827577463275119E-2</v>
      </c>
      <c r="C3" s="42">
        <f t="shared" si="0"/>
        <v>7.9500543320368623E-6</v>
      </c>
      <c r="E3" s="59" t="s">
        <v>17</v>
      </c>
      <c r="F3" s="45">
        <f>SQRT(SUM(PGDeviationsSquared)/(COUNT(PGDeviationsSquared)-1))</f>
        <v>4.1263729530045222E-2</v>
      </c>
      <c r="G3" s="45">
        <f>_xlfn.STDEV.S(PGReturns)</f>
        <v>4.1263729530045222E-2</v>
      </c>
    </row>
    <row r="4" spans="1:7" x14ac:dyDescent="0.3">
      <c r="A4" s="55">
        <f>ReturnData!A4</f>
        <v>44134</v>
      </c>
      <c r="B4" s="56">
        <v>-7.9406408707356491E-3</v>
      </c>
      <c r="C4" s="56">
        <f>(B4-PGAverageReturn)^2</f>
        <v>3.2215347191623655E-4</v>
      </c>
    </row>
    <row r="5" spans="1:7" x14ac:dyDescent="0.3">
      <c r="A5" s="57">
        <f>ReturnData!A5</f>
        <v>44104</v>
      </c>
      <c r="B5" s="42">
        <v>4.7598794950918233E-3</v>
      </c>
      <c r="C5" s="42">
        <f t="shared" si="0"/>
        <v>2.7542699480414408E-5</v>
      </c>
    </row>
    <row r="6" spans="1:7" x14ac:dyDescent="0.3">
      <c r="A6" s="55">
        <f>ReturnData!A6</f>
        <v>44074</v>
      </c>
      <c r="B6" s="56">
        <v>5.3529250927274674E-2</v>
      </c>
      <c r="C6" s="56">
        <f t="shared" si="0"/>
        <v>1.894099857406145E-3</v>
      </c>
    </row>
    <row r="7" spans="1:7" x14ac:dyDescent="0.3">
      <c r="A7" s="57">
        <f>ReturnData!A7</f>
        <v>44043</v>
      </c>
      <c r="B7" s="42">
        <v>9.8223170239496227E-2</v>
      </c>
      <c r="C7" s="42">
        <f t="shared" si="0"/>
        <v>7.7819174261426916E-3</v>
      </c>
    </row>
    <row r="8" spans="1:7" x14ac:dyDescent="0.3">
      <c r="A8" s="55">
        <f>ReturnData!A8</f>
        <v>44012</v>
      </c>
      <c r="B8" s="56">
        <v>3.1001689162631685E-2</v>
      </c>
      <c r="C8" s="56">
        <f t="shared" si="0"/>
        <v>4.4073526208786268E-4</v>
      </c>
    </row>
    <row r="9" spans="1:7" x14ac:dyDescent="0.3">
      <c r="A9" s="57">
        <f>ReturnData!A9</f>
        <v>43980</v>
      </c>
      <c r="B9" s="42">
        <v>-1.6682063323688823E-2</v>
      </c>
      <c r="C9" s="42">
        <f t="shared" si="0"/>
        <v>7.1235912751462492E-4</v>
      </c>
    </row>
    <row r="10" spans="1:7" x14ac:dyDescent="0.3">
      <c r="A10" s="55">
        <f>ReturnData!A10</f>
        <v>43951</v>
      </c>
      <c r="B10" s="56">
        <v>7.5787817530132529E-2</v>
      </c>
      <c r="C10" s="56">
        <f t="shared" si="0"/>
        <v>4.3269852635747855E-3</v>
      </c>
    </row>
    <row r="11" spans="1:7" x14ac:dyDescent="0.3">
      <c r="A11" s="57">
        <f>ReturnData!A11</f>
        <v>43921</v>
      </c>
      <c r="B11" s="42">
        <v>-2.894081218056499E-2</v>
      </c>
      <c r="C11" s="42">
        <f t="shared" si="0"/>
        <v>1.5170094555702408E-3</v>
      </c>
    </row>
    <row r="12" spans="1:7" x14ac:dyDescent="0.3">
      <c r="A12" s="55">
        <f>ReturnData!A12</f>
        <v>43889</v>
      </c>
      <c r="B12" s="56">
        <v>-9.5847951182751245E-2</v>
      </c>
      <c r="C12" s="56">
        <f t="shared" si="0"/>
        <v>1.1205481001923617E-2</v>
      </c>
    </row>
    <row r="13" spans="1:7" x14ac:dyDescent="0.3">
      <c r="A13" s="57">
        <f>ReturnData!A13</f>
        <v>43861</v>
      </c>
      <c r="B13" s="42">
        <v>3.7232537578040237E-3</v>
      </c>
      <c r="C13" s="42">
        <f t="shared" si="0"/>
        <v>3.9497952276212581E-5</v>
      </c>
    </row>
    <row r="14" spans="1:7" x14ac:dyDescent="0.3">
      <c r="A14" s="55">
        <f>ReturnData!A14</f>
        <v>43830</v>
      </c>
      <c r="B14" s="56">
        <v>2.3000722233677884E-2</v>
      </c>
      <c r="C14" s="56">
        <f t="shared" si="0"/>
        <v>1.6881100273976766E-4</v>
      </c>
    </row>
    <row r="15" spans="1:7" x14ac:dyDescent="0.3">
      <c r="A15" s="57">
        <f>ReturnData!A15</f>
        <v>43798</v>
      </c>
      <c r="B15" s="42">
        <v>-1.9873344006761329E-2</v>
      </c>
      <c r="C15" s="42">
        <f t="shared" si="0"/>
        <v>8.9289432476989195E-4</v>
      </c>
    </row>
    <row r="16" spans="1:7" x14ac:dyDescent="0.3">
      <c r="A16" s="55">
        <f>ReturnData!A16</f>
        <v>43769</v>
      </c>
      <c r="B16" s="56">
        <v>7.0174879081266184E-3</v>
      </c>
      <c r="C16" s="56">
        <f t="shared" si="0"/>
        <v>8.9431230522072031E-6</v>
      </c>
    </row>
    <row r="17" spans="1:3" x14ac:dyDescent="0.3">
      <c r="A17" s="57">
        <f>ReturnData!A17</f>
        <v>43738</v>
      </c>
      <c r="B17" s="42">
        <v>3.3934770685809745E-2</v>
      </c>
      <c r="C17" s="42">
        <f t="shared" si="0"/>
        <v>5.7249067164252322E-4</v>
      </c>
    </row>
    <row r="18" spans="1:3" x14ac:dyDescent="0.3">
      <c r="A18" s="55">
        <f>ReturnData!A18</f>
        <v>43707</v>
      </c>
      <c r="B18" s="56">
        <v>1.8383045076933335E-2</v>
      </c>
      <c r="C18" s="56">
        <f t="shared" si="0"/>
        <v>7.0141490716537776E-5</v>
      </c>
    </row>
    <row r="19" spans="1:3" x14ac:dyDescent="0.3">
      <c r="A19" s="57">
        <f>ReturnData!A19</f>
        <v>43677</v>
      </c>
      <c r="B19" s="42">
        <v>8.0029231735647244E-2</v>
      </c>
      <c r="C19" s="42">
        <f t="shared" si="0"/>
        <v>4.9029738191045573E-3</v>
      </c>
    </row>
    <row r="20" spans="1:3" x14ac:dyDescent="0.3">
      <c r="A20" s="55">
        <f>ReturnData!A20</f>
        <v>43644</v>
      </c>
      <c r="B20" s="56">
        <v>6.3438633346247997E-2</v>
      </c>
      <c r="C20" s="56">
        <f t="shared" si="0"/>
        <v>2.8548332858645518E-3</v>
      </c>
    </row>
    <row r="21" spans="1:3" x14ac:dyDescent="0.3">
      <c r="A21" s="57">
        <f>ReturnData!A21</f>
        <v>43616</v>
      </c>
      <c r="B21" s="42">
        <v>-3.410235017972596E-2</v>
      </c>
      <c r="C21" s="42">
        <f t="shared" si="0"/>
        <v>1.9457224100618801E-3</v>
      </c>
    </row>
    <row r="22" spans="1:3" x14ac:dyDescent="0.3">
      <c r="A22" s="55">
        <f>ReturnData!A22</f>
        <v>43585</v>
      </c>
      <c r="B22" s="56">
        <v>3.0066272840042707E-2</v>
      </c>
      <c r="C22" s="56">
        <f t="shared" si="0"/>
        <v>4.0233457439477563E-4</v>
      </c>
    </row>
    <row r="23" spans="1:3" x14ac:dyDescent="0.3">
      <c r="A23" s="57">
        <f>ReturnData!A23</f>
        <v>43553</v>
      </c>
      <c r="B23" s="42">
        <v>5.4307517604044619E-2</v>
      </c>
      <c r="C23" s="42">
        <f t="shared" si="0"/>
        <v>1.9624478453671552E-3</v>
      </c>
    </row>
    <row r="24" spans="1:3" x14ac:dyDescent="0.3">
      <c r="A24" s="55">
        <f>ReturnData!A24</f>
        <v>43524</v>
      </c>
      <c r="B24" s="56">
        <v>2.1331972729153215E-2</v>
      </c>
      <c r="C24" s="56">
        <f t="shared" si="0"/>
        <v>1.2823250801641912E-4</v>
      </c>
    </row>
    <row r="25" spans="1:3" x14ac:dyDescent="0.3">
      <c r="A25" s="57">
        <f>ReturnData!A25</f>
        <v>43496</v>
      </c>
      <c r="B25" s="42">
        <v>5.5720414298676246E-2</v>
      </c>
      <c r="C25" s="42">
        <f t="shared" si="0"/>
        <v>2.08962542510128E-3</v>
      </c>
    </row>
    <row r="26" spans="1:3" x14ac:dyDescent="0.3">
      <c r="A26" s="55">
        <f>ReturnData!A26</f>
        <v>43465</v>
      </c>
      <c r="B26" s="56">
        <v>-2.7787057989776542E-2</v>
      </c>
      <c r="C26" s="56">
        <f t="shared" si="0"/>
        <v>1.4284659089906925E-3</v>
      </c>
    </row>
    <row r="27" spans="1:3" x14ac:dyDescent="0.3">
      <c r="A27" s="57">
        <f>ReturnData!A27</f>
        <v>43434</v>
      </c>
      <c r="B27" s="42">
        <v>6.3671283420760894E-2</v>
      </c>
      <c r="C27" s="42">
        <f t="shared" si="0"/>
        <v>2.879748696654734E-3</v>
      </c>
    </row>
    <row r="28" spans="1:3" x14ac:dyDescent="0.3">
      <c r="A28" s="55">
        <f>ReturnData!A28</f>
        <v>43404</v>
      </c>
      <c r="B28" s="56">
        <v>7.1481464890806201E-2</v>
      </c>
      <c r="C28" s="56">
        <f t="shared" si="0"/>
        <v>3.7789876980501885E-3</v>
      </c>
    </row>
    <row r="29" spans="1:3" x14ac:dyDescent="0.3">
      <c r="A29" s="57">
        <f>ReturnData!A29</f>
        <v>43371</v>
      </c>
      <c r="B29" s="42">
        <v>3.3699202450954147E-3</v>
      </c>
      <c r="C29" s="42">
        <f t="shared" si="0"/>
        <v>4.4064015110604422E-5</v>
      </c>
    </row>
    <row r="30" spans="1:3" x14ac:dyDescent="0.3">
      <c r="A30" s="55">
        <f>ReturnData!A30</f>
        <v>43343</v>
      </c>
      <c r="B30" s="56">
        <v>2.5271439092637848E-2</v>
      </c>
      <c r="C30" s="56">
        <f t="shared" si="0"/>
        <v>2.329727746403424E-4</v>
      </c>
    </row>
    <row r="31" spans="1:3" x14ac:dyDescent="0.3">
      <c r="A31" s="57">
        <f>ReturnData!A31</f>
        <v>43312</v>
      </c>
      <c r="B31" s="42">
        <v>4.4317183288900885E-2</v>
      </c>
      <c r="C31" s="42">
        <f t="shared" si="0"/>
        <v>1.1771205113456913E-3</v>
      </c>
    </row>
    <row r="32" spans="1:3" x14ac:dyDescent="0.3">
      <c r="A32" s="55">
        <f>ReturnData!A32</f>
        <v>43280</v>
      </c>
      <c r="B32" s="56">
        <v>6.4692254605172472E-2</v>
      </c>
      <c r="C32" s="56">
        <f t="shared" si="0"/>
        <v>2.9903684243732364E-3</v>
      </c>
    </row>
    <row r="33" spans="1:3" x14ac:dyDescent="0.3">
      <c r="A33" s="57">
        <f>ReturnData!A33</f>
        <v>43251</v>
      </c>
      <c r="B33" s="42">
        <v>1.1408299970898206E-2</v>
      </c>
      <c r="C33" s="42">
        <f t="shared" si="0"/>
        <v>1.9608585134397688E-6</v>
      </c>
    </row>
    <row r="34" spans="1:3" x14ac:dyDescent="0.3">
      <c r="A34" s="55">
        <f>ReturnData!A34</f>
        <v>43220</v>
      </c>
      <c r="B34" s="56">
        <v>-8.1743229040064591E-2</v>
      </c>
      <c r="C34" s="56">
        <f t="shared" ref="C34:C65" si="1">(B34-PGAverageReturn)^2</f>
        <v>8.4182868178742376E-3</v>
      </c>
    </row>
    <row r="35" spans="1:3" x14ac:dyDescent="0.3">
      <c r="A35" s="57">
        <f>ReturnData!A35</f>
        <v>43188</v>
      </c>
      <c r="B35" s="42">
        <v>9.6325479687013882E-3</v>
      </c>
      <c r="C35" s="42">
        <f t="shared" si="1"/>
        <v>1.4095926626888669E-7</v>
      </c>
    </row>
    <row r="36" spans="1:3" x14ac:dyDescent="0.3">
      <c r="A36" s="55">
        <f>ReturnData!A36</f>
        <v>43159</v>
      </c>
      <c r="B36" s="56">
        <v>-9.4939621056684409E-2</v>
      </c>
      <c r="C36" s="56">
        <f t="shared" si="1"/>
        <v>1.1014001778579571E-2</v>
      </c>
    </row>
    <row r="37" spans="1:3" x14ac:dyDescent="0.3">
      <c r="A37" s="57">
        <f>ReturnData!A37</f>
        <v>43131</v>
      </c>
      <c r="B37" s="42">
        <v>-5.4235099437268453E-2</v>
      </c>
      <c r="C37" s="42">
        <f t="shared" si="1"/>
        <v>4.1271749763372532E-3</v>
      </c>
    </row>
    <row r="38" spans="1:3" x14ac:dyDescent="0.3">
      <c r="A38" s="55">
        <f>ReturnData!A38</f>
        <v>43098</v>
      </c>
      <c r="B38" s="56">
        <v>2.0784818620428247E-2</v>
      </c>
      <c r="C38" s="56">
        <f t="shared" si="1"/>
        <v>1.1613996199280645E-4</v>
      </c>
    </row>
    <row r="39" spans="1:3" x14ac:dyDescent="0.3">
      <c r="A39" s="57">
        <f>ReturnData!A39</f>
        <v>43069</v>
      </c>
      <c r="B39" s="42">
        <v>4.1405581594974983E-2</v>
      </c>
      <c r="C39" s="42">
        <f t="shared" si="1"/>
        <v>9.8580854493072719E-4</v>
      </c>
    </row>
    <row r="40" spans="1:3" x14ac:dyDescent="0.3">
      <c r="A40" s="55">
        <f>ReturnData!A40</f>
        <v>43039</v>
      </c>
      <c r="B40" s="56">
        <v>-4.4391490548861157E-2</v>
      </c>
      <c r="C40" s="56">
        <f t="shared" si="1"/>
        <v>2.9593038530889557E-3</v>
      </c>
    </row>
    <row r="41" spans="1:3" x14ac:dyDescent="0.3">
      <c r="A41" s="57">
        <f>ReturnData!A41</f>
        <v>43007</v>
      </c>
      <c r="B41" s="42">
        <v>-1.4079286169480731E-2</v>
      </c>
      <c r="C41" s="42">
        <f t="shared" si="1"/>
        <v>5.8019703669814177E-4</v>
      </c>
    </row>
    <row r="42" spans="1:3" x14ac:dyDescent="0.3">
      <c r="A42" s="55">
        <f>ReturnData!A42</f>
        <v>42978</v>
      </c>
      <c r="B42" s="56">
        <v>1.5839502899249069E-2</v>
      </c>
      <c r="C42" s="56">
        <f t="shared" si="1"/>
        <v>3.4006503127031912E-5</v>
      </c>
    </row>
    <row r="43" spans="1:3" x14ac:dyDescent="0.3">
      <c r="A43" s="57">
        <f>ReturnData!A43</f>
        <v>42947</v>
      </c>
      <c r="B43" s="42">
        <v>4.881309190111871E-2</v>
      </c>
      <c r="C43" s="42">
        <f t="shared" si="1"/>
        <v>1.5058356702617863E-3</v>
      </c>
    </row>
    <row r="44" spans="1:3" x14ac:dyDescent="0.3">
      <c r="A44" s="55">
        <f>ReturnData!A44</f>
        <v>42916</v>
      </c>
      <c r="B44" s="56">
        <v>-1.0728188074661027E-2</v>
      </c>
      <c r="C44" s="56">
        <f t="shared" si="1"/>
        <v>4.2998922184000273E-4</v>
      </c>
    </row>
    <row r="45" spans="1:3" x14ac:dyDescent="0.3">
      <c r="A45" s="57">
        <f>ReturnData!A45</f>
        <v>42886</v>
      </c>
      <c r="B45" s="42">
        <v>8.6649101566242948E-3</v>
      </c>
      <c r="C45" s="42">
        <f t="shared" si="1"/>
        <v>1.8038725785531994E-6</v>
      </c>
    </row>
    <row r="46" spans="1:3" x14ac:dyDescent="0.3">
      <c r="A46" s="55">
        <f>ReturnData!A46</f>
        <v>42853</v>
      </c>
      <c r="B46" s="56">
        <v>-2.0582058597364394E-2</v>
      </c>
      <c r="C46" s="56">
        <f t="shared" si="1"/>
        <v>9.357512807440379E-4</v>
      </c>
    </row>
    <row r="47" spans="1:3" x14ac:dyDescent="0.3">
      <c r="A47" s="57">
        <f>ReturnData!A47</f>
        <v>42825</v>
      </c>
      <c r="B47" s="42">
        <v>-1.3486841981671382E-2</v>
      </c>
      <c r="C47" s="42">
        <f t="shared" si="1"/>
        <v>5.5200728926051428E-4</v>
      </c>
    </row>
    <row r="48" spans="1:3" x14ac:dyDescent="0.3">
      <c r="A48" s="55">
        <f>ReturnData!A48</f>
        <v>42794</v>
      </c>
      <c r="B48" s="56">
        <v>3.8847457705088573E-2</v>
      </c>
      <c r="C48" s="56">
        <f t="shared" si="1"/>
        <v>8.3171470183572051E-4</v>
      </c>
    </row>
    <row r="49" spans="1:3" x14ac:dyDescent="0.3">
      <c r="A49" s="57">
        <f>ReturnData!A49</f>
        <v>42766</v>
      </c>
      <c r="B49" s="42">
        <v>4.8625868868997557E-2</v>
      </c>
      <c r="C49" s="42">
        <f t="shared" si="1"/>
        <v>1.4913403063164645E-3</v>
      </c>
    </row>
    <row r="50" spans="1:3" x14ac:dyDescent="0.3">
      <c r="A50" s="55">
        <f>ReturnData!A50</f>
        <v>42734</v>
      </c>
      <c r="B50" s="56">
        <v>1.945543217015544E-2</v>
      </c>
      <c r="C50" s="56">
        <f t="shared" si="1"/>
        <v>8.925409945710566E-5</v>
      </c>
    </row>
    <row r="51" spans="1:3" x14ac:dyDescent="0.3">
      <c r="A51" s="57">
        <f>ReturnData!A51</f>
        <v>42704</v>
      </c>
      <c r="B51" s="42">
        <v>-5.1293340648734365E-2</v>
      </c>
      <c r="C51" s="42">
        <f t="shared" si="1"/>
        <v>3.7578535552378676E-3</v>
      </c>
    </row>
    <row r="52" spans="1:3" x14ac:dyDescent="0.3">
      <c r="A52" s="55">
        <f>ReturnData!A52</f>
        <v>42674</v>
      </c>
      <c r="B52" s="56">
        <v>-2.5737831385460375E-2</v>
      </c>
      <c r="C52" s="56">
        <f t="shared" si="1"/>
        <v>1.2777639890583184E-3</v>
      </c>
    </row>
    <row r="53" spans="1:3" x14ac:dyDescent="0.3">
      <c r="A53" s="57">
        <f>ReturnData!A53</f>
        <v>42643</v>
      </c>
      <c r="B53" s="42">
        <v>2.7563051508177061E-2</v>
      </c>
      <c r="C53" s="42">
        <f t="shared" si="1"/>
        <v>3.0818006544397762E-4</v>
      </c>
    </row>
    <row r="54" spans="1:3" x14ac:dyDescent="0.3">
      <c r="A54" s="55">
        <f>ReturnData!A54</f>
        <v>42613</v>
      </c>
      <c r="B54" s="56">
        <v>1.989656475334467E-2</v>
      </c>
      <c r="C54" s="56">
        <f t="shared" si="1"/>
        <v>9.7783843558054716E-5</v>
      </c>
    </row>
    <row r="55" spans="1:3" x14ac:dyDescent="0.3">
      <c r="A55" s="57">
        <f>ReturnData!A55</f>
        <v>42580</v>
      </c>
      <c r="B55" s="42">
        <v>1.859882621313691E-2</v>
      </c>
      <c r="C55" s="42">
        <f t="shared" si="1"/>
        <v>7.3802408551730352E-5</v>
      </c>
    </row>
    <row r="56" spans="1:3" x14ac:dyDescent="0.3">
      <c r="A56" s="55">
        <f>ReturnData!A56</f>
        <v>42551</v>
      </c>
      <c r="B56" s="56">
        <v>4.3818454790750749E-2</v>
      </c>
      <c r="C56" s="56">
        <f t="shared" si="1"/>
        <v>1.1431472999610219E-3</v>
      </c>
    </row>
    <row r="57" spans="1:3" x14ac:dyDescent="0.3">
      <c r="A57" s="57">
        <f>ReturnData!A57</f>
        <v>42521</v>
      </c>
      <c r="B57" s="42">
        <v>1.1417326159184782E-2</v>
      </c>
      <c r="C57" s="42">
        <f t="shared" si="1"/>
        <v>1.986218847185438E-6</v>
      </c>
    </row>
    <row r="58" spans="1:3" x14ac:dyDescent="0.3">
      <c r="A58" s="55">
        <f>ReturnData!A58</f>
        <v>42489</v>
      </c>
      <c r="B58" s="56">
        <v>-1.8645536821597197E-2</v>
      </c>
      <c r="C58" s="56">
        <f t="shared" si="1"/>
        <v>8.2102479373152165E-4</v>
      </c>
    </row>
    <row r="59" spans="1:3" x14ac:dyDescent="0.3">
      <c r="A59" s="57">
        <f>ReturnData!A59</f>
        <v>42460</v>
      </c>
      <c r="B59" s="42">
        <v>2.4847485724088791E-2</v>
      </c>
      <c r="C59" s="42">
        <f t="shared" si="1"/>
        <v>2.202105326585882E-4</v>
      </c>
    </row>
    <row r="60" spans="1:3" x14ac:dyDescent="0.3">
      <c r="A60" s="55">
        <f>ReturnData!A60</f>
        <v>42429</v>
      </c>
      <c r="B60" s="56">
        <v>-1.728653364065913E-2</v>
      </c>
      <c r="C60" s="56">
        <f t="shared" si="1"/>
        <v>7.4499120596513164E-4</v>
      </c>
    </row>
    <row r="61" spans="1:3" x14ac:dyDescent="0.3">
      <c r="A61" s="57">
        <f>ReturnData!A61</f>
        <v>42398</v>
      </c>
      <c r="B61" s="42">
        <v>3.6389349817033789E-2</v>
      </c>
      <c r="C61" s="42">
        <f t="shared" si="1"/>
        <v>6.9597596679705587E-4</v>
      </c>
    </row>
    <row r="62" spans="1:3" x14ac:dyDescent="0.3">
      <c r="A62" s="55">
        <f>ReturnData!A62</f>
        <v>42369</v>
      </c>
      <c r="B62" s="56">
        <v>5.9271898550221636E-2</v>
      </c>
      <c r="C62" s="56">
        <f t="shared" si="1"/>
        <v>2.4269323513866872E-3</v>
      </c>
    </row>
    <row r="63" spans="1:3" x14ac:dyDescent="0.3">
      <c r="A63" s="57">
        <f>ReturnData!A63</f>
        <v>42338</v>
      </c>
      <c r="B63" s="42">
        <v>-2.0368393364556425E-2</v>
      </c>
      <c r="C63" s="42">
        <f t="shared" si="1"/>
        <v>9.2272487241569436E-4</v>
      </c>
    </row>
    <row r="64" spans="1:3" x14ac:dyDescent="0.3">
      <c r="A64" s="55">
        <f>ReturnData!A64</f>
        <v>42307</v>
      </c>
      <c r="B64" s="56">
        <v>6.8529901333849175E-2</v>
      </c>
      <c r="C64" s="56">
        <f t="shared" si="1"/>
        <v>3.4248137090930092E-3</v>
      </c>
    </row>
    <row r="65" spans="1:3" x14ac:dyDescent="0.3">
      <c r="A65" s="57">
        <f>ReturnData!A65</f>
        <v>42277</v>
      </c>
      <c r="B65" s="42">
        <v>1.7811343411344716E-2</v>
      </c>
      <c r="C65" s="42">
        <f t="shared" si="1"/>
        <v>6.0892271516238697E-5</v>
      </c>
    </row>
    <row r="66" spans="1:3" x14ac:dyDescent="0.3">
      <c r="A66" s="55">
        <f>ReturnData!A66</f>
        <v>42247</v>
      </c>
      <c r="B66" s="56">
        <v>-8.188053979213894E-2</v>
      </c>
      <c r="C66" s="56">
        <f t="shared" ref="C66:C97" si="2">(B66-PGAverageReturn)^2</f>
        <v>8.4435025308287909E-3</v>
      </c>
    </row>
    <row r="67" spans="1:3" x14ac:dyDescent="0.3">
      <c r="A67" s="57">
        <f>ReturnData!A67</f>
        <v>42216</v>
      </c>
      <c r="B67" s="42">
        <v>-1.127370072921785E-2</v>
      </c>
      <c r="C67" s="42">
        <f t="shared" si="2"/>
        <v>4.5291050469135587E-4</v>
      </c>
    </row>
    <row r="68" spans="1:3" x14ac:dyDescent="0.3">
      <c r="A68" s="55">
        <f>ReturnData!A68</f>
        <v>42185</v>
      </c>
      <c r="B68" s="56">
        <v>-1.9153619915384112E-3</v>
      </c>
      <c r="C68" s="56">
        <f t="shared" si="2"/>
        <v>1.4216640361463569E-4</v>
      </c>
    </row>
    <row r="69" spans="1:3" x14ac:dyDescent="0.3">
      <c r="A69" s="57">
        <f>ReturnData!A69</f>
        <v>42153</v>
      </c>
      <c r="B69" s="42">
        <v>-1.4186466366294503E-2</v>
      </c>
      <c r="C69" s="42">
        <f t="shared" si="2"/>
        <v>5.8537188302105862E-4</v>
      </c>
    </row>
    <row r="70" spans="1:3" x14ac:dyDescent="0.3">
      <c r="A70" s="55">
        <f>ReturnData!A70</f>
        <v>42124</v>
      </c>
      <c r="B70" s="56">
        <v>-2.1801723097371273E-2</v>
      </c>
      <c r="C70" s="56">
        <f t="shared" si="2"/>
        <v>1.0118580631674767E-3</v>
      </c>
    </row>
    <row r="71" spans="1:3" x14ac:dyDescent="0.3">
      <c r="A71" s="57">
        <f>ReturnData!A71</f>
        <v>42094</v>
      </c>
      <c r="B71" s="42">
        <v>-3.8192165718806237E-2</v>
      </c>
      <c r="C71" s="42">
        <f t="shared" si="2"/>
        <v>2.3232553383574928E-3</v>
      </c>
    </row>
    <row r="72" spans="1:3" x14ac:dyDescent="0.3">
      <c r="A72" s="55">
        <f>ReturnData!A72</f>
        <v>42062</v>
      </c>
      <c r="B72" s="56">
        <v>9.9162227615519072E-3</v>
      </c>
      <c r="C72" s="56">
        <f t="shared" si="2"/>
        <v>8.421848708905088E-9</v>
      </c>
    </row>
    <row r="73" spans="1:3" x14ac:dyDescent="0.3">
      <c r="A73" s="57">
        <f>ReturnData!A73</f>
        <v>42034</v>
      </c>
      <c r="B73" s="42">
        <v>-6.9978203184500209E-2</v>
      </c>
      <c r="C73" s="42">
        <f t="shared" si="2"/>
        <v>6.397791642858263E-3</v>
      </c>
    </row>
    <row r="74" spans="1:3" x14ac:dyDescent="0.3">
      <c r="A74" s="55">
        <f>ReturnData!A74</f>
        <v>42004</v>
      </c>
      <c r="B74" s="56">
        <v>7.2719144264112856E-3</v>
      </c>
      <c r="C74" s="56">
        <f t="shared" si="2"/>
        <v>7.486128108801112E-6</v>
      </c>
    </row>
    <row r="75" spans="1:3" x14ac:dyDescent="0.3">
      <c r="A75" s="57">
        <f>ReturnData!A75</f>
        <v>41971</v>
      </c>
      <c r="B75" s="42">
        <v>3.5569351417954032E-2</v>
      </c>
      <c r="C75" s="42">
        <f t="shared" si="2"/>
        <v>6.5338302410424714E-4</v>
      </c>
    </row>
    <row r="76" spans="1:3" x14ac:dyDescent="0.3">
      <c r="A76" s="55">
        <f>ReturnData!A76</f>
        <v>41943</v>
      </c>
      <c r="B76" s="56">
        <v>4.863774058448822E-2</v>
      </c>
      <c r="C76" s="56">
        <f t="shared" si="2"/>
        <v>1.4922573681151142E-3</v>
      </c>
    </row>
    <row r="77" spans="1:3" x14ac:dyDescent="0.3">
      <c r="A77" s="57">
        <f>ReturnData!A77</f>
        <v>41912</v>
      </c>
      <c r="B77" s="42">
        <v>7.5516961718866682E-3</v>
      </c>
      <c r="C77" s="42">
        <f t="shared" si="2"/>
        <v>6.0333960361077114E-6</v>
      </c>
    </row>
    <row r="78" spans="1:3" x14ac:dyDescent="0.3">
      <c r="A78" s="55">
        <f>ReturnData!A78</f>
        <v>41880</v>
      </c>
      <c r="B78" s="56">
        <v>7.2212388515624504E-2</v>
      </c>
      <c r="C78" s="56">
        <f t="shared" si="2"/>
        <v>3.8693867726308849E-3</v>
      </c>
    </row>
    <row r="79" spans="1:3" x14ac:dyDescent="0.3">
      <c r="A79" s="57">
        <f>ReturnData!A79</f>
        <v>41851</v>
      </c>
      <c r="B79" s="42">
        <v>-8.0023712609804676E-3</v>
      </c>
      <c r="C79" s="42">
        <f t="shared" si="2"/>
        <v>3.2437323495218133E-4</v>
      </c>
    </row>
    <row r="80" spans="1:3" x14ac:dyDescent="0.3">
      <c r="A80" s="55">
        <f>ReturnData!A80</f>
        <v>41820</v>
      </c>
      <c r="B80" s="56">
        <v>-2.7608788543371787E-2</v>
      </c>
      <c r="C80" s="56">
        <f t="shared" si="2"/>
        <v>1.4150222832126902E-3</v>
      </c>
    </row>
    <row r="81" spans="1:3" x14ac:dyDescent="0.3">
      <c r="A81" s="57">
        <f>ReturnData!A81</f>
        <v>41789</v>
      </c>
      <c r="B81" s="42">
        <v>-2.1551000510931395E-2</v>
      </c>
      <c r="C81" s="42">
        <f t="shared" si="2"/>
        <v>9.9597009619829661E-4</v>
      </c>
    </row>
    <row r="82" spans="1:3" x14ac:dyDescent="0.3">
      <c r="A82" s="55">
        <f>ReturnData!A82</f>
        <v>41759</v>
      </c>
      <c r="B82" s="56">
        <v>3.1671827737127067E-2</v>
      </c>
      <c r="C82" s="56">
        <f t="shared" si="2"/>
        <v>4.6932171851042962E-4</v>
      </c>
    </row>
    <row r="83" spans="1:3" x14ac:dyDescent="0.3">
      <c r="A83" s="57">
        <f>ReturnData!A83</f>
        <v>41729</v>
      </c>
      <c r="B83" s="42">
        <v>2.4363817021236578E-2</v>
      </c>
      <c r="C83" s="42">
        <f t="shared" si="2"/>
        <v>2.0608967205871972E-4</v>
      </c>
    </row>
    <row r="84" spans="1:3" x14ac:dyDescent="0.3">
      <c r="A84" s="55">
        <f>ReturnData!A84</f>
        <v>41698</v>
      </c>
      <c r="B84" s="56">
        <v>2.6276638440540623E-2</v>
      </c>
      <c r="C84" s="56">
        <f t="shared" si="2"/>
        <v>2.6466881169837547E-4</v>
      </c>
    </row>
    <row r="85" spans="1:3" x14ac:dyDescent="0.3">
      <c r="A85" s="57">
        <f>ReturnData!A85</f>
        <v>41670</v>
      </c>
      <c r="B85" s="42">
        <v>-5.2820209662255202E-2</v>
      </c>
      <c r="C85" s="42">
        <f t="shared" si="2"/>
        <v>3.9473830990924908E-3</v>
      </c>
    </row>
    <row r="86" spans="1:3" x14ac:dyDescent="0.3">
      <c r="A86" s="55">
        <f>ReturnData!A86</f>
        <v>41639</v>
      </c>
      <c r="B86" s="56">
        <v>-3.3934276658582618E-2</v>
      </c>
      <c r="C86" s="56">
        <f t="shared" si="2"/>
        <v>1.9309230972443284E-3</v>
      </c>
    </row>
    <row r="87" spans="1:3" x14ac:dyDescent="0.3">
      <c r="A87" s="57">
        <f>ReturnData!A87</f>
        <v>41607</v>
      </c>
      <c r="B87" s="42">
        <v>4.2074475125234656E-2</v>
      </c>
      <c r="C87" s="42">
        <f t="shared" si="2"/>
        <v>1.0282592507143049E-3</v>
      </c>
    </row>
    <row r="88" spans="1:3" x14ac:dyDescent="0.3">
      <c r="A88" s="55">
        <f>ReturnData!A88</f>
        <v>41578</v>
      </c>
      <c r="B88" s="56">
        <v>7.3455321171819854E-2</v>
      </c>
      <c r="C88" s="56">
        <f t="shared" si="2"/>
        <v>4.0255634023334845E-3</v>
      </c>
    </row>
    <row r="89" spans="1:3" x14ac:dyDescent="0.3">
      <c r="A89" s="57">
        <f>ReturnData!A89</f>
        <v>41547</v>
      </c>
      <c r="B89" s="42">
        <v>-2.9973616238710754E-2</v>
      </c>
      <c r="C89" s="42">
        <f t="shared" si="2"/>
        <v>1.5985291087043953E-3</v>
      </c>
    </row>
    <row r="90" spans="1:3" x14ac:dyDescent="0.3">
      <c r="A90" s="55">
        <f>ReturnData!A90</f>
        <v>41516</v>
      </c>
      <c r="B90" s="56">
        <v>-3.0472091861384776E-2</v>
      </c>
      <c r="C90" s="56">
        <f t="shared" si="2"/>
        <v>1.6386373021636737E-3</v>
      </c>
    </row>
    <row r="91" spans="1:3" x14ac:dyDescent="0.3">
      <c r="A91" s="57">
        <f>ReturnData!A91</f>
        <v>41486</v>
      </c>
      <c r="B91" s="42">
        <v>4.9556887168110464E-2</v>
      </c>
      <c r="C91" s="42">
        <f t="shared" si="2"/>
        <v>1.5641149988726696E-3</v>
      </c>
    </row>
    <row r="92" spans="1:3" x14ac:dyDescent="0.3">
      <c r="A92" s="55">
        <f>ReturnData!A92</f>
        <v>41453</v>
      </c>
      <c r="B92" s="56">
        <v>2.9918165736075863E-3</v>
      </c>
      <c r="C92" s="56">
        <f t="shared" si="2"/>
        <v>4.922673715429156E-5</v>
      </c>
    </row>
    <row r="93" spans="1:3" x14ac:dyDescent="0.3">
      <c r="A93" s="57">
        <f>ReturnData!A93</f>
        <v>41425</v>
      </c>
      <c r="B93" s="42">
        <v>-1.3019614315812333E-4</v>
      </c>
      <c r="C93" s="42">
        <f t="shared" si="2"/>
        <v>1.0278288706140224E-4</v>
      </c>
    </row>
    <row r="94" spans="1:3" x14ac:dyDescent="0.3">
      <c r="A94" s="55">
        <f>ReturnData!A94</f>
        <v>41394</v>
      </c>
      <c r="B94" s="56">
        <v>4.0341445029001832E-3</v>
      </c>
      <c r="C94" s="56">
        <f t="shared" si="2"/>
        <v>3.5686870556052488E-5</v>
      </c>
    </row>
    <row r="95" spans="1:3" x14ac:dyDescent="0.3">
      <c r="A95" s="57">
        <f>ReturnData!A95</f>
        <v>41361</v>
      </c>
      <c r="B95" s="42">
        <v>1.1485342459683245E-2</v>
      </c>
      <c r="C95" s="42">
        <f t="shared" si="2"/>
        <v>2.1825602662380787E-6</v>
      </c>
    </row>
    <row r="96" spans="1:3" x14ac:dyDescent="0.3">
      <c r="A96" s="55">
        <f>ReturnData!A96</f>
        <v>41333</v>
      </c>
      <c r="B96" s="56">
        <v>1.3479741786997401E-2</v>
      </c>
      <c r="C96" s="56">
        <f t="shared" si="2"/>
        <v>1.2053036914532837E-5</v>
      </c>
    </row>
    <row r="97" spans="1:3" ht="15" thickBot="1" x14ac:dyDescent="0.35">
      <c r="A97" s="58">
        <f>ReturnData!A97</f>
        <v>41305</v>
      </c>
      <c r="B97" s="46">
        <v>0.1091800478239362</v>
      </c>
      <c r="C97" s="46">
        <f t="shared" si="2"/>
        <v>9.8350963801471045E-3</v>
      </c>
    </row>
    <row r="98" spans="1:3" x14ac:dyDescent="0.3">
      <c r="A98" s="5"/>
    </row>
    <row r="99" spans="1:3" x14ac:dyDescent="0.3">
      <c r="A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649E-57EA-4D9A-B4DC-CAF6D2BEEBE3}">
  <dimension ref="A1:O101"/>
  <sheetViews>
    <sheetView tabSelected="1" topLeftCell="A75" workbookViewId="0">
      <selection activeCell="L101" sqref="L101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2.33203125" bestFit="1" customWidth="1"/>
    <col min="4" max="4" width="12" bestFit="1" customWidth="1"/>
  </cols>
  <sheetData>
    <row r="1" spans="1:15" x14ac:dyDescent="0.3">
      <c r="A1" s="41" t="str">
        <f>PG!A1</f>
        <v>Date</v>
      </c>
      <c r="B1" s="60" t="s">
        <v>23</v>
      </c>
      <c r="C1" s="61" t="s">
        <v>22</v>
      </c>
      <c r="D1" s="62" t="s">
        <v>21</v>
      </c>
      <c r="E1" s="63" t="s">
        <v>24</v>
      </c>
      <c r="F1" s="63" t="s">
        <v>25</v>
      </c>
      <c r="G1" s="63" t="s">
        <v>26</v>
      </c>
      <c r="H1" s="63" t="s">
        <v>27</v>
      </c>
      <c r="I1" s="63" t="s">
        <v>28</v>
      </c>
      <c r="J1" s="63" t="s">
        <v>29</v>
      </c>
      <c r="K1" s="63" t="s">
        <v>30</v>
      </c>
      <c r="L1" s="63" t="s">
        <v>31</v>
      </c>
      <c r="M1" s="63" t="s">
        <v>32</v>
      </c>
      <c r="N1" s="63" t="s">
        <v>33</v>
      </c>
      <c r="O1" s="64" t="s">
        <v>14</v>
      </c>
    </row>
    <row r="2" spans="1:15" x14ac:dyDescent="0.3">
      <c r="A2" s="55">
        <f>PG!A2</f>
        <v>44196</v>
      </c>
      <c r="B2" s="56" cm="1">
        <f t="array" ref="B2:B97">GEReturns</f>
        <v>6.0046608174387117E-2</v>
      </c>
      <c r="C2" s="56" cm="1">
        <f t="array" ref="C2:C97">AAPLReturns</f>
        <v>0.10847200038054439</v>
      </c>
      <c r="D2" s="56" cm="1">
        <f t="array" ref="D2:D97">PGReturns</f>
        <v>1.9424075586380596E-3</v>
      </c>
      <c r="E2" s="56">
        <f>((0.4*$B2)+(0*$C2)+(0.6*$D2))</f>
        <v>2.5184087804937687E-2</v>
      </c>
      <c r="F2" s="56">
        <f>((0.5*$B2)+(0.5*$C2)+(0*$D2))</f>
        <v>8.4259304277465752E-2</v>
      </c>
      <c r="G2" s="56">
        <f>((0*$B2)+(0.45*$C2)+(0.55*$D2))</f>
        <v>4.9880724328495905E-2</v>
      </c>
      <c r="H2" s="56" cm="1">
        <f t="array" ref="H2">((Third*$B2)+(Third*$C2)+(Third*$D2))</f>
        <v>5.6820338704523188E-2</v>
      </c>
      <c r="I2" s="56">
        <f>((0.5*$B2)+(0.25*$C2)+(0.25*$D2))</f>
        <v>5.762690607198917E-2</v>
      </c>
      <c r="J2" s="56">
        <f>((0.25*$B2)+(0.5*$C2)+(0.25*$D2))</f>
        <v>6.9733254123528488E-2</v>
      </c>
      <c r="K2" s="56">
        <f>((0.25*$B2)+(0.25*$C2)+(0.5*$D2))</f>
        <v>4.3100855918051906E-2</v>
      </c>
      <c r="L2" s="56">
        <f>((0.1*$B2)+(0.2*$C2)+(0.7*$D2))</f>
        <v>2.9058746184594232E-2</v>
      </c>
      <c r="M2" s="56">
        <f>((0.2*$B2)+(0.1*$C2)+(0.7*$D2))</f>
        <v>2.4216206963978505E-2</v>
      </c>
      <c r="N2" s="56">
        <f>((0.7*$B2)+(0.2*$C2)+(0.1*$D2))</f>
        <v>6.3921266554043649E-2</v>
      </c>
      <c r="O2" s="56" cm="1">
        <f t="array" ref="O2:O97">IndexReturns</f>
        <v>4.5048329999999998E-2</v>
      </c>
    </row>
    <row r="3" spans="1:15" x14ac:dyDescent="0.3">
      <c r="A3" s="57">
        <f>PG!A3</f>
        <v>44165</v>
      </c>
      <c r="B3" s="42">
        <v>0.31624597363885876</v>
      </c>
      <c r="C3" s="42">
        <v>9.1201424573022827E-2</v>
      </c>
      <c r="D3" s="42">
        <v>1.2827577463275119E-2</v>
      </c>
      <c r="E3" s="42">
        <f t="shared" ref="E3:E66" si="0">((0.4*B3)+(0*C3)+(0.6*D3))</f>
        <v>0.13419493593350859</v>
      </c>
      <c r="F3" s="42">
        <f>((0.5*$B3)+(0.5*$C3)+(0*$D3))</f>
        <v>0.20372369910594079</v>
      </c>
      <c r="G3" s="42">
        <f t="shared" ref="G3:G66" si="1">((0*$B3)+(0.45*$C3)+(0.55*$D3))</f>
        <v>4.8095808662661589E-2</v>
      </c>
      <c r="H3" s="42" cm="1">
        <f t="array" ref="H3">((Third*$B3)+(Third*$C3)+(Third*$D3))</f>
        <v>0.14009165855838557</v>
      </c>
      <c r="I3" s="42">
        <f t="shared" ref="I3:I66" si="2">((0.5*$B3)+(0.25*$C3)+(0.25*$D3))</f>
        <v>0.18413023732850387</v>
      </c>
      <c r="J3" s="42">
        <f t="shared" ref="J3:J66" si="3">((0.25*$B3)+(0.5*$C3)+(0.25*$D3))</f>
        <v>0.12786910006204488</v>
      </c>
      <c r="K3" s="42">
        <f t="shared" ref="K3:K66" si="4">((0.25*$B3)+(0.25*$C3)+(0.5*$D3))</f>
        <v>0.10827563828460796</v>
      </c>
      <c r="L3" s="42">
        <f t="shared" ref="L3:L66" si="5">((0.1*$B3)+(0.2*$C3)+(0.7*$D3))</f>
        <v>5.8844186502783023E-2</v>
      </c>
      <c r="M3" s="42">
        <f t="shared" ref="M3:M66" si="6">((0.2*$B3)+(0.1*$C3)+(0.7*$D3))</f>
        <v>8.1348641409366609E-2</v>
      </c>
      <c r="N3" s="42">
        <f t="shared" ref="N3:N66" si="7">((0.7*$B3)+(0.2*$C3)+(0.1*$D3))</f>
        <v>0.2408952242081332</v>
      </c>
      <c r="O3" s="42">
        <v>0.12370689999999999</v>
      </c>
    </row>
    <row r="4" spans="1:15" x14ac:dyDescent="0.3">
      <c r="A4" s="55">
        <f>PG!A4</f>
        <v>44134</v>
      </c>
      <c r="B4" s="56">
        <v>0.17480273160057558</v>
      </c>
      <c r="C4" s="56">
        <v>-6.1888237502340182E-2</v>
      </c>
      <c r="D4" s="56">
        <v>-7.9406408707356491E-3</v>
      </c>
      <c r="E4" s="56">
        <f t="shared" si="0"/>
        <v>6.5156708117788842E-2</v>
      </c>
      <c r="F4" s="56">
        <f t="shared" ref="F4:F67" si="8">((0.5*$B4)+(0.5*$C4)+(0*$D4))</f>
        <v>5.6457247049117698E-2</v>
      </c>
      <c r="G4" s="56">
        <f t="shared" si="1"/>
        <v>-3.2217059354957688E-2</v>
      </c>
      <c r="H4" s="56" cm="1">
        <f t="array" ref="H4">((Third*$B4)+(Third*$C4)+(Third*$D4))</f>
        <v>3.499128440916658E-2</v>
      </c>
      <c r="I4" s="56">
        <f t="shared" si="2"/>
        <v>6.9944146207018831E-2</v>
      </c>
      <c r="J4" s="56">
        <f t="shared" si="3"/>
        <v>1.0771403931289891E-2</v>
      </c>
      <c r="K4" s="56">
        <f t="shared" si="4"/>
        <v>2.4258303089191025E-2</v>
      </c>
      <c r="L4" s="56">
        <f t="shared" si="5"/>
        <v>-4.5582294992543241E-4</v>
      </c>
      <c r="M4" s="56">
        <f t="shared" si="6"/>
        <v>2.3213273960366147E-2</v>
      </c>
      <c r="N4" s="56">
        <f t="shared" si="7"/>
        <v>0.1091902005328613</v>
      </c>
      <c r="O4" s="56">
        <v>-2.0178419999999999E-2</v>
      </c>
    </row>
    <row r="5" spans="1:15" x14ac:dyDescent="0.3">
      <c r="A5" s="57">
        <f>PG!A5</f>
        <v>44104</v>
      </c>
      <c r="B5" s="42">
        <v>-1.589860711446045E-2</v>
      </c>
      <c r="C5" s="42">
        <v>-0.10817148567245205</v>
      </c>
      <c r="D5" s="42">
        <v>4.7598794950918233E-3</v>
      </c>
      <c r="E5" s="42">
        <f t="shared" si="0"/>
        <v>-3.5035151487290864E-3</v>
      </c>
      <c r="F5" s="42">
        <f t="shared" si="8"/>
        <v>-6.203504639345625E-2</v>
      </c>
      <c r="G5" s="42">
        <f t="shared" si="1"/>
        <v>-4.6059234830302921E-2</v>
      </c>
      <c r="H5" s="42" cm="1">
        <f t="array" ref="H5">((Third*$B5)+(Third*$C5)+(Third*$D5))</f>
        <v>-3.9770071097273554E-2</v>
      </c>
      <c r="I5" s="42">
        <f t="shared" si="2"/>
        <v>-3.3802205101570282E-2</v>
      </c>
      <c r="J5" s="42">
        <f t="shared" si="3"/>
        <v>-5.6870424741068182E-2</v>
      </c>
      <c r="K5" s="42">
        <f t="shared" si="4"/>
        <v>-2.8637583449182213E-2</v>
      </c>
      <c r="L5" s="42">
        <f t="shared" si="5"/>
        <v>-1.9892242199372183E-2</v>
      </c>
      <c r="M5" s="42">
        <f t="shared" si="6"/>
        <v>-1.0664954343573022E-2</v>
      </c>
      <c r="N5" s="42">
        <f t="shared" si="7"/>
        <v>-3.2287334165103543E-2</v>
      </c>
      <c r="O5" s="42">
        <v>-3.5056820000000002E-2</v>
      </c>
    </row>
    <row r="6" spans="1:15" x14ac:dyDescent="0.3">
      <c r="A6" s="55">
        <f>PG!A6</f>
        <v>44074</v>
      </c>
      <c r="B6" s="56">
        <v>4.3520159164925687E-2</v>
      </c>
      <c r="C6" s="56">
        <v>0.19582083483346668</v>
      </c>
      <c r="D6" s="56">
        <v>5.3529250927274674E-2</v>
      </c>
      <c r="E6" s="56">
        <f t="shared" si="0"/>
        <v>4.9525614222335076E-2</v>
      </c>
      <c r="F6" s="56">
        <f t="shared" si="8"/>
        <v>0.11967049699919619</v>
      </c>
      <c r="G6" s="56">
        <f t="shared" si="1"/>
        <v>0.11756046368506108</v>
      </c>
      <c r="H6" s="56" cm="1">
        <f t="array" ref="H6">((Third*$B6)+(Third*$C6)+(Third*$D6))</f>
        <v>9.7623414975222339E-2</v>
      </c>
      <c r="I6" s="56">
        <f t="shared" si="2"/>
        <v>8.4097601022648183E-2</v>
      </c>
      <c r="J6" s="56">
        <f t="shared" si="3"/>
        <v>0.12217276993978343</v>
      </c>
      <c r="K6" s="56">
        <f t="shared" si="4"/>
        <v>8.659987396323543E-2</v>
      </c>
      <c r="L6" s="56">
        <f t="shared" si="5"/>
        <v>8.0986658532278183E-2</v>
      </c>
      <c r="M6" s="56">
        <f t="shared" si="6"/>
        <v>6.5756590965424078E-2</v>
      </c>
      <c r="N6" s="56">
        <f t="shared" si="7"/>
        <v>7.4981203474868793E-2</v>
      </c>
      <c r="O6" s="56">
        <v>6.8442459999999997E-2</v>
      </c>
    </row>
    <row r="7" spans="1:15" x14ac:dyDescent="0.3">
      <c r="A7" s="57">
        <f>PG!A7</f>
        <v>44043</v>
      </c>
      <c r="B7" s="42">
        <v>-0.11796602906058262</v>
      </c>
      <c r="C7" s="42">
        <v>0.15283407750857503</v>
      </c>
      <c r="D7" s="42">
        <v>9.8223170239496227E-2</v>
      </c>
      <c r="E7" s="42">
        <f t="shared" si="0"/>
        <v>1.1747490519464679E-2</v>
      </c>
      <c r="F7" s="42">
        <f t="shared" si="8"/>
        <v>1.7434024223996203E-2</v>
      </c>
      <c r="G7" s="42">
        <f t="shared" si="1"/>
        <v>0.12279807851058169</v>
      </c>
      <c r="H7" s="42" cm="1">
        <f t="array" ref="H7">((Third*$B7)+(Third*$C7)+(Third*$D7))</f>
        <v>4.4363739562496209E-2</v>
      </c>
      <c r="I7" s="42">
        <f t="shared" si="2"/>
        <v>3.7812974067265026E-3</v>
      </c>
      <c r="J7" s="42">
        <f t="shared" si="3"/>
        <v>7.1481324049015915E-2</v>
      </c>
      <c r="K7" s="42">
        <f t="shared" si="4"/>
        <v>5.7828597231746215E-2</v>
      </c>
      <c r="L7" s="42">
        <f t="shared" si="5"/>
        <v>8.7526431763304088E-2</v>
      </c>
      <c r="M7" s="42">
        <f t="shared" si="6"/>
        <v>6.0446421106388329E-2</v>
      </c>
      <c r="N7" s="42">
        <f t="shared" si="7"/>
        <v>-4.2187087816743199E-2</v>
      </c>
      <c r="O7" s="42">
        <v>5.5528850000000005E-2</v>
      </c>
    </row>
    <row r="8" spans="1:15" x14ac:dyDescent="0.3">
      <c r="A8" s="55">
        <f>PG!A8</f>
        <v>44012</v>
      </c>
      <c r="B8" s="56">
        <v>4.0273861823113322E-2</v>
      </c>
      <c r="C8" s="56">
        <v>0.13748653132636601</v>
      </c>
      <c r="D8" s="56">
        <v>3.1001689162631685E-2</v>
      </c>
      <c r="E8" s="56">
        <f t="shared" si="0"/>
        <v>3.471055822682434E-2</v>
      </c>
      <c r="F8" s="56">
        <f t="shared" si="8"/>
        <v>8.8880196574739667E-2</v>
      </c>
      <c r="G8" s="56">
        <f t="shared" si="1"/>
        <v>7.8919868136312132E-2</v>
      </c>
      <c r="H8" s="56" cm="1">
        <f t="array" ref="H8">((Third*$B8)+(Third*$C8)+(Third*$D8))</f>
        <v>6.9587360770703668E-2</v>
      </c>
      <c r="I8" s="56">
        <f t="shared" si="2"/>
        <v>6.2258986033806085E-2</v>
      </c>
      <c r="J8" s="56">
        <f t="shared" si="3"/>
        <v>8.6562153409619258E-2</v>
      </c>
      <c r="K8" s="56">
        <f t="shared" si="4"/>
        <v>5.9940942868685676E-2</v>
      </c>
      <c r="L8" s="56">
        <f t="shared" si="5"/>
        <v>5.3225874861426714E-2</v>
      </c>
      <c r="M8" s="56">
        <f t="shared" si="6"/>
        <v>4.3504607911101445E-2</v>
      </c>
      <c r="N8" s="56">
        <f t="shared" si="7"/>
        <v>5.8789178457715703E-2</v>
      </c>
      <c r="O8" s="56">
        <v>2.5299180000000001E-2</v>
      </c>
    </row>
    <row r="9" spans="1:15" x14ac:dyDescent="0.3">
      <c r="A9" s="57">
        <f>PG!A9</f>
        <v>43980</v>
      </c>
      <c r="B9" s="42">
        <v>-3.4408781606723116E-2</v>
      </c>
      <c r="C9" s="42">
        <v>8.1539253975185133E-2</v>
      </c>
      <c r="D9" s="42">
        <v>-1.6682063323688823E-2</v>
      </c>
      <c r="E9" s="42">
        <f t="shared" si="0"/>
        <v>-2.377275063690254E-2</v>
      </c>
      <c r="F9" s="42">
        <f t="shared" si="8"/>
        <v>2.3565236184231009E-2</v>
      </c>
      <c r="G9" s="42">
        <f t="shared" si="1"/>
        <v>2.7517529460804456E-2</v>
      </c>
      <c r="H9" s="42" cm="1">
        <f t="array" ref="H9">((Third*$B9)+(Third*$C9)+(Third*$D9))</f>
        <v>1.0149469681591066E-2</v>
      </c>
      <c r="I9" s="42">
        <f t="shared" si="2"/>
        <v>-9.9009314048748021E-4</v>
      </c>
      <c r="J9" s="42">
        <f t="shared" si="3"/>
        <v>2.7996915754989582E-2</v>
      </c>
      <c r="K9" s="42">
        <f t="shared" si="4"/>
        <v>3.441586430271093E-3</v>
      </c>
      <c r="L9" s="42">
        <f t="shared" si="5"/>
        <v>1.1895283077825412E-3</v>
      </c>
      <c r="M9" s="42">
        <f t="shared" si="6"/>
        <v>-1.0405275250408285E-2</v>
      </c>
      <c r="N9" s="42">
        <f t="shared" si="7"/>
        <v>-9.4465026620380328E-3</v>
      </c>
      <c r="O9" s="42">
        <v>5.3738590000000003E-2</v>
      </c>
    </row>
    <row r="10" spans="1:15" x14ac:dyDescent="0.3">
      <c r="A10" s="55">
        <f>PG!A10</f>
        <v>43951</v>
      </c>
      <c r="B10" s="56">
        <v>-0.15499064223434589</v>
      </c>
      <c r="C10" s="56">
        <v>0.1444239005720247</v>
      </c>
      <c r="D10" s="56">
        <v>7.5787817530132529E-2</v>
      </c>
      <c r="E10" s="56">
        <f t="shared" si="0"/>
        <v>-1.6523566375658848E-2</v>
      </c>
      <c r="F10" s="56">
        <f t="shared" si="8"/>
        <v>-5.2833708311605942E-3</v>
      </c>
      <c r="G10" s="56">
        <f t="shared" si="1"/>
        <v>0.10667405489898402</v>
      </c>
      <c r="H10" s="56" cm="1">
        <f t="array" ref="H10">((Third*$B10)+(Third*$C10)+(Third*$D10))</f>
        <v>2.1740358622603775E-2</v>
      </c>
      <c r="I10" s="56">
        <f t="shared" si="2"/>
        <v>-2.2442391591633637E-2</v>
      </c>
      <c r="J10" s="56">
        <f t="shared" si="3"/>
        <v>5.241124410995901E-2</v>
      </c>
      <c r="K10" s="56">
        <f t="shared" si="4"/>
        <v>3.5252223349485967E-2</v>
      </c>
      <c r="L10" s="56">
        <f t="shared" si="5"/>
        <v>6.6437188162063121E-2</v>
      </c>
      <c r="M10" s="56">
        <f t="shared" si="6"/>
        <v>3.649573388142606E-2</v>
      </c>
      <c r="N10" s="56">
        <f t="shared" si="7"/>
        <v>-7.2029887696623912E-2</v>
      </c>
      <c r="O10" s="56">
        <v>0.1296766</v>
      </c>
    </row>
    <row r="11" spans="1:15" x14ac:dyDescent="0.3">
      <c r="A11" s="57">
        <f>PG!A11</f>
        <v>43921</v>
      </c>
      <c r="B11" s="42">
        <v>-0.31375431611059623</v>
      </c>
      <c r="C11" s="42">
        <v>-7.2314232601446093E-2</v>
      </c>
      <c r="D11" s="42">
        <v>-2.894081218056499E-2</v>
      </c>
      <c r="E11" s="42">
        <f t="shared" si="0"/>
        <v>-0.14286621375257749</v>
      </c>
      <c r="F11" s="42">
        <f t="shared" si="8"/>
        <v>-0.19303427435602116</v>
      </c>
      <c r="G11" s="42">
        <f t="shared" si="1"/>
        <v>-4.8458851369961489E-2</v>
      </c>
      <c r="H11" s="42" cm="1">
        <f t="array" ref="H11">((Third*$B11)+(Third*$C11)+(Third*$D11))</f>
        <v>-0.13833645363086908</v>
      </c>
      <c r="I11" s="42">
        <f t="shared" si="2"/>
        <v>-0.18219091925080089</v>
      </c>
      <c r="J11" s="42">
        <f t="shared" si="3"/>
        <v>-0.12183089837351335</v>
      </c>
      <c r="K11" s="42">
        <f t="shared" si="4"/>
        <v>-0.11098754326829308</v>
      </c>
      <c r="L11" s="42">
        <f t="shared" si="5"/>
        <v>-6.6096846657744332E-2</v>
      </c>
      <c r="M11" s="42">
        <f t="shared" si="6"/>
        <v>-9.0240855008659346E-2</v>
      </c>
      <c r="N11" s="42">
        <f t="shared" si="7"/>
        <v>-0.23698494901576309</v>
      </c>
      <c r="O11" s="42">
        <v>-0.14173259999999999</v>
      </c>
    </row>
    <row r="12" spans="1:15" x14ac:dyDescent="0.3">
      <c r="A12" s="55">
        <f>PG!A12</f>
        <v>43889</v>
      </c>
      <c r="B12" s="56">
        <v>-0.13479435564438402</v>
      </c>
      <c r="C12" s="56">
        <v>-0.12138804041217099</v>
      </c>
      <c r="D12" s="56">
        <v>-9.5847951182751245E-2</v>
      </c>
      <c r="E12" s="56">
        <f t="shared" si="0"/>
        <v>-0.11142651296740436</v>
      </c>
      <c r="F12" s="56">
        <f t="shared" si="8"/>
        <v>-0.12809119802827751</v>
      </c>
      <c r="G12" s="56">
        <f t="shared" si="1"/>
        <v>-0.10734099133599014</v>
      </c>
      <c r="H12" s="56" cm="1">
        <f t="array" ref="H12">((Third*$B12)+(Third*$C12)+(Third*$D12))</f>
        <v>-0.11734344907976875</v>
      </c>
      <c r="I12" s="56">
        <f t="shared" si="2"/>
        <v>-0.12170617572092257</v>
      </c>
      <c r="J12" s="56">
        <f t="shared" si="3"/>
        <v>-0.11835459691286931</v>
      </c>
      <c r="K12" s="56">
        <f t="shared" si="4"/>
        <v>-0.11196957460551438</v>
      </c>
      <c r="L12" s="56">
        <f t="shared" si="5"/>
        <v>-0.10485060947479846</v>
      </c>
      <c r="M12" s="56">
        <f t="shared" si="6"/>
        <v>-0.10619124099801977</v>
      </c>
      <c r="N12" s="56">
        <f t="shared" si="7"/>
        <v>-0.12821845215177813</v>
      </c>
      <c r="O12" s="56">
        <v>-7.7918070000000006E-2</v>
      </c>
    </row>
    <row r="13" spans="1:15" x14ac:dyDescent="0.3">
      <c r="A13" s="57">
        <f>PG!A13</f>
        <v>43861</v>
      </c>
      <c r="B13" s="42">
        <v>0.10938466431023253</v>
      </c>
      <c r="C13" s="42">
        <v>5.2601872148756001E-2</v>
      </c>
      <c r="D13" s="42">
        <v>3.7232537578040237E-3</v>
      </c>
      <c r="E13" s="42">
        <f t="shared" si="0"/>
        <v>4.5987817978775422E-2</v>
      </c>
      <c r="F13" s="42">
        <f t="shared" si="8"/>
        <v>8.0993268229494264E-2</v>
      </c>
      <c r="G13" s="42">
        <f t="shared" si="1"/>
        <v>2.5718632033732418E-2</v>
      </c>
      <c r="H13" s="42" cm="1">
        <f t="array" ref="H13">((Third*$B13)+(Third*$C13)+(Third*$D13))</f>
        <v>5.5236596738930846E-2</v>
      </c>
      <c r="I13" s="42">
        <f t="shared" si="2"/>
        <v>6.877361363175627E-2</v>
      </c>
      <c r="J13" s="42">
        <f t="shared" si="3"/>
        <v>5.4577915591387138E-2</v>
      </c>
      <c r="K13" s="42">
        <f t="shared" si="4"/>
        <v>4.2358260993649144E-2</v>
      </c>
      <c r="L13" s="42">
        <f t="shared" si="5"/>
        <v>2.406511849123727E-2</v>
      </c>
      <c r="M13" s="42">
        <f t="shared" si="6"/>
        <v>2.9743397707384919E-2</v>
      </c>
      <c r="N13" s="42">
        <f t="shared" si="7"/>
        <v>8.7461964822694374E-2</v>
      </c>
      <c r="O13" s="42">
        <v>-1.7277760000000001E-3</v>
      </c>
    </row>
    <row r="14" spans="1:15" x14ac:dyDescent="0.3">
      <c r="A14" s="55">
        <f>PG!A14</f>
        <v>43830</v>
      </c>
      <c r="B14" s="56">
        <v>-8.9127692689894289E-3</v>
      </c>
      <c r="C14" s="56">
        <v>9.4204011278372413E-2</v>
      </c>
      <c r="D14" s="56">
        <v>2.3000722233677884E-2</v>
      </c>
      <c r="E14" s="56">
        <f t="shared" si="0"/>
        <v>1.0235325632610958E-2</v>
      </c>
      <c r="F14" s="56">
        <f t="shared" si="8"/>
        <v>4.2645621004691492E-2</v>
      </c>
      <c r="G14" s="56">
        <f t="shared" si="1"/>
        <v>5.5042202303790422E-2</v>
      </c>
      <c r="H14" s="56" cm="1">
        <f t="array" ref="H14">((Third*$B14)+(Third*$C14)+(Third*$D14))</f>
        <v>3.6097321414353623E-2</v>
      </c>
      <c r="I14" s="56">
        <f t="shared" si="2"/>
        <v>2.484479874351786E-2</v>
      </c>
      <c r="J14" s="56">
        <f t="shared" si="3"/>
        <v>5.062399388035832E-2</v>
      </c>
      <c r="K14" s="56">
        <f t="shared" si="4"/>
        <v>3.2823171619184688E-2</v>
      </c>
      <c r="L14" s="56">
        <f t="shared" si="5"/>
        <v>3.4050030892350064E-2</v>
      </c>
      <c r="M14" s="56">
        <f t="shared" si="6"/>
        <v>2.3738352837613875E-2</v>
      </c>
      <c r="N14" s="56">
        <f t="shared" si="7"/>
        <v>1.4901935990749673E-2</v>
      </c>
      <c r="O14" s="56">
        <v>2.8490680000000001E-2</v>
      </c>
    </row>
    <row r="15" spans="1:15" x14ac:dyDescent="0.3">
      <c r="A15" s="57">
        <f>PG!A15</f>
        <v>43798</v>
      </c>
      <c r="B15" s="42">
        <v>0.12156132421431076</v>
      </c>
      <c r="C15" s="42">
        <v>7.457305036741424E-2</v>
      </c>
      <c r="D15" s="42">
        <v>-1.9873344006761329E-2</v>
      </c>
      <c r="E15" s="42">
        <f t="shared" si="0"/>
        <v>3.6700523281667514E-2</v>
      </c>
      <c r="F15" s="42">
        <f t="shared" si="8"/>
        <v>9.8067187290862501E-2</v>
      </c>
      <c r="G15" s="42">
        <f t="shared" si="1"/>
        <v>2.2627533461617673E-2</v>
      </c>
      <c r="H15" s="42" cm="1">
        <f t="array" ref="H15">((Third*$B15)+(Third*$C15)+(Third*$D15))</f>
        <v>5.8753676858321217E-2</v>
      </c>
      <c r="I15" s="42">
        <f t="shared" si="2"/>
        <v>7.4455588697318609E-2</v>
      </c>
      <c r="J15" s="42">
        <f t="shared" si="3"/>
        <v>6.2708520235594478E-2</v>
      </c>
      <c r="K15" s="42">
        <f t="shared" si="4"/>
        <v>3.9096921642050586E-2</v>
      </c>
      <c r="L15" s="42">
        <f t="shared" si="5"/>
        <v>1.3159401690180995E-2</v>
      </c>
      <c r="M15" s="42">
        <f t="shared" si="6"/>
        <v>1.7858229074870655E-2</v>
      </c>
      <c r="N15" s="42">
        <f t="shared" si="7"/>
        <v>9.8020202622824237E-2</v>
      </c>
      <c r="O15" s="42">
        <v>3.4996520000000003E-2</v>
      </c>
    </row>
    <row r="16" spans="1:15" x14ac:dyDescent="0.3">
      <c r="A16" s="55">
        <f>PG!A16</f>
        <v>43769</v>
      </c>
      <c r="B16" s="56">
        <v>0.11004750220683723</v>
      </c>
      <c r="C16" s="56">
        <v>0.10497643438882687</v>
      </c>
      <c r="D16" s="56">
        <v>7.0174879081266184E-3</v>
      </c>
      <c r="E16" s="56">
        <f t="shared" si="0"/>
        <v>4.8229493627610864E-2</v>
      </c>
      <c r="F16" s="56">
        <f t="shared" si="8"/>
        <v>0.10751196829783205</v>
      </c>
      <c r="G16" s="56">
        <f t="shared" si="1"/>
        <v>5.1099013824441736E-2</v>
      </c>
      <c r="H16" s="56" cm="1">
        <f t="array" ref="H16">((Third*$B16)+(Third*$C16)+(Third*$D16))</f>
        <v>7.401380816793024E-2</v>
      </c>
      <c r="I16" s="56">
        <f t="shared" si="2"/>
        <v>8.3022231677656988E-2</v>
      </c>
      <c r="J16" s="56">
        <f t="shared" si="3"/>
        <v>8.1754464723154396E-2</v>
      </c>
      <c r="K16" s="56">
        <f t="shared" si="4"/>
        <v>5.7264728102979334E-2</v>
      </c>
      <c r="L16" s="56">
        <f t="shared" si="5"/>
        <v>3.6912278634137728E-2</v>
      </c>
      <c r="M16" s="56">
        <f t="shared" si="6"/>
        <v>3.7419385415938769E-2</v>
      </c>
      <c r="N16" s="56">
        <f t="shared" si="7"/>
        <v>9.8730287213364104E-2</v>
      </c>
      <c r="O16" s="56">
        <v>1.9255939999999999E-2</v>
      </c>
    </row>
    <row r="17" spans="1:15" x14ac:dyDescent="0.3">
      <c r="A17" s="57">
        <f>PG!A17</f>
        <v>43738</v>
      </c>
      <c r="B17" s="42">
        <v>8.1440285030652149E-2</v>
      </c>
      <c r="C17" s="42">
        <v>7.0422635056953009E-2</v>
      </c>
      <c r="D17" s="42">
        <v>3.3934770685809745E-2</v>
      </c>
      <c r="E17" s="42">
        <f t="shared" si="0"/>
        <v>5.2936976423746708E-2</v>
      </c>
      <c r="F17" s="42">
        <f t="shared" si="8"/>
        <v>7.5931460043802579E-2</v>
      </c>
      <c r="G17" s="42">
        <f t="shared" si="1"/>
        <v>5.0354309652824218E-2</v>
      </c>
      <c r="H17" s="42" cm="1">
        <f t="array" ref="H17">((Third*$B17)+(Third*$C17)+(Third*$D17))</f>
        <v>6.1932563591138301E-2</v>
      </c>
      <c r="I17" s="42">
        <f t="shared" si="2"/>
        <v>6.6809493951016763E-2</v>
      </c>
      <c r="J17" s="42">
        <f t="shared" si="3"/>
        <v>6.4055081457591978E-2</v>
      </c>
      <c r="K17" s="42">
        <f t="shared" si="4"/>
        <v>5.4933115364806162E-2</v>
      </c>
      <c r="L17" s="42">
        <f t="shared" si="5"/>
        <v>4.5982894994522641E-2</v>
      </c>
      <c r="M17" s="42">
        <f t="shared" si="6"/>
        <v>4.7084659991892555E-2</v>
      </c>
      <c r="N17" s="42">
        <f t="shared" si="7"/>
        <v>7.4486203601428075E-2</v>
      </c>
      <c r="O17" s="42">
        <v>1.6032970000000001E-2</v>
      </c>
    </row>
    <row r="18" spans="1:15" x14ac:dyDescent="0.3">
      <c r="A18" s="55">
        <f>PG!A18</f>
        <v>43707</v>
      </c>
      <c r="B18" s="56">
        <v>-0.2363887598120904</v>
      </c>
      <c r="C18" s="56">
        <v>-1.6708412943107209E-2</v>
      </c>
      <c r="D18" s="56">
        <v>1.8383045076933335E-2</v>
      </c>
      <c r="E18" s="56">
        <f t="shared" si="0"/>
        <v>-8.3525676878676167E-2</v>
      </c>
      <c r="F18" s="56">
        <f t="shared" si="8"/>
        <v>-0.1265485863775988</v>
      </c>
      <c r="G18" s="56">
        <f t="shared" si="1"/>
        <v>2.5918889679150906E-3</v>
      </c>
      <c r="H18" s="56" cm="1">
        <f t="array" ref="H18">((Third*$B18)+(Third*$C18)+(Third*$D18))</f>
        <v>-7.823804255942142E-2</v>
      </c>
      <c r="I18" s="56">
        <f t="shared" si="2"/>
        <v>-0.11777572187258867</v>
      </c>
      <c r="J18" s="56">
        <f t="shared" si="3"/>
        <v>-6.285563515534287E-2</v>
      </c>
      <c r="K18" s="56">
        <f t="shared" si="4"/>
        <v>-5.4082770650332734E-2</v>
      </c>
      <c r="L18" s="56">
        <f t="shared" si="5"/>
        <v>-1.4112427015977149E-2</v>
      </c>
      <c r="M18" s="56">
        <f t="shared" si="6"/>
        <v>-3.6080461702875467E-2</v>
      </c>
      <c r="N18" s="56">
        <f t="shared" si="7"/>
        <v>-0.16697550994939137</v>
      </c>
      <c r="O18" s="56">
        <v>-2.0339329999999999E-2</v>
      </c>
    </row>
    <row r="19" spans="1:15" x14ac:dyDescent="0.3">
      <c r="A19" s="57">
        <f>PG!A19</f>
        <v>43677</v>
      </c>
      <c r="B19" s="42">
        <v>-4.773297004797783E-3</v>
      </c>
      <c r="C19" s="42">
        <v>7.3617010598402643E-2</v>
      </c>
      <c r="D19" s="42">
        <v>8.0029231735647244E-2</v>
      </c>
      <c r="E19" s="42">
        <f t="shared" si="0"/>
        <v>4.6108220239469228E-2</v>
      </c>
      <c r="F19" s="42">
        <f t="shared" si="8"/>
        <v>3.442185679680243E-2</v>
      </c>
      <c r="G19" s="42">
        <f t="shared" si="1"/>
        <v>7.7143732223887179E-2</v>
      </c>
      <c r="H19" s="42" cm="1">
        <f t="array" ref="H19">((Third*$B19)+(Third*$C19)+(Third*$D19))</f>
        <v>4.9624315109750697E-2</v>
      </c>
      <c r="I19" s="42">
        <f t="shared" si="2"/>
        <v>3.602491208111358E-2</v>
      </c>
      <c r="J19" s="42">
        <f t="shared" si="3"/>
        <v>5.5622488981913687E-2</v>
      </c>
      <c r="K19" s="42">
        <f t="shared" si="4"/>
        <v>5.7225544266224837E-2</v>
      </c>
      <c r="L19" s="42">
        <f t="shared" si="5"/>
        <v>7.0266534634153818E-2</v>
      </c>
      <c r="M19" s="42">
        <f t="shared" si="6"/>
        <v>6.2427503873833778E-2</v>
      </c>
      <c r="N19" s="42">
        <f t="shared" si="7"/>
        <v>1.9385017389886808E-2</v>
      </c>
      <c r="O19" s="42">
        <v>1.185431E-2</v>
      </c>
    </row>
    <row r="20" spans="1:15" x14ac:dyDescent="0.3">
      <c r="A20" s="55">
        <f>PG!A20</f>
        <v>43644</v>
      </c>
      <c r="B20" s="56">
        <v>0.10737124916110563</v>
      </c>
      <c r="C20" s="56">
        <v>0.12267696361190428</v>
      </c>
      <c r="D20" s="56">
        <v>6.3438633346247997E-2</v>
      </c>
      <c r="E20" s="56">
        <f t="shared" si="0"/>
        <v>8.1011679672191056E-2</v>
      </c>
      <c r="F20" s="56">
        <f t="shared" si="8"/>
        <v>0.11502410638650495</v>
      </c>
      <c r="G20" s="56">
        <f t="shared" si="1"/>
        <v>9.0095881965793323E-2</v>
      </c>
      <c r="H20" s="56" cm="1">
        <f t="array" ref="H20">((Third*$B20)+(Third*$C20)+(Third*$D20))</f>
        <v>9.7828948706419297E-2</v>
      </c>
      <c r="I20" s="56">
        <f t="shared" si="2"/>
        <v>0.10021452382009088</v>
      </c>
      <c r="J20" s="56">
        <f t="shared" si="3"/>
        <v>0.10404095243279055</v>
      </c>
      <c r="K20" s="56">
        <f t="shared" si="4"/>
        <v>8.9231369866376475E-2</v>
      </c>
      <c r="L20" s="56">
        <f t="shared" si="5"/>
        <v>7.9679560980865011E-2</v>
      </c>
      <c r="M20" s="56">
        <f t="shared" si="6"/>
        <v>7.8148989535785141E-2</v>
      </c>
      <c r="N20" s="56">
        <f t="shared" si="7"/>
        <v>0.1060391304697796</v>
      </c>
      <c r="O20" s="56">
        <v>6.7278859999999996E-2</v>
      </c>
    </row>
    <row r="21" spans="1:15" x14ac:dyDescent="0.3">
      <c r="A21" s="57">
        <f>PG!A21</f>
        <v>43616</v>
      </c>
      <c r="B21" s="42">
        <v>-7.4486281855844272E-2</v>
      </c>
      <c r="C21" s="42">
        <v>-0.13208722647413573</v>
      </c>
      <c r="D21" s="42">
        <v>-3.410235017972596E-2</v>
      </c>
      <c r="E21" s="42">
        <f t="shared" si="0"/>
        <v>-5.0255922850173287E-2</v>
      </c>
      <c r="F21" s="42">
        <f t="shared" si="8"/>
        <v>-0.10328675416499</v>
      </c>
      <c r="G21" s="42">
        <f t="shared" si="1"/>
        <v>-7.8195544512210363E-2</v>
      </c>
      <c r="H21" s="42" cm="1">
        <f t="array" ref="H21">((Third*$B21)+(Third*$C21)+(Third*$D21))</f>
        <v>-8.0225286169901974E-2</v>
      </c>
      <c r="I21" s="42">
        <f t="shared" si="2"/>
        <v>-7.8790535091387559E-2</v>
      </c>
      <c r="J21" s="42">
        <f t="shared" si="3"/>
        <v>-9.3190771245960424E-2</v>
      </c>
      <c r="K21" s="42">
        <f t="shared" si="4"/>
        <v>-6.8694552172357981E-2</v>
      </c>
      <c r="L21" s="42">
        <f t="shared" si="5"/>
        <v>-5.7737718606219748E-2</v>
      </c>
      <c r="M21" s="42">
        <f t="shared" si="6"/>
        <v>-5.1977624144390597E-2</v>
      </c>
      <c r="N21" s="42">
        <f t="shared" si="7"/>
        <v>-8.1968077611890719E-2</v>
      </c>
      <c r="O21" s="42">
        <v>-6.167856E-2</v>
      </c>
    </row>
    <row r="22" spans="1:15" x14ac:dyDescent="0.3">
      <c r="A22" s="55">
        <f>PG!A22</f>
        <v>43585</v>
      </c>
      <c r="B22" s="56">
        <v>1.785764781296395E-2</v>
      </c>
      <c r="C22" s="56">
        <v>5.4900895106197556E-2</v>
      </c>
      <c r="D22" s="56">
        <v>3.0066272840042707E-2</v>
      </c>
      <c r="E22" s="56">
        <f t="shared" si="0"/>
        <v>2.5182822829211204E-2</v>
      </c>
      <c r="F22" s="56">
        <f t="shared" si="8"/>
        <v>3.6379271459580753E-2</v>
      </c>
      <c r="G22" s="56">
        <f t="shared" si="1"/>
        <v>4.1241852859812397E-2</v>
      </c>
      <c r="H22" s="56" cm="1">
        <f t="array" ref="H22">((Third*$B22)+(Third*$C22)+(Third*$D22))</f>
        <v>3.4274938586401404E-2</v>
      </c>
      <c r="I22" s="56">
        <f t="shared" si="2"/>
        <v>3.0170615893042041E-2</v>
      </c>
      <c r="J22" s="56">
        <f t="shared" si="3"/>
        <v>3.9431427716350442E-2</v>
      </c>
      <c r="K22" s="56">
        <f t="shared" si="4"/>
        <v>3.322277214981173E-2</v>
      </c>
      <c r="L22" s="56">
        <f t="shared" si="5"/>
        <v>3.38123347905658E-2</v>
      </c>
      <c r="M22" s="56">
        <f t="shared" si="6"/>
        <v>3.0108010061242439E-2</v>
      </c>
      <c r="N22" s="56">
        <f t="shared" si="7"/>
        <v>2.6487159774318543E-2</v>
      </c>
      <c r="O22" s="56">
        <v>3.788859E-2</v>
      </c>
    </row>
    <row r="23" spans="1:15" x14ac:dyDescent="0.3">
      <c r="A23" s="57">
        <f>PG!A23</f>
        <v>43553</v>
      </c>
      <c r="B23" s="42">
        <v>-3.825876807120121E-2</v>
      </c>
      <c r="C23" s="42">
        <v>9.2602627968966456E-2</v>
      </c>
      <c r="D23" s="42">
        <v>5.4307517604044619E-2</v>
      </c>
      <c r="E23" s="42">
        <f t="shared" si="0"/>
        <v>1.7281003333946283E-2</v>
      </c>
      <c r="F23" s="42">
        <f t="shared" si="8"/>
        <v>2.7171929948882623E-2</v>
      </c>
      <c r="G23" s="42">
        <f t="shared" si="1"/>
        <v>7.1540317268259448E-2</v>
      </c>
      <c r="H23" s="42" cm="1">
        <f t="array" ref="H23">((Third*$B23)+(Third*$C23)+(Third*$D23))</f>
        <v>3.6217125833936617E-2</v>
      </c>
      <c r="I23" s="42">
        <f t="shared" si="2"/>
        <v>1.7598152357652164E-2</v>
      </c>
      <c r="J23" s="42">
        <f t="shared" si="3"/>
        <v>5.031350136769408E-2</v>
      </c>
      <c r="K23" s="42">
        <f t="shared" si="4"/>
        <v>4.0739723776463621E-2</v>
      </c>
      <c r="L23" s="42">
        <f t="shared" si="5"/>
        <v>5.2709911109504397E-2</v>
      </c>
      <c r="M23" s="42">
        <f t="shared" si="6"/>
        <v>3.9623771505487633E-2</v>
      </c>
      <c r="N23" s="42">
        <f t="shared" si="7"/>
        <v>-2.8298602956430899E-3</v>
      </c>
      <c r="O23" s="42">
        <v>1.2963510000000001E-2</v>
      </c>
    </row>
    <row r="24" spans="1:15" x14ac:dyDescent="0.3">
      <c r="A24" s="55">
        <f>PG!A24</f>
        <v>43524</v>
      </c>
      <c r="B24" s="56">
        <v>5.9905479919092564E-2</v>
      </c>
      <c r="C24" s="56">
        <v>4.373047234527272E-2</v>
      </c>
      <c r="D24" s="56">
        <v>2.1331972729153215E-2</v>
      </c>
      <c r="E24" s="56">
        <f t="shared" si="0"/>
        <v>3.6761375605128953E-2</v>
      </c>
      <c r="F24" s="56">
        <f t="shared" si="8"/>
        <v>5.1817976132182642E-2</v>
      </c>
      <c r="G24" s="56">
        <f t="shared" si="1"/>
        <v>3.1411297556406995E-2</v>
      </c>
      <c r="H24" s="56" cm="1">
        <f t="array" ref="H24">((Third*$B24)+(Third*$C24)+(Third*$D24))</f>
        <v>4.1655974997839497E-2</v>
      </c>
      <c r="I24" s="56">
        <f t="shared" si="2"/>
        <v>4.6218351228152765E-2</v>
      </c>
      <c r="J24" s="56">
        <f t="shared" si="3"/>
        <v>4.2174599334697804E-2</v>
      </c>
      <c r="K24" s="56">
        <f t="shared" si="4"/>
        <v>3.6574974430667928E-2</v>
      </c>
      <c r="L24" s="56">
        <f t="shared" si="5"/>
        <v>2.9669023371371051E-2</v>
      </c>
      <c r="M24" s="56">
        <f t="shared" si="6"/>
        <v>3.1286524128753039E-2</v>
      </c>
      <c r="N24" s="56">
        <f t="shared" si="7"/>
        <v>5.2813127685334652E-2</v>
      </c>
      <c r="O24" s="56">
        <v>3.2723530000000001E-2</v>
      </c>
    </row>
    <row r="25" spans="1:15" x14ac:dyDescent="0.3">
      <c r="A25" s="57">
        <f>PG!A25</f>
        <v>43496</v>
      </c>
      <c r="B25" s="42">
        <v>0.29426533700594959</v>
      </c>
      <c r="C25" s="42">
        <v>5.3686755989116097E-2</v>
      </c>
      <c r="D25" s="42">
        <v>5.5720414298676246E-2</v>
      </c>
      <c r="E25" s="42">
        <f t="shared" si="0"/>
        <v>0.15113838338158558</v>
      </c>
      <c r="F25" s="42">
        <f t="shared" si="8"/>
        <v>0.17397604649753284</v>
      </c>
      <c r="G25" s="42">
        <f t="shared" si="1"/>
        <v>5.4805268059374176E-2</v>
      </c>
      <c r="H25" s="42" cm="1">
        <f t="array" ref="H25">((Third*$B25)+(Third*$C25)+(Third*$D25))</f>
        <v>0.13455750243124731</v>
      </c>
      <c r="I25" s="42">
        <f t="shared" si="2"/>
        <v>0.17448446107492288</v>
      </c>
      <c r="J25" s="42">
        <f t="shared" si="3"/>
        <v>0.11433981582071451</v>
      </c>
      <c r="K25" s="42">
        <f t="shared" si="4"/>
        <v>0.11484823039810454</v>
      </c>
      <c r="L25" s="42">
        <f t="shared" si="5"/>
        <v>7.9168174907491562E-2</v>
      </c>
      <c r="M25" s="42">
        <f t="shared" si="6"/>
        <v>0.10322603300917491</v>
      </c>
      <c r="N25" s="42">
        <f t="shared" si="7"/>
        <v>0.22229512853185551</v>
      </c>
      <c r="O25" s="42">
        <v>8.8295239999999997E-2</v>
      </c>
    </row>
    <row r="26" spans="1:15" x14ac:dyDescent="0.3">
      <c r="A26" s="55">
        <f>PG!A26</f>
        <v>43465</v>
      </c>
      <c r="B26" s="56">
        <v>1.0610201729147395E-2</v>
      </c>
      <c r="C26" s="56">
        <v>-0.12408854754847365</v>
      </c>
      <c r="D26" s="56">
        <v>-2.7787057989776542E-2</v>
      </c>
      <c r="E26" s="56">
        <f t="shared" si="0"/>
        <v>-1.2428154102206967E-2</v>
      </c>
      <c r="F26" s="56">
        <f t="shared" si="8"/>
        <v>-5.6739172909663127E-2</v>
      </c>
      <c r="G26" s="56">
        <f t="shared" si="1"/>
        <v>-7.1122728291190249E-2</v>
      </c>
      <c r="H26" s="56" cm="1">
        <f t="array" ref="H26">((Third*$B26)+(Third*$C26)+(Third*$D26))</f>
        <v>-4.7088467936367596E-2</v>
      </c>
      <c r="I26" s="56">
        <f t="shared" si="2"/>
        <v>-3.266380051998885E-2</v>
      </c>
      <c r="J26" s="56">
        <f t="shared" si="3"/>
        <v>-6.6338487839394111E-2</v>
      </c>
      <c r="K26" s="56">
        <f t="shared" si="4"/>
        <v>-4.2263115449719835E-2</v>
      </c>
      <c r="L26" s="56">
        <f t="shared" si="5"/>
        <v>-4.320762992962357E-2</v>
      </c>
      <c r="M26" s="56">
        <f t="shared" si="6"/>
        <v>-2.9737755001861467E-2</v>
      </c>
      <c r="N26" s="56">
        <f t="shared" si="7"/>
        <v>-2.016927409826921E-2</v>
      </c>
      <c r="O26" s="56">
        <v>-8.9888949999999995E-2</v>
      </c>
    </row>
    <row r="27" spans="1:15" x14ac:dyDescent="0.3">
      <c r="A27" s="57">
        <f>PG!A27</f>
        <v>43434</v>
      </c>
      <c r="B27" s="42">
        <v>-0.29763244107422837</v>
      </c>
      <c r="C27" s="42">
        <v>-0.19931609695675867</v>
      </c>
      <c r="D27" s="42">
        <v>6.3671283420760894E-2</v>
      </c>
      <c r="E27" s="42">
        <f t="shared" si="0"/>
        <v>-8.0850206377234821E-2</v>
      </c>
      <c r="F27" s="42">
        <f t="shared" si="8"/>
        <v>-0.24847426901549352</v>
      </c>
      <c r="G27" s="42">
        <f t="shared" si="1"/>
        <v>-5.467303774912291E-2</v>
      </c>
      <c r="H27" s="42" cm="1">
        <f t="array" ref="H27">((Third*$B27)+(Third*$C27)+(Third*$D27))</f>
        <v>-0.14442575153674206</v>
      </c>
      <c r="I27" s="42">
        <f t="shared" si="2"/>
        <v>-0.18272742392111363</v>
      </c>
      <c r="J27" s="42">
        <f t="shared" si="3"/>
        <v>-0.1581483378917462</v>
      </c>
      <c r="K27" s="42">
        <f t="shared" si="4"/>
        <v>-9.2401492797366314E-2</v>
      </c>
      <c r="L27" s="42">
        <f t="shared" si="5"/>
        <v>-2.5056565104241951E-2</v>
      </c>
      <c r="M27" s="42">
        <f t="shared" si="6"/>
        <v>-3.4888199515988927E-2</v>
      </c>
      <c r="N27" s="42">
        <f t="shared" si="7"/>
        <v>-0.24183879980123549</v>
      </c>
      <c r="O27" s="42">
        <v>1.8489490000000001E-2</v>
      </c>
    </row>
    <row r="28" spans="1:15" x14ac:dyDescent="0.3">
      <c r="A28" s="55">
        <f>PG!A28</f>
        <v>43404</v>
      </c>
      <c r="B28" s="56">
        <v>-0.11138191316624901</v>
      </c>
      <c r="C28" s="56">
        <v>-3.0951660082436661E-2</v>
      </c>
      <c r="D28" s="56">
        <v>7.1481464890806201E-2</v>
      </c>
      <c r="E28" s="56">
        <f t="shared" si="0"/>
        <v>-1.6638863320158903E-3</v>
      </c>
      <c r="F28" s="56">
        <f t="shared" si="8"/>
        <v>-7.1166786624342837E-2</v>
      </c>
      <c r="G28" s="56">
        <f t="shared" si="1"/>
        <v>2.5386558652846919E-2</v>
      </c>
      <c r="H28" s="56" cm="1">
        <f t="array" ref="H28">((Third*$B28)+(Third*$C28)+(Third*$D28))</f>
        <v>-2.3617369452626488E-2</v>
      </c>
      <c r="I28" s="56">
        <f t="shared" si="2"/>
        <v>-4.5558505381032122E-2</v>
      </c>
      <c r="J28" s="56">
        <f t="shared" si="3"/>
        <v>-2.5450942110079033E-2</v>
      </c>
      <c r="K28" s="56">
        <f t="shared" si="4"/>
        <v>1.5733913323168203E-4</v>
      </c>
      <c r="L28" s="56">
        <f t="shared" si="5"/>
        <v>3.2708502090452105E-2</v>
      </c>
      <c r="M28" s="56">
        <f t="shared" si="6"/>
        <v>2.4665476782070865E-2</v>
      </c>
      <c r="N28" s="56">
        <f t="shared" si="7"/>
        <v>-7.7009524743781019E-2</v>
      </c>
      <c r="O28" s="56">
        <v>-7.4075700000000008E-2</v>
      </c>
    </row>
    <row r="29" spans="1:15" x14ac:dyDescent="0.3">
      <c r="A29" s="57">
        <f>PG!A29</f>
        <v>43371</v>
      </c>
      <c r="B29" s="42">
        <v>-0.12583309634926287</v>
      </c>
      <c r="C29" s="42">
        <v>-8.3376063484417173E-3</v>
      </c>
      <c r="D29" s="42">
        <v>3.3699202450954147E-3</v>
      </c>
      <c r="E29" s="42">
        <f t="shared" si="0"/>
        <v>-4.8311286392647902E-2</v>
      </c>
      <c r="F29" s="42">
        <f t="shared" si="8"/>
        <v>-6.7085351348852296E-2</v>
      </c>
      <c r="G29" s="42">
        <f t="shared" si="1"/>
        <v>-1.8984667219962947E-3</v>
      </c>
      <c r="H29" s="42" cm="1">
        <f t="array" ref="H29">((Third*$B29)+(Third*$C29)+(Third*$D29))</f>
        <v>-4.3600260817536388E-2</v>
      </c>
      <c r="I29" s="42">
        <f t="shared" si="2"/>
        <v>-6.4158469700468013E-2</v>
      </c>
      <c r="J29" s="42">
        <f t="shared" si="3"/>
        <v>-3.4784597200262724E-2</v>
      </c>
      <c r="K29" s="42">
        <f t="shared" si="4"/>
        <v>-3.1857715551878441E-2</v>
      </c>
      <c r="L29" s="42">
        <f t="shared" si="5"/>
        <v>-1.1891886733047842E-2</v>
      </c>
      <c r="M29" s="42">
        <f t="shared" si="6"/>
        <v>-2.3641435733129958E-2</v>
      </c>
      <c r="N29" s="42">
        <f t="shared" si="7"/>
        <v>-8.9413696689662814E-2</v>
      </c>
      <c r="O29" s="42">
        <v>4.32142E-4</v>
      </c>
    </row>
    <row r="30" spans="1:15" x14ac:dyDescent="0.3">
      <c r="A30" s="55">
        <f>PG!A30</f>
        <v>43343</v>
      </c>
      <c r="B30" s="56">
        <v>-5.1949997459814323E-2</v>
      </c>
      <c r="C30" s="56">
        <v>0.18237416353004132</v>
      </c>
      <c r="D30" s="56">
        <v>2.5271439092637848E-2</v>
      </c>
      <c r="E30" s="56">
        <f t="shared" si="0"/>
        <v>-5.6171355283430209E-3</v>
      </c>
      <c r="F30" s="56">
        <f t="shared" si="8"/>
        <v>6.5212083035113499E-2</v>
      </c>
      <c r="G30" s="56">
        <f t="shared" si="1"/>
        <v>9.5967665089469412E-2</v>
      </c>
      <c r="H30" s="56" cm="1">
        <f t="array" ref="H30">((Third*$B30)+(Third*$C30)+(Third*$D30))</f>
        <v>5.1898535054288278E-2</v>
      </c>
      <c r="I30" s="56">
        <f t="shared" si="2"/>
        <v>2.5936401925762631E-2</v>
      </c>
      <c r="J30" s="56">
        <f t="shared" si="3"/>
        <v>8.4517442173226542E-2</v>
      </c>
      <c r="K30" s="56">
        <f t="shared" si="4"/>
        <v>4.5241761063875674E-2</v>
      </c>
      <c r="L30" s="56">
        <f t="shared" si="5"/>
        <v>4.8969840324873323E-2</v>
      </c>
      <c r="M30" s="56">
        <f t="shared" si="6"/>
        <v>2.5537424225887763E-2</v>
      </c>
      <c r="N30" s="56">
        <f t="shared" si="7"/>
        <v>2.6369783934020244E-3</v>
      </c>
      <c r="O30" s="56">
        <v>3.0204399999999999E-2</v>
      </c>
    </row>
    <row r="31" spans="1:15" x14ac:dyDescent="0.3">
      <c r="A31" s="57">
        <f>PG!A31</f>
        <v>43312</v>
      </c>
      <c r="B31" s="42">
        <v>1.4684626670908862E-3</v>
      </c>
      <c r="C31" s="42">
        <v>2.7598942762792955E-2</v>
      </c>
      <c r="D31" s="42">
        <v>4.4317183288900885E-2</v>
      </c>
      <c r="E31" s="42">
        <f t="shared" si="0"/>
        <v>2.7177695040176884E-2</v>
      </c>
      <c r="F31" s="42">
        <f t="shared" si="8"/>
        <v>1.4533702714941921E-2</v>
      </c>
      <c r="G31" s="42">
        <f t="shared" si="1"/>
        <v>3.6793975052152317E-2</v>
      </c>
      <c r="H31" s="42" cm="1">
        <f t="array" ref="H31">((Third*$B31)+(Third*$C31)+(Third*$D31))</f>
        <v>2.4461529572928242E-2</v>
      </c>
      <c r="I31" s="42">
        <f t="shared" si="2"/>
        <v>1.8713262846468903E-2</v>
      </c>
      <c r="J31" s="42">
        <f t="shared" si="3"/>
        <v>2.524588287039442E-2</v>
      </c>
      <c r="K31" s="42">
        <f t="shared" si="4"/>
        <v>2.9425443001921403E-2</v>
      </c>
      <c r="L31" s="42">
        <f t="shared" si="5"/>
        <v>3.6688663121498301E-2</v>
      </c>
      <c r="M31" s="42">
        <f t="shared" si="6"/>
        <v>3.4075615111928095E-2</v>
      </c>
      <c r="N31" s="42">
        <f t="shared" si="7"/>
        <v>1.0979430748412299E-2</v>
      </c>
      <c r="O31" s="42">
        <v>3.1602690000000003E-2</v>
      </c>
    </row>
    <row r="32" spans="1:15" x14ac:dyDescent="0.3">
      <c r="A32" s="55">
        <f>PG!A32</f>
        <v>43280</v>
      </c>
      <c r="B32" s="56">
        <v>-2.5172150732065912E-2</v>
      </c>
      <c r="C32" s="56">
        <v>-9.4629155358711969E-3</v>
      </c>
      <c r="D32" s="56">
        <v>6.4692254605172472E-2</v>
      </c>
      <c r="E32" s="56">
        <f t="shared" si="0"/>
        <v>2.8746492470277114E-2</v>
      </c>
      <c r="F32" s="56">
        <f t="shared" si="8"/>
        <v>-1.7317533133968555E-2</v>
      </c>
      <c r="G32" s="56">
        <f t="shared" si="1"/>
        <v>3.1322428041702828E-2</v>
      </c>
      <c r="H32" s="56" cm="1">
        <f t="array" ref="H32">((Third*$B32)+(Third*$C32)+(Third*$D32))</f>
        <v>1.0019062779078453E-2</v>
      </c>
      <c r="I32" s="56">
        <f t="shared" si="2"/>
        <v>1.2212594012923628E-3</v>
      </c>
      <c r="J32" s="56">
        <f t="shared" si="3"/>
        <v>5.1485682003410416E-3</v>
      </c>
      <c r="K32" s="56">
        <f t="shared" si="4"/>
        <v>2.3687360735601959E-2</v>
      </c>
      <c r="L32" s="56">
        <f t="shared" si="5"/>
        <v>4.0874780043239897E-2</v>
      </c>
      <c r="M32" s="56">
        <f t="shared" si="6"/>
        <v>3.9303856523620423E-2</v>
      </c>
      <c r="N32" s="56">
        <f t="shared" si="7"/>
        <v>-1.3043863159103126E-2</v>
      </c>
      <c r="O32" s="56">
        <v>5.362637E-3</v>
      </c>
    </row>
    <row r="33" spans="1:15" x14ac:dyDescent="0.3">
      <c r="A33" s="57">
        <f>PG!A33</f>
        <v>43251</v>
      </c>
      <c r="B33" s="42">
        <v>7.1049587481608611E-4</v>
      </c>
      <c r="C33" s="42">
        <v>0.12679205261249793</v>
      </c>
      <c r="D33" s="42">
        <v>1.1408299970898206E-2</v>
      </c>
      <c r="E33" s="42">
        <f t="shared" si="0"/>
        <v>7.1291783324653581E-3</v>
      </c>
      <c r="F33" s="42">
        <f t="shared" si="8"/>
        <v>6.3751274243657008E-2</v>
      </c>
      <c r="G33" s="42">
        <f t="shared" si="1"/>
        <v>6.3330988659618087E-2</v>
      </c>
      <c r="H33" s="42" cm="1">
        <f t="array" ref="H33">((Third*$B33)+(Third*$C33)+(Third*$D33))</f>
        <v>4.6303616152737412E-2</v>
      </c>
      <c r="I33" s="42">
        <f t="shared" si="2"/>
        <v>3.4905336083257077E-2</v>
      </c>
      <c r="J33" s="42">
        <f t="shared" si="3"/>
        <v>6.6425725267677538E-2</v>
      </c>
      <c r="K33" s="42">
        <f t="shared" si="4"/>
        <v>3.7579787107277607E-2</v>
      </c>
      <c r="L33" s="42">
        <f t="shared" si="5"/>
        <v>3.3415270089609941E-2</v>
      </c>
      <c r="M33" s="42">
        <f t="shared" si="6"/>
        <v>2.0807114415841755E-2</v>
      </c>
      <c r="N33" s="42">
        <f t="shared" si="7"/>
        <v>2.6996587631960667E-2</v>
      </c>
      <c r="O33" s="42">
        <v>2.6174670000000001E-2</v>
      </c>
    </row>
    <row r="34" spans="1:15" x14ac:dyDescent="0.3">
      <c r="A34" s="55">
        <f>PG!A34</f>
        <v>43220</v>
      </c>
      <c r="B34" s="56">
        <v>4.2837777911045372E-2</v>
      </c>
      <c r="C34" s="56">
        <v>-1.5133632109018968E-2</v>
      </c>
      <c r="D34" s="56">
        <v>-8.1743229040064591E-2</v>
      </c>
      <c r="E34" s="56">
        <f t="shared" si="0"/>
        <v>-3.1910826259620606E-2</v>
      </c>
      <c r="F34" s="56">
        <f t="shared" si="8"/>
        <v>1.3852072901013202E-2</v>
      </c>
      <c r="G34" s="56">
        <f t="shared" si="1"/>
        <v>-5.1768910421094064E-2</v>
      </c>
      <c r="H34" s="56" cm="1">
        <f t="array" ref="H34">((Third*$B34)+(Third*$C34)+(Third*$D34))</f>
        <v>-1.8013027746012728E-2</v>
      </c>
      <c r="I34" s="56">
        <f t="shared" si="2"/>
        <v>-2.8003263317482041E-3</v>
      </c>
      <c r="J34" s="56">
        <f t="shared" si="3"/>
        <v>-1.7293178836764289E-2</v>
      </c>
      <c r="K34" s="56">
        <f t="shared" si="4"/>
        <v>-3.3945578069525695E-2</v>
      </c>
      <c r="L34" s="56">
        <f t="shared" si="5"/>
        <v>-5.5963208958744466E-2</v>
      </c>
      <c r="M34" s="56">
        <f t="shared" si="6"/>
        <v>-5.0166067956738031E-2</v>
      </c>
      <c r="N34" s="56">
        <f t="shared" si="7"/>
        <v>1.8785395211921505E-2</v>
      </c>
      <c r="O34" s="56">
        <v>4.710115E-3</v>
      </c>
    </row>
    <row r="35" spans="1:15" x14ac:dyDescent="0.3">
      <c r="A35" s="57">
        <f>PG!A35</f>
        <v>43188</v>
      </c>
      <c r="B35" s="42">
        <v>-4.5676670007416487E-2</v>
      </c>
      <c r="C35" s="42">
        <v>-5.9803862897920279E-2</v>
      </c>
      <c r="D35" s="42">
        <v>9.6325479687013882E-3</v>
      </c>
      <c r="E35" s="42">
        <f t="shared" si="0"/>
        <v>-1.2491139221745762E-2</v>
      </c>
      <c r="F35" s="42">
        <f t="shared" si="8"/>
        <v>-5.2740266452668383E-2</v>
      </c>
      <c r="G35" s="42">
        <f t="shared" si="1"/>
        <v>-2.1613836921278363E-2</v>
      </c>
      <c r="H35" s="42" cm="1">
        <f t="array" ref="H35">((Third*$B35)+(Third*$C35)+(Third*$D35))</f>
        <v>-3.194932831221179E-2</v>
      </c>
      <c r="I35" s="42">
        <f t="shared" si="2"/>
        <v>-3.5381163736012966E-2</v>
      </c>
      <c r="J35" s="42">
        <f t="shared" si="3"/>
        <v>-3.8912961958638914E-2</v>
      </c>
      <c r="K35" s="42">
        <f t="shared" si="4"/>
        <v>-2.1553859241983497E-2</v>
      </c>
      <c r="L35" s="42">
        <f t="shared" si="5"/>
        <v>-9.7856560022347317E-3</v>
      </c>
      <c r="M35" s="42">
        <f t="shared" si="6"/>
        <v>-8.3729367131843545E-3</v>
      </c>
      <c r="N35" s="42">
        <f t="shared" si="7"/>
        <v>-4.2971186787905458E-2</v>
      </c>
      <c r="O35" s="42">
        <v>-1.845426E-2</v>
      </c>
    </row>
    <row r="36" spans="1:15" x14ac:dyDescent="0.3">
      <c r="A36" s="55">
        <f>PG!A36</f>
        <v>43159</v>
      </c>
      <c r="B36" s="56">
        <v>-0.12780529052067147</v>
      </c>
      <c r="C36" s="56">
        <v>6.5422844507516675E-2</v>
      </c>
      <c r="D36" s="56">
        <v>-9.4939621056684409E-2</v>
      </c>
      <c r="E36" s="56">
        <f t="shared" si="0"/>
        <v>-0.10808588884227924</v>
      </c>
      <c r="F36" s="56">
        <f t="shared" si="8"/>
        <v>-3.1191223006577395E-2</v>
      </c>
      <c r="G36" s="56">
        <f t="shared" si="1"/>
        <v>-2.2776511552793928E-2</v>
      </c>
      <c r="H36" s="56" cm="1">
        <f t="array" ref="H36">((Third*$B36)+(Third*$C36)+(Third*$D36))</f>
        <v>-5.2440689023279738E-2</v>
      </c>
      <c r="I36" s="56">
        <f t="shared" si="2"/>
        <v>-7.1281839397627667E-2</v>
      </c>
      <c r="J36" s="56">
        <f t="shared" si="3"/>
        <v>-2.2974805640580631E-2</v>
      </c>
      <c r="K36" s="56">
        <f t="shared" si="4"/>
        <v>-6.3065422031630902E-2</v>
      </c>
      <c r="L36" s="56">
        <f t="shared" si="5"/>
        <v>-6.6153694890242892E-2</v>
      </c>
      <c r="M36" s="56">
        <f t="shared" si="6"/>
        <v>-8.5476508393061715E-2</v>
      </c>
      <c r="N36" s="56">
        <f t="shared" si="7"/>
        <v>-8.5873096568635121E-2</v>
      </c>
      <c r="O36" s="56">
        <v>-3.9511110000000002E-2</v>
      </c>
    </row>
    <row r="37" spans="1:15" x14ac:dyDescent="0.3">
      <c r="A37" s="57">
        <f>PG!A37</f>
        <v>43131</v>
      </c>
      <c r="B37" s="42">
        <v>-7.6182014062637915E-2</v>
      </c>
      <c r="C37" s="42">
        <v>-1.0693401450029061E-2</v>
      </c>
      <c r="D37" s="42">
        <v>-5.4235099437268453E-2</v>
      </c>
      <c r="E37" s="42">
        <f t="shared" si="0"/>
        <v>-6.3013865287416232E-2</v>
      </c>
      <c r="F37" s="42">
        <f t="shared" si="8"/>
        <v>-4.3437707756333488E-2</v>
      </c>
      <c r="G37" s="42">
        <f t="shared" si="1"/>
        <v>-3.4641335343010726E-2</v>
      </c>
      <c r="H37" s="42" cm="1">
        <f t="array" ref="H37">((Third*$B37)+(Third*$C37)+(Third*$D37))</f>
        <v>-4.7036838316645138E-2</v>
      </c>
      <c r="I37" s="42">
        <f t="shared" si="2"/>
        <v>-5.4323132253143336E-2</v>
      </c>
      <c r="J37" s="42">
        <f t="shared" si="3"/>
        <v>-3.7950979099991122E-2</v>
      </c>
      <c r="K37" s="42">
        <f t="shared" si="4"/>
        <v>-4.883640359680097E-2</v>
      </c>
      <c r="L37" s="42">
        <f t="shared" si="5"/>
        <v>-4.7721451302357512E-2</v>
      </c>
      <c r="M37" s="42">
        <f t="shared" si="6"/>
        <v>-5.4270312563618403E-2</v>
      </c>
      <c r="N37" s="42">
        <f t="shared" si="7"/>
        <v>-6.0889600077579202E-2</v>
      </c>
      <c r="O37" s="42">
        <v>5.0626650000000002E-2</v>
      </c>
    </row>
    <row r="38" spans="1:15" x14ac:dyDescent="0.3">
      <c r="A38" s="55">
        <f>PG!A38</f>
        <v>43098</v>
      </c>
      <c r="B38" s="56">
        <v>-4.0161566989747488E-2</v>
      </c>
      <c r="C38" s="56">
        <v>-1.5363327638852731E-2</v>
      </c>
      <c r="D38" s="56">
        <v>2.0784818620428247E-2</v>
      </c>
      <c r="E38" s="56">
        <f t="shared" si="0"/>
        <v>-3.5937356236420467E-3</v>
      </c>
      <c r="F38" s="56">
        <f t="shared" si="8"/>
        <v>-2.7762447314300109E-2</v>
      </c>
      <c r="G38" s="56">
        <f t="shared" si="1"/>
        <v>4.5181528037518074E-3</v>
      </c>
      <c r="H38" s="56" cm="1">
        <f t="array" ref="H38">((Third*$B38)+(Third*$C38)+(Third*$D38))</f>
        <v>-1.1580025336057322E-2</v>
      </c>
      <c r="I38" s="56">
        <f t="shared" si="2"/>
        <v>-1.8725410749479865E-2</v>
      </c>
      <c r="J38" s="56">
        <f t="shared" si="3"/>
        <v>-1.2525850911756176E-2</v>
      </c>
      <c r="K38" s="56">
        <f t="shared" si="4"/>
        <v>-3.4888143469359312E-3</v>
      </c>
      <c r="L38" s="56">
        <f t="shared" si="5"/>
        <v>7.4605508075544771E-3</v>
      </c>
      <c r="M38" s="56">
        <f t="shared" si="6"/>
        <v>4.9807268724650008E-3</v>
      </c>
      <c r="N38" s="56">
        <f t="shared" si="7"/>
        <v>-2.9107280558550962E-2</v>
      </c>
      <c r="O38" s="56">
        <v>1.2152690000000001E-2</v>
      </c>
    </row>
    <row r="39" spans="1:15" x14ac:dyDescent="0.3">
      <c r="A39" s="57">
        <f>PG!A39</f>
        <v>43069</v>
      </c>
      <c r="B39" s="42">
        <v>-9.7345923175381266E-2</v>
      </c>
      <c r="C39" s="42">
        <v>2.0145989489611438E-2</v>
      </c>
      <c r="D39" s="42">
        <v>4.1405581594974983E-2</v>
      </c>
      <c r="E39" s="42">
        <f t="shared" si="0"/>
        <v>-1.4095020313167523E-2</v>
      </c>
      <c r="F39" s="42">
        <f t="shared" si="8"/>
        <v>-3.8599966842884914E-2</v>
      </c>
      <c r="G39" s="42">
        <f t="shared" si="1"/>
        <v>3.1838765147561392E-2</v>
      </c>
      <c r="H39" s="42" cm="1">
        <f t="array" ref="H39">((Third*$B39)+(Third*$C39)+(Third*$D39))</f>
        <v>-1.1931450696931613E-2</v>
      </c>
      <c r="I39" s="42">
        <f t="shared" si="2"/>
        <v>-3.3285068816544028E-2</v>
      </c>
      <c r="J39" s="42">
        <f t="shared" si="3"/>
        <v>-3.9120906502958519E-3</v>
      </c>
      <c r="K39" s="42">
        <f t="shared" si="4"/>
        <v>1.4028073760450344E-3</v>
      </c>
      <c r="L39" s="42">
        <f t="shared" si="5"/>
        <v>2.3278512696866645E-2</v>
      </c>
      <c r="M39" s="42">
        <f t="shared" si="6"/>
        <v>1.1529321430367376E-2</v>
      </c>
      <c r="N39" s="42">
        <f t="shared" si="7"/>
        <v>-5.9972390165347084E-2</v>
      </c>
      <c r="O39" s="42">
        <v>2.7252490000000001E-2</v>
      </c>
    </row>
    <row r="40" spans="1:15" x14ac:dyDescent="0.3">
      <c r="A40" s="55">
        <f>PG!A40</f>
        <v>43039</v>
      </c>
      <c r="B40" s="56">
        <v>-0.18182542217332243</v>
      </c>
      <c r="C40" s="56">
        <v>9.240384551410763E-2</v>
      </c>
      <c r="D40" s="56">
        <v>-4.4391490548861157E-2</v>
      </c>
      <c r="E40" s="56">
        <f t="shared" si="0"/>
        <v>-9.9365063198645659E-2</v>
      </c>
      <c r="F40" s="56">
        <f t="shared" si="8"/>
        <v>-4.4710788329607398E-2</v>
      </c>
      <c r="G40" s="56">
        <f t="shared" si="1"/>
        <v>1.7166410679474799E-2</v>
      </c>
      <c r="H40" s="56" cm="1">
        <f t="array" ref="H40">((Third*$B40)+(Third*$C40)+(Third*$D40))</f>
        <v>-4.4604355736025315E-2</v>
      </c>
      <c r="I40" s="56">
        <f t="shared" si="2"/>
        <v>-7.8909622345349595E-2</v>
      </c>
      <c r="J40" s="56">
        <f t="shared" si="3"/>
        <v>-1.0352305423492081E-2</v>
      </c>
      <c r="K40" s="56">
        <f t="shared" si="4"/>
        <v>-4.4551139439234277E-2</v>
      </c>
      <c r="L40" s="56">
        <f t="shared" si="5"/>
        <v>-3.0775816498713523E-2</v>
      </c>
      <c r="M40" s="56">
        <f t="shared" si="6"/>
        <v>-5.8198743267456526E-2</v>
      </c>
      <c r="N40" s="56">
        <f t="shared" si="7"/>
        <v>-0.11323617547339029</v>
      </c>
      <c r="O40" s="56">
        <v>1.9276790000000002E-2</v>
      </c>
    </row>
    <row r="41" spans="1:15" x14ac:dyDescent="0.3">
      <c r="A41" s="57">
        <f>PG!A41</f>
        <v>43007</v>
      </c>
      <c r="B41" s="42">
        <v>-5.3093422037195914E-3</v>
      </c>
      <c r="C41" s="42">
        <v>-6.2134939748129892E-2</v>
      </c>
      <c r="D41" s="42">
        <v>-1.4079286169480731E-2</v>
      </c>
      <c r="E41" s="42">
        <f t="shared" si="0"/>
        <v>-1.0571308583176276E-2</v>
      </c>
      <c r="F41" s="42">
        <f t="shared" si="8"/>
        <v>-3.3722140975924741E-2</v>
      </c>
      <c r="G41" s="42">
        <f t="shared" si="1"/>
        <v>-3.5704330279872853E-2</v>
      </c>
      <c r="H41" s="42" cm="1">
        <f t="array" ref="H41">((Third*$B41)+(Third*$C41)+(Third*$D41))</f>
        <v>-2.7174522707110071E-2</v>
      </c>
      <c r="I41" s="42">
        <f t="shared" si="2"/>
        <v>-2.1708227581262451E-2</v>
      </c>
      <c r="J41" s="42">
        <f t="shared" si="3"/>
        <v>-3.5914626967365026E-2</v>
      </c>
      <c r="K41" s="42">
        <f t="shared" si="4"/>
        <v>-2.3900713572702736E-2</v>
      </c>
      <c r="L41" s="42">
        <f t="shared" si="5"/>
        <v>-2.2813422488634449E-2</v>
      </c>
      <c r="M41" s="42">
        <f t="shared" si="6"/>
        <v>-1.7130862734193418E-2</v>
      </c>
      <c r="N41" s="42">
        <f t="shared" si="7"/>
        <v>-1.7551456109177764E-2</v>
      </c>
      <c r="O41" s="42">
        <v>2.3777450000000002E-2</v>
      </c>
    </row>
    <row r="42" spans="1:15" x14ac:dyDescent="0.3">
      <c r="A42" s="55">
        <f>PG!A42</f>
        <v>42978</v>
      </c>
      <c r="B42" s="56">
        <v>-4.2271100880415968E-2</v>
      </c>
      <c r="C42" s="56">
        <v>0.10156797875274881</v>
      </c>
      <c r="D42" s="56">
        <v>1.5839502899249069E-2</v>
      </c>
      <c r="E42" s="56">
        <f t="shared" si="0"/>
        <v>-7.404738612616946E-3</v>
      </c>
      <c r="F42" s="56">
        <f t="shared" si="8"/>
        <v>2.9648438936166421E-2</v>
      </c>
      <c r="G42" s="56">
        <f t="shared" si="1"/>
        <v>5.4417317033323954E-2</v>
      </c>
      <c r="H42" s="56" cm="1">
        <f t="array" ref="H42">((Third*$B42)+(Third*$C42)+(Third*$D42))</f>
        <v>2.5045460257193966E-2</v>
      </c>
      <c r="I42" s="56">
        <f t="shared" si="2"/>
        <v>8.216319972791486E-3</v>
      </c>
      <c r="J42" s="56">
        <f t="shared" si="3"/>
        <v>4.4176089881082681E-2</v>
      </c>
      <c r="K42" s="56">
        <f t="shared" si="4"/>
        <v>2.2743970917707745E-2</v>
      </c>
      <c r="L42" s="56">
        <f t="shared" si="5"/>
        <v>2.7174137691982514E-2</v>
      </c>
      <c r="M42" s="56">
        <f t="shared" si="6"/>
        <v>1.2790229728666037E-2</v>
      </c>
      <c r="N42" s="56">
        <f t="shared" si="7"/>
        <v>-7.692224575816504E-3</v>
      </c>
      <c r="O42" s="56">
        <v>1.5746460000000001E-3</v>
      </c>
    </row>
    <row r="43" spans="1:15" x14ac:dyDescent="0.3">
      <c r="A43" s="57">
        <f>PG!A43</f>
        <v>42947</v>
      </c>
      <c r="B43" s="42">
        <v>-5.3224252234508995E-2</v>
      </c>
      <c r="C43" s="42">
        <v>3.218034439174966E-2</v>
      </c>
      <c r="D43" s="42">
        <v>4.881309190111871E-2</v>
      </c>
      <c r="E43" s="42">
        <f t="shared" si="0"/>
        <v>7.9981542468676274E-3</v>
      </c>
      <c r="F43" s="42">
        <f t="shared" si="8"/>
        <v>-1.0521953921379668E-2</v>
      </c>
      <c r="G43" s="42">
        <f t="shared" si="1"/>
        <v>4.1328355521902643E-2</v>
      </c>
      <c r="H43" s="42" cm="1">
        <f t="array" ref="H43">((Third*$B43)+(Third*$C43)+(Third*$D43))</f>
        <v>9.2563946861197906E-3</v>
      </c>
      <c r="I43" s="42">
        <f t="shared" si="2"/>
        <v>-6.363767044037405E-3</v>
      </c>
      <c r="J43" s="42">
        <f t="shared" si="3"/>
        <v>1.4987382112527259E-2</v>
      </c>
      <c r="K43" s="42">
        <f t="shared" si="4"/>
        <v>1.9145568989869521E-2</v>
      </c>
      <c r="L43" s="42">
        <f t="shared" si="5"/>
        <v>3.5282807985682133E-2</v>
      </c>
      <c r="M43" s="42">
        <f t="shared" si="6"/>
        <v>2.6742348323056265E-2</v>
      </c>
      <c r="N43" s="42">
        <f t="shared" si="7"/>
        <v>-2.5939598495694494E-2</v>
      </c>
      <c r="O43" s="42">
        <v>2.030879E-2</v>
      </c>
    </row>
    <row r="44" spans="1:15" x14ac:dyDescent="0.3">
      <c r="A44" s="55">
        <f>PG!A44</f>
        <v>42916</v>
      </c>
      <c r="B44" s="56">
        <v>-4.7592598972459044E-3</v>
      </c>
      <c r="C44" s="56">
        <v>-5.891581791140732E-2</v>
      </c>
      <c r="D44" s="56">
        <v>-1.0728188074661027E-2</v>
      </c>
      <c r="E44" s="56">
        <f t="shared" si="0"/>
        <v>-8.3406168036949772E-3</v>
      </c>
      <c r="F44" s="56">
        <f t="shared" si="8"/>
        <v>-3.1837538904326612E-2</v>
      </c>
      <c r="G44" s="56">
        <f t="shared" si="1"/>
        <v>-3.2412621501196864E-2</v>
      </c>
      <c r="H44" s="56" cm="1">
        <f t="array" ref="H44">((Third*$B44)+(Third*$C44)+(Third*$D44))</f>
        <v>-2.4801088627771417E-2</v>
      </c>
      <c r="I44" s="56">
        <f t="shared" si="2"/>
        <v>-1.9790631445140039E-2</v>
      </c>
      <c r="J44" s="56">
        <f t="shared" si="3"/>
        <v>-3.3329770948680393E-2</v>
      </c>
      <c r="K44" s="56">
        <f t="shared" si="4"/>
        <v>-2.128286348949382E-2</v>
      </c>
      <c r="L44" s="56">
        <f t="shared" si="5"/>
        <v>-1.9768821224268776E-2</v>
      </c>
      <c r="M44" s="56">
        <f t="shared" si="6"/>
        <v>-1.4353165422852632E-2</v>
      </c>
      <c r="N44" s="56">
        <f t="shared" si="7"/>
        <v>-1.6187464317819703E-2</v>
      </c>
      <c r="O44" s="56">
        <v>9.5514930000000012E-3</v>
      </c>
    </row>
    <row r="45" spans="1:15" x14ac:dyDescent="0.3">
      <c r="A45" s="57">
        <f>PG!A45</f>
        <v>42886</v>
      </c>
      <c r="B45" s="42">
        <v>-5.7138145829391807E-2</v>
      </c>
      <c r="C45" s="42">
        <v>6.5603918980680742E-2</v>
      </c>
      <c r="D45" s="42">
        <v>8.6649101566242948E-3</v>
      </c>
      <c r="E45" s="42">
        <f t="shared" si="0"/>
        <v>-1.7656312237782145E-2</v>
      </c>
      <c r="F45" s="42">
        <f t="shared" si="8"/>
        <v>4.2328865756444678E-3</v>
      </c>
      <c r="G45" s="42">
        <f t="shared" si="1"/>
        <v>3.42874641274497E-2</v>
      </c>
      <c r="H45" s="42" cm="1">
        <f t="array" ref="H45">((Third*$B45)+(Third*$C45)+(Third*$D45))</f>
        <v>5.710227769304411E-3</v>
      </c>
      <c r="I45" s="42">
        <f t="shared" si="2"/>
        <v>-1.0001865630369644E-2</v>
      </c>
      <c r="J45" s="42">
        <f t="shared" si="3"/>
        <v>2.0683650572148493E-2</v>
      </c>
      <c r="K45" s="42">
        <f t="shared" si="4"/>
        <v>6.4488983661343813E-3</v>
      </c>
      <c r="L45" s="42">
        <f t="shared" si="5"/>
        <v>1.3472406322833974E-2</v>
      </c>
      <c r="M45" s="42">
        <f t="shared" si="6"/>
        <v>1.1981998418267191E-3</v>
      </c>
      <c r="N45" s="42">
        <f t="shared" si="7"/>
        <v>-2.6009427268775687E-2</v>
      </c>
      <c r="O45" s="42">
        <v>9.3033030000000006E-3</v>
      </c>
    </row>
    <row r="46" spans="1:15" x14ac:dyDescent="0.3">
      <c r="A46" s="55">
        <f>PG!A46</f>
        <v>42853</v>
      </c>
      <c r="B46" s="56">
        <v>-2.7557432870998877E-2</v>
      </c>
      <c r="C46" s="56">
        <v>-6.9679201657457668E-5</v>
      </c>
      <c r="D46" s="56">
        <v>-2.0582058597364394E-2</v>
      </c>
      <c r="E46" s="56">
        <f t="shared" si="0"/>
        <v>-2.3372208306818187E-2</v>
      </c>
      <c r="F46" s="56">
        <f t="shared" si="8"/>
        <v>-1.3813556036328167E-2</v>
      </c>
      <c r="G46" s="56">
        <f t="shared" si="1"/>
        <v>-1.1351487869296274E-2</v>
      </c>
      <c r="H46" s="56" cm="1">
        <f t="array" ref="H46">((Third*$B46)+(Third*$C46)+(Third*$D46))</f>
        <v>-1.6069723556673576E-2</v>
      </c>
      <c r="I46" s="56">
        <f t="shared" si="2"/>
        <v>-1.8941650885254901E-2</v>
      </c>
      <c r="J46" s="56">
        <f t="shared" si="3"/>
        <v>-1.2069712467919547E-2</v>
      </c>
      <c r="K46" s="56">
        <f t="shared" si="4"/>
        <v>-1.7197807316846281E-2</v>
      </c>
      <c r="L46" s="56">
        <f t="shared" si="5"/>
        <v>-1.7177120145586453E-2</v>
      </c>
      <c r="M46" s="56">
        <f t="shared" si="6"/>
        <v>-1.9925895512520594E-2</v>
      </c>
      <c r="N46" s="56">
        <f t="shared" si="7"/>
        <v>-2.1362344709767143E-2</v>
      </c>
      <c r="O46" s="56">
        <v>9.6275750000000011E-3</v>
      </c>
    </row>
    <row r="47" spans="1:15" x14ac:dyDescent="0.3">
      <c r="A47" s="57">
        <f>PG!A47</f>
        <v>42825</v>
      </c>
      <c r="B47" s="42">
        <v>-3.3552186523166938E-4</v>
      </c>
      <c r="C47" s="42">
        <v>4.7541451575846327E-2</v>
      </c>
      <c r="D47" s="42">
        <v>-1.3486841981671382E-2</v>
      </c>
      <c r="E47" s="42">
        <f t="shared" si="0"/>
        <v>-8.2263139350954965E-3</v>
      </c>
      <c r="F47" s="42">
        <f t="shared" si="8"/>
        <v>2.3602964855307329E-2</v>
      </c>
      <c r="G47" s="42">
        <f t="shared" si="1"/>
        <v>1.3975890119211586E-2</v>
      </c>
      <c r="H47" s="42" cm="1">
        <f t="array" ref="H47">((Third*$B47)+(Third*$C47)+(Third*$D47))</f>
        <v>1.1239695909647756E-2</v>
      </c>
      <c r="I47" s="42">
        <f t="shared" si="2"/>
        <v>8.3458914659279015E-3</v>
      </c>
      <c r="J47" s="42">
        <f t="shared" si="3"/>
        <v>2.0315134826197401E-2</v>
      </c>
      <c r="K47" s="42">
        <f t="shared" si="4"/>
        <v>5.0580614368179733E-3</v>
      </c>
      <c r="L47" s="42">
        <f t="shared" si="5"/>
        <v>3.3948741476131153E-5</v>
      </c>
      <c r="M47" s="42">
        <f t="shared" si="6"/>
        <v>-4.753748602631668E-3</v>
      </c>
      <c r="N47" s="42">
        <f t="shared" si="7"/>
        <v>7.9247408113399601E-3</v>
      </c>
      <c r="O47" s="42">
        <v>2.0949690000000003E-3</v>
      </c>
    </row>
    <row r="48" spans="1:15" x14ac:dyDescent="0.3">
      <c r="A48" s="55">
        <f>PG!A48</f>
        <v>42794</v>
      </c>
      <c r="B48" s="56">
        <v>1.1715571533549074E-2</v>
      </c>
      <c r="C48" s="56">
        <v>0.12538130584651519</v>
      </c>
      <c r="D48" s="56">
        <v>3.8847457705088573E-2</v>
      </c>
      <c r="E48" s="56">
        <f t="shared" si="0"/>
        <v>2.7994703236472775E-2</v>
      </c>
      <c r="F48" s="56">
        <f t="shared" si="8"/>
        <v>6.8548438690032132E-2</v>
      </c>
      <c r="G48" s="56">
        <f t="shared" si="1"/>
        <v>7.7787689368730553E-2</v>
      </c>
      <c r="H48" s="56" cm="1">
        <f t="array" ref="H48">((Third*$B48)+(Third*$C48)+(Third*$D48))</f>
        <v>5.8648111695050936E-2</v>
      </c>
      <c r="I48" s="56">
        <f t="shared" si="2"/>
        <v>4.6914976654675478E-2</v>
      </c>
      <c r="J48" s="56">
        <f t="shared" si="3"/>
        <v>7.5331410232917007E-2</v>
      </c>
      <c r="K48" s="56">
        <f t="shared" si="4"/>
        <v>5.3697948197560352E-2</v>
      </c>
      <c r="L48" s="56">
        <f t="shared" si="5"/>
        <v>5.3441038716219948E-2</v>
      </c>
      <c r="M48" s="56">
        <f t="shared" si="6"/>
        <v>4.2074465284923333E-2</v>
      </c>
      <c r="N48" s="56">
        <f t="shared" si="7"/>
        <v>3.7161907013296247E-2</v>
      </c>
      <c r="O48" s="56">
        <v>3.2631899999999998E-2</v>
      </c>
    </row>
    <row r="49" spans="1:15" x14ac:dyDescent="0.3">
      <c r="A49" s="57">
        <f>PG!A49</f>
        <v>42766</v>
      </c>
      <c r="B49" s="42">
        <v>-6.2010061167842245E-2</v>
      </c>
      <c r="C49" s="42">
        <v>4.6641660435683185E-2</v>
      </c>
      <c r="D49" s="42">
        <v>4.8625868868997557E-2</v>
      </c>
      <c r="E49" s="42">
        <f t="shared" si="0"/>
        <v>4.3714968542616327E-3</v>
      </c>
      <c r="F49" s="42">
        <f t="shared" si="8"/>
        <v>-7.6842003660795299E-3</v>
      </c>
      <c r="G49" s="42">
        <f t="shared" si="1"/>
        <v>4.773297507400609E-2</v>
      </c>
      <c r="H49" s="42" cm="1">
        <f t="array" ref="H49">((Third*$B49)+(Third*$C49)+(Third*$D49))</f>
        <v>1.10858227122795E-2</v>
      </c>
      <c r="I49" s="42">
        <f t="shared" si="2"/>
        <v>-7.188148257750937E-3</v>
      </c>
      <c r="J49" s="42">
        <f t="shared" si="3"/>
        <v>1.9974782143130421E-2</v>
      </c>
      <c r="K49" s="42">
        <f t="shared" si="4"/>
        <v>2.0470834251459014E-2</v>
      </c>
      <c r="L49" s="42">
        <f t="shared" si="5"/>
        <v>3.7165434178650703E-2</v>
      </c>
      <c r="M49" s="42">
        <f t="shared" si="6"/>
        <v>2.6300262018298156E-2</v>
      </c>
      <c r="N49" s="42">
        <f t="shared" si="7"/>
        <v>-2.9216123843453172E-2</v>
      </c>
      <c r="O49" s="42">
        <v>2.2176669999999999E-2</v>
      </c>
    </row>
    <row r="50" spans="1:15" x14ac:dyDescent="0.3">
      <c r="A50" s="55">
        <f>PG!A50</f>
        <v>42734</v>
      </c>
      <c r="B50" s="56">
        <v>3.4508220710199655E-2</v>
      </c>
      <c r="C50" s="56">
        <v>4.684078948150594E-2</v>
      </c>
      <c r="D50" s="56">
        <v>1.945543217015544E-2</v>
      </c>
      <c r="E50" s="56">
        <f t="shared" si="0"/>
        <v>2.5476547586173126E-2</v>
      </c>
      <c r="F50" s="56">
        <f t="shared" si="8"/>
        <v>4.0674505095852798E-2</v>
      </c>
      <c r="G50" s="56">
        <f t="shared" si="1"/>
        <v>3.1778842960263162E-2</v>
      </c>
      <c r="H50" s="56" cm="1">
        <f t="array" ref="H50">((Third*$B50)+(Third*$C50)+(Third*$D50))</f>
        <v>3.3601480787287009E-2</v>
      </c>
      <c r="I50" s="56">
        <f t="shared" si="2"/>
        <v>3.3828165768015173E-2</v>
      </c>
      <c r="J50" s="56">
        <f t="shared" si="3"/>
        <v>3.6911307960841744E-2</v>
      </c>
      <c r="K50" s="56">
        <f t="shared" si="4"/>
        <v>3.0064968633004119E-2</v>
      </c>
      <c r="L50" s="56">
        <f t="shared" si="5"/>
        <v>2.6437782486429959E-2</v>
      </c>
      <c r="M50" s="56">
        <f t="shared" si="6"/>
        <v>2.5204525609299332E-2</v>
      </c>
      <c r="N50" s="56">
        <f t="shared" si="7"/>
        <v>3.5469455610456495E-2</v>
      </c>
      <c r="O50" s="56">
        <v>1.8767820000000001E-2</v>
      </c>
    </row>
    <row r="51" spans="1:15" x14ac:dyDescent="0.3">
      <c r="A51" s="57">
        <f>PG!A51</f>
        <v>42704</v>
      </c>
      <c r="B51" s="42">
        <v>5.547696479196329E-2</v>
      </c>
      <c r="C51" s="42">
        <v>-2.181455249495734E-2</v>
      </c>
      <c r="D51" s="42">
        <v>-5.1293340648734365E-2</v>
      </c>
      <c r="E51" s="42">
        <f t="shared" si="0"/>
        <v>-8.5852184724552992E-3</v>
      </c>
      <c r="F51" s="42">
        <f t="shared" si="8"/>
        <v>1.6831206148502975E-2</v>
      </c>
      <c r="G51" s="42">
        <f t="shared" si="1"/>
        <v>-3.8027885979534708E-2</v>
      </c>
      <c r="H51" s="42" cm="1">
        <f t="array" ref="H51">((Third*$B51)+(Third*$C51)+(Third*$D51))</f>
        <v>-5.8769761172428048E-3</v>
      </c>
      <c r="I51" s="42">
        <f t="shared" si="2"/>
        <v>9.461509110058719E-3</v>
      </c>
      <c r="J51" s="42">
        <f t="shared" si="3"/>
        <v>-9.8613702116714386E-3</v>
      </c>
      <c r="K51" s="42">
        <f t="shared" si="4"/>
        <v>-1.7231067250115695E-2</v>
      </c>
      <c r="L51" s="42">
        <f t="shared" si="5"/>
        <v>-3.4720552473909191E-2</v>
      </c>
      <c r="M51" s="42">
        <f t="shared" si="6"/>
        <v>-2.699140074521713E-2</v>
      </c>
      <c r="N51" s="42">
        <f t="shared" si="7"/>
        <v>2.9341630790509391E-2</v>
      </c>
      <c r="O51" s="42">
        <v>4.0545749999999998E-2</v>
      </c>
    </row>
    <row r="52" spans="1:15" x14ac:dyDescent="0.3">
      <c r="A52" s="55">
        <f>PG!A52</f>
        <v>42674</v>
      </c>
      <c r="B52" s="56">
        <v>-1.7711649886615888E-2</v>
      </c>
      <c r="C52" s="56">
        <v>4.3249800873184086E-3</v>
      </c>
      <c r="D52" s="56">
        <v>-2.5737831385460375E-2</v>
      </c>
      <c r="E52" s="56">
        <f t="shared" si="0"/>
        <v>-2.2527358785922581E-2</v>
      </c>
      <c r="F52" s="56">
        <f t="shared" si="8"/>
        <v>-6.6933348996487396E-3</v>
      </c>
      <c r="G52" s="56">
        <f t="shared" si="1"/>
        <v>-1.2209566222709923E-2</v>
      </c>
      <c r="H52" s="56" cm="1">
        <f t="array" ref="H52">((Third*$B52)+(Third*$C52)+(Third*$D52))</f>
        <v>-1.3041500394919282E-2</v>
      </c>
      <c r="I52" s="56">
        <f t="shared" si="2"/>
        <v>-1.4209037767843435E-2</v>
      </c>
      <c r="J52" s="56">
        <f t="shared" si="3"/>
        <v>-8.6998802743598613E-3</v>
      </c>
      <c r="K52" s="56">
        <f t="shared" si="4"/>
        <v>-1.6215583142554557E-2</v>
      </c>
      <c r="L52" s="56">
        <f t="shared" si="5"/>
        <v>-1.8922650941020167E-2</v>
      </c>
      <c r="M52" s="56">
        <f t="shared" si="6"/>
        <v>-2.1126313938413598E-2</v>
      </c>
      <c r="N52" s="56">
        <f t="shared" si="7"/>
        <v>-1.4106942041713477E-2</v>
      </c>
      <c r="O52" s="56">
        <v>-2.158622E-2</v>
      </c>
    </row>
    <row r="53" spans="1:15" x14ac:dyDescent="0.3">
      <c r="A53" s="57">
        <f>PG!A53</f>
        <v>42643</v>
      </c>
      <c r="B53" s="42">
        <v>-4.5514449551513181E-2</v>
      </c>
      <c r="C53" s="42">
        <v>6.3448194480319575E-2</v>
      </c>
      <c r="D53" s="42">
        <v>2.7563051508177061E-2</v>
      </c>
      <c r="E53" s="42">
        <f t="shared" si="0"/>
        <v>-1.6679489156990364E-3</v>
      </c>
      <c r="F53" s="42">
        <f t="shared" si="8"/>
        <v>8.9668724644031972E-3</v>
      </c>
      <c r="G53" s="42">
        <f t="shared" si="1"/>
        <v>4.3711365845641198E-2</v>
      </c>
      <c r="H53" s="42" cm="1">
        <f t="array" ref="H53">((Third*$B53)+(Third*$C53)+(Third*$D53))</f>
        <v>1.5165598812327818E-2</v>
      </c>
      <c r="I53" s="42">
        <f t="shared" si="2"/>
        <v>-4.41327863243135E-6</v>
      </c>
      <c r="J53" s="42">
        <f t="shared" si="3"/>
        <v>2.7236247729325758E-2</v>
      </c>
      <c r="K53" s="42">
        <f t="shared" si="4"/>
        <v>1.8264961986290129E-2</v>
      </c>
      <c r="L53" s="42">
        <f t="shared" si="5"/>
        <v>2.7432329996636539E-2</v>
      </c>
      <c r="M53" s="42">
        <f t="shared" si="6"/>
        <v>1.6536065593453265E-2</v>
      </c>
      <c r="N53" s="42">
        <f t="shared" si="7"/>
        <v>-1.6414170639177605E-2</v>
      </c>
      <c r="O53" s="42">
        <v>3.0199040000000003E-3</v>
      </c>
    </row>
    <row r="54" spans="1:15" x14ac:dyDescent="0.3">
      <c r="A54" s="55">
        <f>PG!A54</f>
        <v>42613</v>
      </c>
      <c r="B54" s="56">
        <v>3.2061708393125166E-3</v>
      </c>
      <c r="C54" s="56">
        <v>2.3331857046742233E-2</v>
      </c>
      <c r="D54" s="56">
        <v>1.989656475334467E-2</v>
      </c>
      <c r="E54" s="56">
        <f t="shared" si="0"/>
        <v>1.3220407187731809E-2</v>
      </c>
      <c r="F54" s="56">
        <f t="shared" si="8"/>
        <v>1.3269013943027375E-2</v>
      </c>
      <c r="G54" s="56">
        <f t="shared" si="1"/>
        <v>2.1442446285373576E-2</v>
      </c>
      <c r="H54" s="56" cm="1">
        <f t="array" ref="H54">((Third*$B54)+(Third*$C54)+(Third*$D54))</f>
        <v>1.5478197546466472E-2</v>
      </c>
      <c r="I54" s="56">
        <f t="shared" si="2"/>
        <v>1.2410190869677984E-2</v>
      </c>
      <c r="J54" s="56">
        <f t="shared" si="3"/>
        <v>1.7441612421535413E-2</v>
      </c>
      <c r="K54" s="56">
        <f t="shared" si="4"/>
        <v>1.6582789348186022E-2</v>
      </c>
      <c r="L54" s="56">
        <f t="shared" si="5"/>
        <v>1.8914583820620966E-2</v>
      </c>
      <c r="M54" s="56">
        <f t="shared" si="6"/>
        <v>1.6902015199877995E-2</v>
      </c>
      <c r="N54" s="56">
        <f t="shared" si="7"/>
        <v>8.9003474722016748E-3</v>
      </c>
      <c r="O54" s="56">
        <v>2.7996640000000003E-3</v>
      </c>
    </row>
    <row r="55" spans="1:15" x14ac:dyDescent="0.3">
      <c r="A55" s="57">
        <f>PG!A55</f>
        <v>42580</v>
      </c>
      <c r="B55" s="42">
        <v>-1.0859262202180364E-2</v>
      </c>
      <c r="C55" s="42">
        <v>8.6235281122649443E-2</v>
      </c>
      <c r="D55" s="42">
        <v>1.859882621313691E-2</v>
      </c>
      <c r="E55" s="42">
        <f t="shared" si="0"/>
        <v>6.8155908470099993E-3</v>
      </c>
      <c r="F55" s="42">
        <f t="shared" si="8"/>
        <v>3.7688009460234539E-2</v>
      </c>
      <c r="G55" s="42">
        <f t="shared" si="1"/>
        <v>4.9035230922417551E-2</v>
      </c>
      <c r="H55" s="42" cm="1">
        <f t="array" ref="H55">((Third*$B55)+(Third*$C55)+(Third*$D55))</f>
        <v>3.1324948377868658E-2</v>
      </c>
      <c r="I55" s="42">
        <f t="shared" si="2"/>
        <v>2.0778895732856406E-2</v>
      </c>
      <c r="J55" s="42">
        <f t="shared" si="3"/>
        <v>4.5052531564063858E-2</v>
      </c>
      <c r="K55" s="42">
        <f t="shared" si="4"/>
        <v>2.8143417836685725E-2</v>
      </c>
      <c r="L55" s="42">
        <f t="shared" si="5"/>
        <v>2.918030835350769E-2</v>
      </c>
      <c r="M55" s="42">
        <f t="shared" si="6"/>
        <v>1.9470854021024706E-2</v>
      </c>
      <c r="N55" s="42">
        <f t="shared" si="7"/>
        <v>1.1505455304317326E-2</v>
      </c>
      <c r="O55" s="42">
        <v>3.8846079999999998E-2</v>
      </c>
    </row>
    <row r="56" spans="1:15" x14ac:dyDescent="0.3">
      <c r="A56" s="55">
        <f>PG!A56</f>
        <v>42551</v>
      </c>
      <c r="B56" s="56">
        <v>4.7797280597221548E-2</v>
      </c>
      <c r="C56" s="56">
        <v>-4.359640708825685E-2</v>
      </c>
      <c r="D56" s="56">
        <v>4.3818454790750749E-2</v>
      </c>
      <c r="E56" s="56">
        <f t="shared" si="0"/>
        <v>4.5409985113339067E-2</v>
      </c>
      <c r="F56" s="56">
        <f t="shared" si="8"/>
        <v>2.1004367544823488E-3</v>
      </c>
      <c r="G56" s="56">
        <f t="shared" si="1"/>
        <v>4.4817669451973317E-3</v>
      </c>
      <c r="H56" s="56" cm="1">
        <f t="array" ref="H56">((Third*$B56)+(Third*$C56)+(Third*$D56))</f>
        <v>1.6006442766571816E-2</v>
      </c>
      <c r="I56" s="56">
        <f t="shared" si="2"/>
        <v>2.3954152224234249E-2</v>
      </c>
      <c r="J56" s="56">
        <f t="shared" si="3"/>
        <v>1.1057303028646492E-3</v>
      </c>
      <c r="K56" s="56">
        <f t="shared" si="4"/>
        <v>2.2959445772616549E-2</v>
      </c>
      <c r="L56" s="56">
        <f t="shared" si="5"/>
        <v>2.6733364995596306E-2</v>
      </c>
      <c r="M56" s="56">
        <f t="shared" si="6"/>
        <v>3.5872733764144148E-2</v>
      </c>
      <c r="N56" s="56">
        <f t="shared" si="7"/>
        <v>2.912066047947879E-2</v>
      </c>
      <c r="O56" s="56">
        <v>2.926236E-3</v>
      </c>
    </row>
    <row r="57" spans="1:15" x14ac:dyDescent="0.3">
      <c r="A57" s="57">
        <f>PG!A57</f>
        <v>42521</v>
      </c>
      <c r="B57" s="42">
        <v>-1.7055200603855347E-2</v>
      </c>
      <c r="C57" s="42">
        <v>6.893600370574049E-2</v>
      </c>
      <c r="D57" s="42">
        <v>1.1417326159184782E-2</v>
      </c>
      <c r="E57" s="42">
        <f t="shared" si="0"/>
        <v>2.8315453968729906E-5</v>
      </c>
      <c r="F57" s="42">
        <f t="shared" si="8"/>
        <v>2.5940401550942571E-2</v>
      </c>
      <c r="G57" s="42">
        <f t="shared" si="1"/>
        <v>3.7300731055134852E-2</v>
      </c>
      <c r="H57" s="42" cm="1">
        <f t="array" ref="H57">((Third*$B57)+(Third*$C57)+(Third*$D57))</f>
        <v>2.1099376420356641E-2</v>
      </c>
      <c r="I57" s="42">
        <f t="shared" si="2"/>
        <v>1.1560732164303644E-2</v>
      </c>
      <c r="J57" s="42">
        <f t="shared" si="3"/>
        <v>3.3058533241702603E-2</v>
      </c>
      <c r="K57" s="42">
        <f t="shared" si="4"/>
        <v>1.8678863855063677E-2</v>
      </c>
      <c r="L57" s="42">
        <f t="shared" si="5"/>
        <v>2.0073808992191911E-2</v>
      </c>
      <c r="M57" s="42">
        <f t="shared" si="6"/>
        <v>1.1474688561232326E-2</v>
      </c>
      <c r="N57" s="42">
        <f t="shared" si="7"/>
        <v>2.9902929343678343E-3</v>
      </c>
      <c r="O57" s="42">
        <v>1.426884E-2</v>
      </c>
    </row>
    <row r="58" spans="1:15" x14ac:dyDescent="0.3">
      <c r="A58" s="55">
        <f>PG!A58</f>
        <v>42489</v>
      </c>
      <c r="B58" s="56">
        <v>-3.3261809469408821E-2</v>
      </c>
      <c r="C58" s="56">
        <v>-0.15073114559530643</v>
      </c>
      <c r="D58" s="56">
        <v>-1.8645536821597197E-2</v>
      </c>
      <c r="E58" s="56">
        <f t="shared" si="0"/>
        <v>-2.4492045880721847E-2</v>
      </c>
      <c r="F58" s="56">
        <f t="shared" si="8"/>
        <v>-9.1996477532357623E-2</v>
      </c>
      <c r="G58" s="56">
        <f t="shared" si="1"/>
        <v>-7.8084060769766345E-2</v>
      </c>
      <c r="H58" s="56" cm="1">
        <f t="array" ref="H58">((Third*$B58)+(Third*$C58)+(Third*$D58))</f>
        <v>-6.7546163962104139E-2</v>
      </c>
      <c r="I58" s="56">
        <f t="shared" si="2"/>
        <v>-5.8975075338930316E-2</v>
      </c>
      <c r="J58" s="56">
        <f t="shared" si="3"/>
        <v>-8.8342409370404718E-2</v>
      </c>
      <c r="K58" s="56">
        <f t="shared" si="4"/>
        <v>-5.532100717697741E-2</v>
      </c>
      <c r="L58" s="56">
        <f t="shared" si="5"/>
        <v>-4.6524285841120207E-2</v>
      </c>
      <c r="M58" s="56">
        <f t="shared" si="6"/>
        <v>-3.4777352228530442E-2</v>
      </c>
      <c r="N58" s="56">
        <f t="shared" si="7"/>
        <v>-5.5294049429807181E-2</v>
      </c>
      <c r="O58" s="56">
        <v>1.173658E-2</v>
      </c>
    </row>
    <row r="59" spans="1:15" x14ac:dyDescent="0.3">
      <c r="A59" s="57">
        <f>PG!A59</f>
        <v>42460</v>
      </c>
      <c r="B59" s="42">
        <v>8.7040023900366581E-2</v>
      </c>
      <c r="C59" s="42">
        <v>0.11974610555568921</v>
      </c>
      <c r="D59" s="42">
        <v>2.4847485724088791E-2</v>
      </c>
      <c r="E59" s="42">
        <f t="shared" si="0"/>
        <v>4.9724500994599907E-2</v>
      </c>
      <c r="F59" s="42">
        <f t="shared" si="8"/>
        <v>0.10339306472802789</v>
      </c>
      <c r="G59" s="42">
        <f t="shared" si="1"/>
        <v>6.7551864648308979E-2</v>
      </c>
      <c r="H59" s="42" cm="1">
        <f t="array" ref="H59">((Third*$B59)+(Third*$C59)+(Third*$D59))</f>
        <v>7.7211205060048194E-2</v>
      </c>
      <c r="I59" s="42">
        <f t="shared" si="2"/>
        <v>7.966840977012779E-2</v>
      </c>
      <c r="J59" s="42">
        <f t="shared" si="3"/>
        <v>8.7844930183958447E-2</v>
      </c>
      <c r="K59" s="42">
        <f t="shared" si="4"/>
        <v>6.4120275226058343E-2</v>
      </c>
      <c r="L59" s="42">
        <f t="shared" si="5"/>
        <v>5.0046463508036654E-2</v>
      </c>
      <c r="M59" s="42">
        <f t="shared" si="6"/>
        <v>4.6775855342504391E-2</v>
      </c>
      <c r="N59" s="42">
        <f t="shared" si="7"/>
        <v>8.7361986413803328E-2</v>
      </c>
      <c r="O59" s="42">
        <v>7.0581190000000002E-2</v>
      </c>
    </row>
    <row r="60" spans="1:15" x14ac:dyDescent="0.3">
      <c r="A60" s="55">
        <f>PG!A60</f>
        <v>42429</v>
      </c>
      <c r="B60" s="56">
        <v>9.2355372847543471E-3</v>
      </c>
      <c r="C60" s="56">
        <v>-1.336355031940073E-3</v>
      </c>
      <c r="D60" s="56">
        <v>-1.728653364065913E-2</v>
      </c>
      <c r="E60" s="56">
        <f t="shared" si="0"/>
        <v>-6.6777052704937393E-3</v>
      </c>
      <c r="F60" s="56">
        <f t="shared" si="8"/>
        <v>3.9495911264071371E-3</v>
      </c>
      <c r="G60" s="56">
        <f t="shared" si="1"/>
        <v>-1.0108953266735554E-2</v>
      </c>
      <c r="H60" s="56" cm="1">
        <f t="array" ref="H60">((Third*$B60)+(Third*$C60)+(Third*$D60))</f>
        <v>-3.1291171292816187E-3</v>
      </c>
      <c r="I60" s="56">
        <f t="shared" si="2"/>
        <v>-3.7953525772627117E-5</v>
      </c>
      <c r="J60" s="56">
        <f t="shared" si="3"/>
        <v>-2.6809266049462321E-3</v>
      </c>
      <c r="K60" s="56">
        <f t="shared" si="4"/>
        <v>-6.6684712571259963E-3</v>
      </c>
      <c r="L60" s="56">
        <f t="shared" si="5"/>
        <v>-1.144429082637397E-2</v>
      </c>
      <c r="M60" s="56">
        <f t="shared" si="6"/>
        <v>-1.0387101594704528E-2</v>
      </c>
      <c r="N60" s="56">
        <f t="shared" si="7"/>
        <v>4.4689517288741152E-3</v>
      </c>
      <c r="O60" s="56">
        <v>6.0439800000000002E-4</v>
      </c>
    </row>
    <row r="61" spans="1:15" x14ac:dyDescent="0.3">
      <c r="A61" s="57">
        <f>PG!A61</f>
        <v>42398</v>
      </c>
      <c r="B61" s="42">
        <v>-6.8076045700871113E-2</v>
      </c>
      <c r="C61" s="42">
        <v>-7.8223533436958093E-2</v>
      </c>
      <c r="D61" s="42">
        <v>3.6389349817033789E-2</v>
      </c>
      <c r="E61" s="42">
        <f t="shared" si="0"/>
        <v>-5.3968083901281723E-3</v>
      </c>
      <c r="F61" s="42">
        <f t="shared" si="8"/>
        <v>-7.3149789568914603E-2</v>
      </c>
      <c r="G61" s="42">
        <f t="shared" si="1"/>
        <v>-1.5186447647262555E-2</v>
      </c>
      <c r="H61" s="42" cm="1">
        <f t="array" ref="H61">((Third*$B61)+(Third*$C61)+(Third*$D61))</f>
        <v>-3.6636743106931803E-2</v>
      </c>
      <c r="I61" s="42">
        <f t="shared" si="2"/>
        <v>-4.4496568755416632E-2</v>
      </c>
      <c r="J61" s="42">
        <f t="shared" si="3"/>
        <v>-4.7033440689438377E-2</v>
      </c>
      <c r="K61" s="42">
        <f t="shared" si="4"/>
        <v>-1.8380219875940407E-2</v>
      </c>
      <c r="L61" s="42">
        <f t="shared" si="5"/>
        <v>3.0202336144449192E-3</v>
      </c>
      <c r="M61" s="42">
        <f t="shared" si="6"/>
        <v>4.0349823880536165E-3</v>
      </c>
      <c r="N61" s="42">
        <f t="shared" si="7"/>
        <v>-5.9659003696298021E-2</v>
      </c>
      <c r="O61" s="42">
        <v>-5.7180120000000001E-2</v>
      </c>
    </row>
    <row r="62" spans="1:15" x14ac:dyDescent="0.3">
      <c r="A62" s="55">
        <f>PG!A62</f>
        <v>42369</v>
      </c>
      <c r="B62" s="56">
        <v>4.6975338452309501E-2</v>
      </c>
      <c r="C62" s="56">
        <v>-0.11679029656067907</v>
      </c>
      <c r="D62" s="56">
        <v>5.9271898550221636E-2</v>
      </c>
      <c r="E62" s="56">
        <f t="shared" si="0"/>
        <v>5.4353274511056787E-2</v>
      </c>
      <c r="F62" s="56">
        <f t="shared" si="8"/>
        <v>-3.4907479054184787E-2</v>
      </c>
      <c r="G62" s="56">
        <f t="shared" si="1"/>
        <v>-1.9956089249683687E-2</v>
      </c>
      <c r="H62" s="56" cm="1">
        <f t="array" ref="H62">((Third*$B62)+(Third*$C62)+(Third*$D62))</f>
        <v>-3.5143531860493127E-3</v>
      </c>
      <c r="I62" s="56">
        <f t="shared" si="2"/>
        <v>9.1080697235403907E-3</v>
      </c>
      <c r="J62" s="56">
        <f t="shared" si="3"/>
        <v>-3.1833339029706753E-2</v>
      </c>
      <c r="K62" s="56">
        <f t="shared" si="4"/>
        <v>1.2182209748018424E-2</v>
      </c>
      <c r="L62" s="56">
        <f t="shared" si="5"/>
        <v>2.2829803518250279E-2</v>
      </c>
      <c r="M62" s="56">
        <f t="shared" si="6"/>
        <v>3.9206367019549139E-2</v>
      </c>
      <c r="N62" s="56">
        <f t="shared" si="7"/>
        <v>1.5451867459502992E-2</v>
      </c>
      <c r="O62" s="56">
        <v>-2.228842E-2</v>
      </c>
    </row>
    <row r="63" spans="1:15" x14ac:dyDescent="0.3">
      <c r="A63" s="57">
        <f>PG!A63</f>
        <v>42338</v>
      </c>
      <c r="B63" s="42">
        <v>3.4661996900410497E-2</v>
      </c>
      <c r="C63" s="42">
        <v>-5.7066029206214175E-3</v>
      </c>
      <c r="D63" s="42">
        <v>-2.0368393364556425E-2</v>
      </c>
      <c r="E63" s="42">
        <f t="shared" si="0"/>
        <v>1.6437627414303459E-3</v>
      </c>
      <c r="F63" s="42">
        <f t="shared" si="8"/>
        <v>1.447769698989454E-2</v>
      </c>
      <c r="G63" s="42">
        <f t="shared" si="1"/>
        <v>-1.3770587664785672E-2</v>
      </c>
      <c r="H63" s="42" cm="1">
        <f t="array" ref="H63">((Third*$B63)+(Third*$C63)+(Third*$D63))</f>
        <v>2.8623335384108843E-3</v>
      </c>
      <c r="I63" s="42">
        <f t="shared" si="2"/>
        <v>1.0812249378910788E-2</v>
      </c>
      <c r="J63" s="42">
        <f t="shared" si="3"/>
        <v>7.200994236528091E-4</v>
      </c>
      <c r="K63" s="42">
        <f t="shared" si="4"/>
        <v>-2.9453481873309428E-3</v>
      </c>
      <c r="L63" s="42">
        <f t="shared" si="5"/>
        <v>-1.193299624927273E-2</v>
      </c>
      <c r="M63" s="42">
        <f t="shared" si="6"/>
        <v>-7.896136267169538E-3</v>
      </c>
      <c r="N63" s="42">
        <f t="shared" si="7"/>
        <v>2.1085237909707417E-2</v>
      </c>
      <c r="O63" s="42">
        <v>2.4256760000000003E-3</v>
      </c>
    </row>
    <row r="64" spans="1:15" x14ac:dyDescent="0.3">
      <c r="A64" s="55">
        <f>PG!A64</f>
        <v>42307</v>
      </c>
      <c r="B64" s="56">
        <v>0.13689609661812385</v>
      </c>
      <c r="C64" s="56">
        <v>8.0112417444313966E-2</v>
      </c>
      <c r="D64" s="56">
        <v>6.8529901333849175E-2</v>
      </c>
      <c r="E64" s="56">
        <f t="shared" si="0"/>
        <v>9.5876379447559057E-2</v>
      </c>
      <c r="F64" s="56">
        <f t="shared" si="8"/>
        <v>0.10850425703121891</v>
      </c>
      <c r="G64" s="56">
        <f t="shared" si="1"/>
        <v>7.3742033583558325E-2</v>
      </c>
      <c r="H64" s="56" cm="1">
        <f t="array" ref="H64">((Third*$B64)+(Third*$C64)+(Third*$D64))</f>
        <v>9.5179471798762322E-2</v>
      </c>
      <c r="I64" s="56">
        <f t="shared" si="2"/>
        <v>0.10560862800360271</v>
      </c>
      <c r="J64" s="56">
        <f t="shared" si="3"/>
        <v>9.141270821015024E-2</v>
      </c>
      <c r="K64" s="56">
        <f t="shared" si="4"/>
        <v>8.8517079182534042E-2</v>
      </c>
      <c r="L64" s="56">
        <f t="shared" si="5"/>
        <v>7.7683024084369612E-2</v>
      </c>
      <c r="M64" s="56">
        <f t="shared" si="6"/>
        <v>8.3361392001750592E-2</v>
      </c>
      <c r="N64" s="56">
        <f t="shared" si="7"/>
        <v>0.11870274125493441</v>
      </c>
      <c r="O64" s="56">
        <v>7.403962E-2</v>
      </c>
    </row>
    <row r="65" spans="1:15" x14ac:dyDescent="0.3">
      <c r="A65" s="57">
        <f>PG!A65</f>
        <v>42277</v>
      </c>
      <c r="B65" s="42">
        <v>2.5065948699394269E-2</v>
      </c>
      <c r="C65" s="42">
        <v>-2.2057731263591673E-2</v>
      </c>
      <c r="D65" s="42">
        <v>1.7811343411344716E-2</v>
      </c>
      <c r="E65" s="42">
        <f t="shared" si="0"/>
        <v>2.0713185526564537E-2</v>
      </c>
      <c r="F65" s="42">
        <f t="shared" si="8"/>
        <v>1.504108717901298E-3</v>
      </c>
      <c r="G65" s="42">
        <f t="shared" si="1"/>
        <v>-1.2974019237665946E-4</v>
      </c>
      <c r="H65" s="42" cm="1">
        <f t="array" ref="H65">((Third*$B65)+(Third*$C65)+(Third*$D65))</f>
        <v>6.9398536157157693E-3</v>
      </c>
      <c r="I65" s="42">
        <f t="shared" si="2"/>
        <v>1.1471377386635395E-2</v>
      </c>
      <c r="J65" s="42">
        <f t="shared" si="3"/>
        <v>-3.0954260411109047E-4</v>
      </c>
      <c r="K65" s="42">
        <f t="shared" si="4"/>
        <v>9.6577260646230068E-3</v>
      </c>
      <c r="L65" s="42">
        <f t="shared" si="5"/>
        <v>1.0562989005162393E-2</v>
      </c>
      <c r="M65" s="42">
        <f t="shared" si="6"/>
        <v>1.5275357001460987E-2</v>
      </c>
      <c r="N65" s="42">
        <f t="shared" si="7"/>
        <v>1.4915752177992125E-2</v>
      </c>
      <c r="O65" s="42">
        <v>-3.3830579999999999E-2</v>
      </c>
    </row>
    <row r="66" spans="1:15" x14ac:dyDescent="0.3">
      <c r="A66" s="55">
        <f>PG!A66</f>
        <v>42247</v>
      </c>
      <c r="B66" s="56">
        <v>-5.0285561463443873E-2</v>
      </c>
      <c r="C66" s="56">
        <v>-6.8404192473764613E-2</v>
      </c>
      <c r="D66" s="56">
        <v>-8.188053979213894E-2</v>
      </c>
      <c r="E66" s="56">
        <f t="shared" si="0"/>
        <v>-6.9242548460660913E-2</v>
      </c>
      <c r="F66" s="56">
        <f t="shared" si="8"/>
        <v>-5.9344876968604243E-2</v>
      </c>
      <c r="G66" s="56">
        <f t="shared" si="1"/>
        <v>-7.5816183498870496E-2</v>
      </c>
      <c r="H66" s="56" cm="1">
        <f t="array" ref="H66">((Third*$B66)+(Third*$C66)+(Third*$D66))</f>
        <v>-6.6856764576449138E-2</v>
      </c>
      <c r="I66" s="56">
        <f t="shared" si="2"/>
        <v>-6.2713963798197825E-2</v>
      </c>
      <c r="J66" s="56">
        <f t="shared" si="3"/>
        <v>-6.724362155077801E-2</v>
      </c>
      <c r="K66" s="56">
        <f t="shared" si="4"/>
        <v>-7.0612708380371592E-2</v>
      </c>
      <c r="L66" s="56">
        <f t="shared" si="5"/>
        <v>-7.6025772495594557E-2</v>
      </c>
      <c r="M66" s="56">
        <f t="shared" si="6"/>
        <v>-7.4213909394562488E-2</v>
      </c>
      <c r="N66" s="56">
        <f t="shared" si="7"/>
        <v>-5.7068785498377517E-2</v>
      </c>
      <c r="O66" s="56">
        <v>-5.9979000000000005E-2</v>
      </c>
    </row>
    <row r="67" spans="1:15" x14ac:dyDescent="0.3">
      <c r="A67" s="57">
        <f>PG!A67</f>
        <v>42216</v>
      </c>
      <c r="B67" s="42">
        <v>-1.7847419341648685E-2</v>
      </c>
      <c r="C67" s="42">
        <v>-3.3441153592886241E-2</v>
      </c>
      <c r="D67" s="42">
        <v>-1.127370072921785E-2</v>
      </c>
      <c r="E67" s="42">
        <f t="shared" ref="E67:E97" si="9">((0.4*B67)+(0*C67)+(0.6*D67))</f>
        <v>-1.3903188174190183E-2</v>
      </c>
      <c r="F67" s="42">
        <f t="shared" si="8"/>
        <v>-2.5644286467267463E-2</v>
      </c>
      <c r="G67" s="42">
        <f t="shared" ref="G67:G97" si="10">((0*$B67)+(0.45*$C67)+(0.55*$D67))</f>
        <v>-2.1249054517868626E-2</v>
      </c>
      <c r="H67" s="42" cm="1">
        <f t="array" ref="H67">((Third*$B67)+(Third*$C67)+(Third*$D67))</f>
        <v>-2.0854091221250922E-2</v>
      </c>
      <c r="I67" s="42">
        <f t="shared" ref="I67:I97" si="11">((0.5*$B67)+(0.25*$C67)+(0.25*$D67))</f>
        <v>-2.0102423251350365E-2</v>
      </c>
      <c r="J67" s="42">
        <f t="shared" ref="J67:J97" si="12">((0.25*$B67)+(0.5*$C67)+(0.25*$D67))</f>
        <v>-2.4000856814159754E-2</v>
      </c>
      <c r="K67" s="42">
        <f t="shared" ref="K67:K97" si="13">((0.25*$B67)+(0.25*$C67)+(0.5*$D67))</f>
        <v>-1.8458993598242657E-2</v>
      </c>
      <c r="L67" s="42">
        <f t="shared" ref="L67:L97" si="14">((0.1*$B67)+(0.2*$C67)+(0.7*$D67))</f>
        <v>-1.6364563163194613E-2</v>
      </c>
      <c r="M67" s="42">
        <f t="shared" ref="M67:M97" si="15">((0.2*$B67)+(0.1*$C67)+(0.7*$D67))</f>
        <v>-1.4805189738070856E-2</v>
      </c>
      <c r="N67" s="42">
        <f t="shared" ref="N67:N97" si="16">((0.7*$B67)+(0.2*$C67)+(0.1*$D67))</f>
        <v>-2.0308794330653114E-2</v>
      </c>
      <c r="O67" s="42">
        <v>1.2063300000000001E-2</v>
      </c>
    </row>
    <row r="68" spans="1:15" x14ac:dyDescent="0.3">
      <c r="A68" s="55">
        <f>PG!A68</f>
        <v>42185</v>
      </c>
      <c r="B68" s="56">
        <v>-1.7385337358504671E-2</v>
      </c>
      <c r="C68" s="56">
        <v>-3.7977976336537544E-2</v>
      </c>
      <c r="D68" s="56">
        <v>-1.9153619915384112E-3</v>
      </c>
      <c r="E68" s="56">
        <f t="shared" si="9"/>
        <v>-8.1033521383249152E-3</v>
      </c>
      <c r="F68" s="56">
        <f t="shared" ref="F68:F97" si="17">((0.5*$B68)+(0.5*$C68)+(0*$D68))</f>
        <v>-2.7681656847521108E-2</v>
      </c>
      <c r="G68" s="56">
        <f t="shared" si="10"/>
        <v>-1.814353844678802E-2</v>
      </c>
      <c r="H68" s="56" cm="1">
        <f t="array" ref="H68">((Third*$B68)+(Third*$C68)+(Third*$D68))</f>
        <v>-1.9092891895526876E-2</v>
      </c>
      <c r="I68" s="56">
        <f t="shared" si="11"/>
        <v>-1.8666003261271324E-2</v>
      </c>
      <c r="J68" s="56">
        <f t="shared" si="12"/>
        <v>-2.3814163005779543E-2</v>
      </c>
      <c r="K68" s="56">
        <f t="shared" si="13"/>
        <v>-1.479850941952976E-2</v>
      </c>
      <c r="L68" s="56">
        <f t="shared" si="14"/>
        <v>-1.0674882397234865E-2</v>
      </c>
      <c r="M68" s="56">
        <f t="shared" si="15"/>
        <v>-8.6156184994315762E-3</v>
      </c>
      <c r="N68" s="56">
        <f t="shared" si="16"/>
        <v>-1.9956867617414619E-2</v>
      </c>
      <c r="O68" s="56">
        <v>-1.9272060000000001E-2</v>
      </c>
    </row>
    <row r="69" spans="1:15" x14ac:dyDescent="0.3">
      <c r="A69" s="57">
        <f>PG!A69</f>
        <v>42153</v>
      </c>
      <c r="B69" s="42">
        <v>6.9917684171234562E-3</v>
      </c>
      <c r="C69" s="42">
        <v>4.415639947450023E-2</v>
      </c>
      <c r="D69" s="42">
        <v>-1.4186466366294503E-2</v>
      </c>
      <c r="E69" s="42">
        <f t="shared" si="9"/>
        <v>-5.7151724529273182E-3</v>
      </c>
      <c r="F69" s="42">
        <f t="shared" si="17"/>
        <v>2.5574083945811843E-2</v>
      </c>
      <c r="G69" s="42">
        <f t="shared" si="10"/>
        <v>1.2067823262063126E-2</v>
      </c>
      <c r="H69" s="42" cm="1">
        <f t="array" ref="H69">((Third*$B69)+(Third*$C69)+(Third*$D69))</f>
        <v>1.2320567175109728E-2</v>
      </c>
      <c r="I69" s="42">
        <f t="shared" si="11"/>
        <v>1.098836748561316E-2</v>
      </c>
      <c r="J69" s="42">
        <f t="shared" si="12"/>
        <v>2.0279525249957353E-2</v>
      </c>
      <c r="K69" s="42">
        <f t="shared" si="13"/>
        <v>5.6938087897586698E-3</v>
      </c>
      <c r="L69" s="42">
        <f t="shared" si="14"/>
        <v>-4.0006971979376048E-4</v>
      </c>
      <c r="M69" s="42">
        <f t="shared" si="15"/>
        <v>-4.1165328255314366E-3</v>
      </c>
      <c r="N69" s="42">
        <f t="shared" si="16"/>
        <v>1.2306871150257016E-2</v>
      </c>
      <c r="O69" s="42">
        <v>1.0268910000000001E-2</v>
      </c>
    </row>
    <row r="70" spans="1:15" x14ac:dyDescent="0.3">
      <c r="A70" s="55">
        <f>PG!A70</f>
        <v>42124</v>
      </c>
      <c r="B70" s="56">
        <v>8.7548669048912231E-2</v>
      </c>
      <c r="C70" s="56">
        <v>5.7697188300536162E-3</v>
      </c>
      <c r="D70" s="56">
        <v>-2.1801723097371273E-2</v>
      </c>
      <c r="E70" s="56">
        <f t="shared" si="9"/>
        <v>2.1938433761142129E-2</v>
      </c>
      <c r="F70" s="56">
        <f t="shared" si="17"/>
        <v>4.6659193939482924E-2</v>
      </c>
      <c r="G70" s="56">
        <f t="shared" si="10"/>
        <v>-9.3945742300300741E-3</v>
      </c>
      <c r="H70" s="56" cm="1">
        <f t="array" ref="H70">((Third*$B70)+(Third*$C70)+(Third*$D70))</f>
        <v>2.3838888260531526E-2</v>
      </c>
      <c r="I70" s="56">
        <f t="shared" si="11"/>
        <v>3.9766333457626701E-2</v>
      </c>
      <c r="J70" s="56">
        <f t="shared" si="12"/>
        <v>1.9321595902912048E-2</v>
      </c>
      <c r="K70" s="56">
        <f t="shared" si="13"/>
        <v>1.2428735421055825E-2</v>
      </c>
      <c r="L70" s="56">
        <f t="shared" si="14"/>
        <v>-5.3523954972579443E-3</v>
      </c>
      <c r="M70" s="56">
        <f t="shared" si="15"/>
        <v>2.8254995246279179E-3</v>
      </c>
      <c r="N70" s="56">
        <f t="shared" si="16"/>
        <v>6.0257839790512156E-2</v>
      </c>
      <c r="O70" s="56">
        <v>8.7764100000000001E-3</v>
      </c>
    </row>
    <row r="71" spans="1:15" x14ac:dyDescent="0.3">
      <c r="A71" s="57">
        <f>PG!A71</f>
        <v>42094</v>
      </c>
      <c r="B71" s="42">
        <v>-4.6465063669056228E-2</v>
      </c>
      <c r="C71" s="42">
        <v>-3.1874312853777731E-2</v>
      </c>
      <c r="D71" s="42">
        <v>-3.8192165718806237E-2</v>
      </c>
      <c r="E71" s="42">
        <f t="shared" si="9"/>
        <v>-4.1501324898906233E-2</v>
      </c>
      <c r="F71" s="42">
        <f t="shared" si="17"/>
        <v>-3.9169688261416979E-2</v>
      </c>
      <c r="G71" s="42">
        <f t="shared" si="10"/>
        <v>-3.5349131929543413E-2</v>
      </c>
      <c r="H71" s="42" cm="1">
        <f t="array" ref="H71">((Third*$B71)+(Third*$C71)+(Third*$D71))</f>
        <v>-3.8843847413880063E-2</v>
      </c>
      <c r="I71" s="42">
        <f t="shared" si="11"/>
        <v>-4.0749151477674106E-2</v>
      </c>
      <c r="J71" s="42">
        <f t="shared" si="12"/>
        <v>-3.7101463773854482E-2</v>
      </c>
      <c r="K71" s="42">
        <f t="shared" si="13"/>
        <v>-3.8680926990111608E-2</v>
      </c>
      <c r="L71" s="42">
        <f t="shared" si="14"/>
        <v>-3.7755884940825532E-2</v>
      </c>
      <c r="M71" s="42">
        <f t="shared" si="15"/>
        <v>-3.9214960022353383E-2</v>
      </c>
      <c r="N71" s="42">
        <f t="shared" si="16"/>
        <v>-4.2719623710975534E-2</v>
      </c>
      <c r="O71" s="42">
        <v>-1.040959E-2</v>
      </c>
    </row>
    <row r="72" spans="1:15" x14ac:dyDescent="0.3">
      <c r="A72" s="55">
        <f>PG!A72</f>
        <v>42062</v>
      </c>
      <c r="B72" s="56">
        <v>9.30625339760911E-2</v>
      </c>
      <c r="C72" s="56">
        <v>9.5729120270370949E-2</v>
      </c>
      <c r="D72" s="56">
        <v>9.9162227615519072E-3</v>
      </c>
      <c r="E72" s="56">
        <f t="shared" si="9"/>
        <v>4.3174747247367591E-2</v>
      </c>
      <c r="F72" s="56">
        <f t="shared" si="17"/>
        <v>9.4395827123231024E-2</v>
      </c>
      <c r="G72" s="56">
        <f t="shared" si="10"/>
        <v>4.8532026640520476E-2</v>
      </c>
      <c r="H72" s="56" cm="1">
        <f t="array" ref="H72">((Third*$B72)+(Third*$C72)+(Third*$D72))</f>
        <v>6.6235959002671305E-2</v>
      </c>
      <c r="I72" s="56">
        <f t="shared" si="11"/>
        <v>7.2942602746026264E-2</v>
      </c>
      <c r="J72" s="56">
        <f t="shared" si="12"/>
        <v>7.3609249319596226E-2</v>
      </c>
      <c r="K72" s="56">
        <f t="shared" si="13"/>
        <v>5.2156024942391466E-2</v>
      </c>
      <c r="L72" s="56">
        <f t="shared" si="14"/>
        <v>3.5393433384769635E-2</v>
      </c>
      <c r="M72" s="56">
        <f t="shared" si="15"/>
        <v>3.512677475534165E-2</v>
      </c>
      <c r="N72" s="56">
        <f t="shared" si="16"/>
        <v>8.528122011349315E-2</v>
      </c>
      <c r="O72" s="56">
        <v>5.5999350000000003E-2</v>
      </c>
    </row>
    <row r="73" spans="1:15" x14ac:dyDescent="0.3">
      <c r="A73" s="57">
        <f>PG!A73</f>
        <v>42034</v>
      </c>
      <c r="B73" s="42">
        <v>-5.6158003725702788E-2</v>
      </c>
      <c r="C73" s="42">
        <v>5.9611620088480421E-2</v>
      </c>
      <c r="D73" s="42">
        <v>-6.9978203184500209E-2</v>
      </c>
      <c r="E73" s="42">
        <f t="shared" si="9"/>
        <v>-6.4450123400981246E-2</v>
      </c>
      <c r="F73" s="42">
        <f t="shared" si="17"/>
        <v>1.726808181388817E-3</v>
      </c>
      <c r="G73" s="42">
        <f t="shared" si="10"/>
        <v>-1.166278271165893E-2</v>
      </c>
      <c r="H73" s="42" cm="1">
        <f t="array" ref="H73">((Third*$B73)+(Third*$C73)+(Third*$D73))</f>
        <v>-2.2174862273907522E-2</v>
      </c>
      <c r="I73" s="42">
        <f t="shared" si="11"/>
        <v>-3.0670647636856341E-2</v>
      </c>
      <c r="J73" s="42">
        <f t="shared" si="12"/>
        <v>-1.7282416833105385E-3</v>
      </c>
      <c r="K73" s="42">
        <f t="shared" si="13"/>
        <v>-3.4125697501555696E-2</v>
      </c>
      <c r="L73" s="42">
        <f t="shared" si="14"/>
        <v>-4.2678218584024333E-2</v>
      </c>
      <c r="M73" s="42">
        <f t="shared" si="15"/>
        <v>-5.4255180965442656E-2</v>
      </c>
      <c r="N73" s="42">
        <f t="shared" si="16"/>
        <v>-3.4386098908745888E-2</v>
      </c>
      <c r="O73" s="42">
        <v>-2.7206939999999999E-2</v>
      </c>
    </row>
    <row r="74" spans="1:15" x14ac:dyDescent="0.3">
      <c r="A74" s="55">
        <f>PG!A74</f>
        <v>42004</v>
      </c>
      <c r="B74" s="56">
        <v>-3.8088824364149954E-2</v>
      </c>
      <c r="C74" s="56">
        <v>-7.4606154176779071E-2</v>
      </c>
      <c r="D74" s="56">
        <v>7.2719144264112856E-3</v>
      </c>
      <c r="E74" s="56">
        <f t="shared" si="9"/>
        <v>-1.0872381089813213E-2</v>
      </c>
      <c r="F74" s="56">
        <f t="shared" si="17"/>
        <v>-5.6347489270464513E-2</v>
      </c>
      <c r="G74" s="56">
        <f t="shared" si="10"/>
        <v>-2.9573216445024374E-2</v>
      </c>
      <c r="H74" s="56" cm="1">
        <f t="array" ref="H74">((Third*$B74)+(Third*$C74)+(Third*$D74))</f>
        <v>-3.5141021371505911E-2</v>
      </c>
      <c r="I74" s="56">
        <f t="shared" si="11"/>
        <v>-3.5877972119666923E-2</v>
      </c>
      <c r="J74" s="56">
        <f t="shared" si="12"/>
        <v>-4.5007304572824203E-2</v>
      </c>
      <c r="K74" s="56">
        <f t="shared" si="13"/>
        <v>-2.4537787422026613E-2</v>
      </c>
      <c r="L74" s="56">
        <f t="shared" si="14"/>
        <v>-1.363977317328291E-2</v>
      </c>
      <c r="M74" s="56">
        <f t="shared" si="15"/>
        <v>-9.9880401920199972E-3</v>
      </c>
      <c r="N74" s="56">
        <f t="shared" si="16"/>
        <v>-4.085621644761965E-2</v>
      </c>
      <c r="O74" s="56">
        <v>-3.6613360000000003E-3</v>
      </c>
    </row>
    <row r="75" spans="1:15" x14ac:dyDescent="0.3">
      <c r="A75" s="57">
        <f>PG!A75</f>
        <v>41971</v>
      </c>
      <c r="B75" s="42">
        <v>2.600530160503256E-2</v>
      </c>
      <c r="C75" s="42">
        <v>0.10034797638020887</v>
      </c>
      <c r="D75" s="42">
        <v>3.5569351417954032E-2</v>
      </c>
      <c r="E75" s="42">
        <f t="shared" si="9"/>
        <v>3.1743731492785442E-2</v>
      </c>
      <c r="F75" s="42">
        <f t="shared" si="17"/>
        <v>6.3176638992620715E-2</v>
      </c>
      <c r="G75" s="42">
        <f t="shared" si="10"/>
        <v>6.4719732650968712E-2</v>
      </c>
      <c r="H75" s="42" cm="1">
        <f t="array" ref="H75">((Third*$B75)+(Third*$C75)+(Third*$D75))</f>
        <v>5.3974209801065154E-2</v>
      </c>
      <c r="I75" s="42">
        <f t="shared" si="11"/>
        <v>4.6981982752057005E-2</v>
      </c>
      <c r="J75" s="42">
        <f t="shared" si="12"/>
        <v>6.5567651445851083E-2</v>
      </c>
      <c r="K75" s="42">
        <f t="shared" si="13"/>
        <v>4.9372995205287373E-2</v>
      </c>
      <c r="L75" s="42">
        <f t="shared" si="14"/>
        <v>4.7568671429112849E-2</v>
      </c>
      <c r="M75" s="42">
        <f t="shared" si="15"/>
        <v>4.0134403951595218E-2</v>
      </c>
      <c r="N75" s="42">
        <f t="shared" si="16"/>
        <v>4.1830241541359975E-2</v>
      </c>
      <c r="O75" s="42">
        <v>2.1114290000000001E-2</v>
      </c>
    </row>
    <row r="76" spans="1:15" x14ac:dyDescent="0.3">
      <c r="A76" s="55">
        <f>PG!A76</f>
        <v>41943</v>
      </c>
      <c r="B76" s="56">
        <v>7.3886638130837845E-3</v>
      </c>
      <c r="C76" s="56">
        <v>6.9489026297427259E-2</v>
      </c>
      <c r="D76" s="56">
        <v>4.863774058448822E-2</v>
      </c>
      <c r="E76" s="56">
        <f t="shared" si="9"/>
        <v>3.2138109875926441E-2</v>
      </c>
      <c r="F76" s="56">
        <f t="shared" si="17"/>
        <v>3.8438845055255522E-2</v>
      </c>
      <c r="G76" s="56">
        <f t="shared" si="10"/>
        <v>5.8020819155310793E-2</v>
      </c>
      <c r="H76" s="56" cm="1">
        <f t="array" ref="H76">((Third*$B76)+(Third*$C76)+(Third*$D76))</f>
        <v>4.1838476898333088E-2</v>
      </c>
      <c r="I76" s="56">
        <f t="shared" si="11"/>
        <v>3.3226023627020762E-2</v>
      </c>
      <c r="J76" s="56">
        <f t="shared" si="12"/>
        <v>4.8751114248106631E-2</v>
      </c>
      <c r="K76" s="56">
        <f t="shared" si="13"/>
        <v>4.3538292819871871E-2</v>
      </c>
      <c r="L76" s="56">
        <f t="shared" si="14"/>
        <v>4.8683090049935582E-2</v>
      </c>
      <c r="M76" s="56">
        <f t="shared" si="15"/>
        <v>4.2473053801501237E-2</v>
      </c>
      <c r="N76" s="56">
        <f t="shared" si="16"/>
        <v>2.3933643987092926E-2</v>
      </c>
      <c r="O76" s="56">
        <v>2.1171800000000001E-2</v>
      </c>
    </row>
    <row r="77" spans="1:15" x14ac:dyDescent="0.3">
      <c r="A77" s="57">
        <f>PG!A77</f>
        <v>41912</v>
      </c>
      <c r="B77" s="42">
        <v>-5.4032822762648536E-3</v>
      </c>
      <c r="C77" s="42">
        <v>-1.7220597751670397E-2</v>
      </c>
      <c r="D77" s="42">
        <v>7.5516961718866682E-3</v>
      </c>
      <c r="E77" s="42">
        <f t="shared" si="9"/>
        <v>2.3697047926260592E-3</v>
      </c>
      <c r="F77" s="42">
        <f t="shared" si="17"/>
        <v>-1.1311940013967625E-2</v>
      </c>
      <c r="G77" s="42">
        <f t="shared" si="10"/>
        <v>-3.5958360937140103E-3</v>
      </c>
      <c r="H77" s="42" cm="1">
        <f t="array" ref="H77">((Third*$B77)+(Third*$C77)+(Third*$D77))</f>
        <v>-5.0240612853495277E-3</v>
      </c>
      <c r="I77" s="42">
        <f t="shared" si="11"/>
        <v>-5.1188665330783589E-3</v>
      </c>
      <c r="J77" s="42">
        <f t="shared" si="12"/>
        <v>-8.0731954019297447E-3</v>
      </c>
      <c r="K77" s="42">
        <f t="shared" si="13"/>
        <v>-1.8801219210404785E-3</v>
      </c>
      <c r="L77" s="42">
        <f t="shared" si="14"/>
        <v>1.3017395423601027E-3</v>
      </c>
      <c r="M77" s="42">
        <f t="shared" si="15"/>
        <v>2.4834710899006565E-3</v>
      </c>
      <c r="N77" s="42">
        <f t="shared" si="16"/>
        <v>-6.4712475265308097E-3</v>
      </c>
      <c r="O77" s="42">
        <v>-2.520847E-2</v>
      </c>
    </row>
    <row r="78" spans="1:15" x14ac:dyDescent="0.3">
      <c r="A78" s="55">
        <f>PG!A78</f>
        <v>41880</v>
      </c>
      <c r="B78" s="56">
        <v>3.2469112244638776E-2</v>
      </c>
      <c r="C78" s="56">
        <v>7.4264879560803632E-2</v>
      </c>
      <c r="D78" s="56">
        <v>7.2212388515624504E-2</v>
      </c>
      <c r="E78" s="56">
        <f t="shared" si="9"/>
        <v>5.6315078007230214E-2</v>
      </c>
      <c r="F78" s="56">
        <f t="shared" si="17"/>
        <v>5.3366995902721204E-2</v>
      </c>
      <c r="G78" s="56">
        <f t="shared" si="10"/>
        <v>7.3136009485955111E-2</v>
      </c>
      <c r="H78" s="56" cm="1">
        <f t="array" ref="H78">((Third*$B78)+(Third*$C78)+(Third*$D78))</f>
        <v>5.9648793440355632E-2</v>
      </c>
      <c r="I78" s="56">
        <f t="shared" si="11"/>
        <v>5.2853873141426422E-2</v>
      </c>
      <c r="J78" s="56">
        <f t="shared" si="12"/>
        <v>6.3302814970467636E-2</v>
      </c>
      <c r="K78" s="56">
        <f t="shared" si="13"/>
        <v>6.2789692209172854E-2</v>
      </c>
      <c r="L78" s="56">
        <f t="shared" si="14"/>
        <v>6.8648559097561762E-2</v>
      </c>
      <c r="M78" s="56">
        <f t="shared" si="15"/>
        <v>6.4468982365945268E-2</v>
      </c>
      <c r="N78" s="56">
        <f t="shared" si="16"/>
        <v>4.4802593334970317E-2</v>
      </c>
      <c r="O78" s="56">
        <v>4.0226110000000002E-2</v>
      </c>
    </row>
    <row r="79" spans="1:15" x14ac:dyDescent="0.3">
      <c r="A79" s="57">
        <f>PG!A79</f>
        <v>41851</v>
      </c>
      <c r="B79" s="42">
        <v>-4.3950338366506969E-2</v>
      </c>
      <c r="C79" s="42">
        <v>2.8326279243099162E-2</v>
      </c>
      <c r="D79" s="42">
        <v>-8.0023712609804676E-3</v>
      </c>
      <c r="E79" s="42">
        <f t="shared" si="9"/>
        <v>-2.238155810319107E-2</v>
      </c>
      <c r="F79" s="42">
        <f t="shared" si="17"/>
        <v>-7.8120295617039037E-3</v>
      </c>
      <c r="G79" s="42">
        <f t="shared" si="10"/>
        <v>8.3455214658553663E-3</v>
      </c>
      <c r="H79" s="42" cm="1">
        <f t="array" ref="H79">((Third*$B79)+(Third*$C79)+(Third*$D79))</f>
        <v>-7.8754767947960911E-3</v>
      </c>
      <c r="I79" s="42">
        <f t="shared" si="11"/>
        <v>-1.6894192187723811E-2</v>
      </c>
      <c r="J79" s="42">
        <f t="shared" si="12"/>
        <v>1.1749622146777217E-3</v>
      </c>
      <c r="K79" s="42">
        <f t="shared" si="13"/>
        <v>-7.9072004113421857E-3</v>
      </c>
      <c r="L79" s="42">
        <f t="shared" si="14"/>
        <v>-4.3314378707171915E-3</v>
      </c>
      <c r="M79" s="42">
        <f t="shared" si="15"/>
        <v>-1.1559099631677805E-2</v>
      </c>
      <c r="N79" s="42">
        <f t="shared" si="16"/>
        <v>-2.5900218134033093E-2</v>
      </c>
      <c r="O79" s="42">
        <v>-2.0567539999999999E-2</v>
      </c>
    </row>
    <row r="80" spans="1:15" x14ac:dyDescent="0.3">
      <c r="A80" s="55">
        <f>PG!A80</f>
        <v>41820</v>
      </c>
      <c r="B80" s="56">
        <v>-1.0883958872393684E-2</v>
      </c>
      <c r="C80" s="56">
        <v>2.7286251764316649E-2</v>
      </c>
      <c r="D80" s="56">
        <v>-2.7608788543371787E-2</v>
      </c>
      <c r="E80" s="56">
        <f t="shared" si="9"/>
        <v>-2.0918856674980547E-2</v>
      </c>
      <c r="F80" s="56">
        <f t="shared" si="17"/>
        <v>8.2011464459614825E-3</v>
      </c>
      <c r="G80" s="56">
        <f t="shared" si="10"/>
        <v>-2.9060204049119916E-3</v>
      </c>
      <c r="H80" s="56" cm="1">
        <f t="array" ref="H80">((Third*$B80)+(Third*$C80)+(Third*$D80))</f>
        <v>-3.7354985504829408E-3</v>
      </c>
      <c r="I80" s="56">
        <f t="shared" si="11"/>
        <v>-5.5226136309606266E-3</v>
      </c>
      <c r="J80" s="56">
        <f t="shared" si="12"/>
        <v>4.0199390282169567E-3</v>
      </c>
      <c r="K80" s="56">
        <f t="shared" si="13"/>
        <v>-9.7038210487051524E-3</v>
      </c>
      <c r="L80" s="56">
        <f t="shared" si="14"/>
        <v>-1.495729751473629E-2</v>
      </c>
      <c r="M80" s="56">
        <f t="shared" si="15"/>
        <v>-1.8774318578407324E-2</v>
      </c>
      <c r="N80" s="56">
        <f t="shared" si="16"/>
        <v>-4.9223997121494271E-3</v>
      </c>
      <c r="O80" s="56">
        <v>2.799051E-2</v>
      </c>
    </row>
    <row r="81" spans="1:15" x14ac:dyDescent="0.3">
      <c r="A81" s="57">
        <f>PG!A81</f>
        <v>41789</v>
      </c>
      <c r="B81" s="42">
        <v>-3.7257298519497439E-3</v>
      </c>
      <c r="C81" s="42">
        <v>7.5379321047956971E-2</v>
      </c>
      <c r="D81" s="42">
        <v>-2.1551000510931395E-2</v>
      </c>
      <c r="E81" s="42">
        <f t="shared" si="9"/>
        <v>-1.4420892247338734E-2</v>
      </c>
      <c r="F81" s="42">
        <f t="shared" si="17"/>
        <v>3.5826795598003613E-2</v>
      </c>
      <c r="G81" s="42">
        <f t="shared" si="10"/>
        <v>2.2067644190568371E-2</v>
      </c>
      <c r="H81" s="42" cm="1">
        <f t="array" ref="H81">((Third*$B81)+(Third*$C81)+(Third*$D81))</f>
        <v>1.6700863561691943E-2</v>
      </c>
      <c r="I81" s="42">
        <f t="shared" si="11"/>
        <v>1.1594215208281522E-2</v>
      </c>
      <c r="J81" s="42">
        <f t="shared" si="12"/>
        <v>3.1370477933258201E-2</v>
      </c>
      <c r="K81" s="42">
        <f t="shared" si="13"/>
        <v>7.1378975435361092E-3</v>
      </c>
      <c r="L81" s="42">
        <f t="shared" si="14"/>
        <v>-3.8240913325555612E-4</v>
      </c>
      <c r="M81" s="42">
        <f t="shared" si="15"/>
        <v>-8.292914223246229E-3</v>
      </c>
      <c r="N81" s="42">
        <f t="shared" si="16"/>
        <v>1.0312753262133434E-2</v>
      </c>
      <c r="O81" s="42">
        <v>2.026027E-2</v>
      </c>
    </row>
    <row r="82" spans="1:15" x14ac:dyDescent="0.3">
      <c r="A82" s="55">
        <f>PG!A82</f>
        <v>41759</v>
      </c>
      <c r="B82" s="56">
        <v>3.7897677394039597E-2</v>
      </c>
      <c r="C82" s="56">
        <v>9.4761325406449881E-2</v>
      </c>
      <c r="D82" s="56">
        <v>3.1671827737127067E-2</v>
      </c>
      <c r="E82" s="56">
        <f t="shared" si="9"/>
        <v>3.4162167599892081E-2</v>
      </c>
      <c r="F82" s="56">
        <f t="shared" si="17"/>
        <v>6.6329501400244739E-2</v>
      </c>
      <c r="G82" s="56">
        <f t="shared" si="10"/>
        <v>6.0062101688322336E-2</v>
      </c>
      <c r="H82" s="56" cm="1">
        <f t="array" ref="H82">((Third*$B82)+(Third*$C82)+(Third*$D82))</f>
        <v>5.4776943512538846E-2</v>
      </c>
      <c r="I82" s="56">
        <f t="shared" si="11"/>
        <v>5.0557126982914036E-2</v>
      </c>
      <c r="J82" s="56">
        <f t="shared" si="12"/>
        <v>6.4773038986016607E-2</v>
      </c>
      <c r="K82" s="56">
        <f t="shared" si="13"/>
        <v>4.9000664568685903E-2</v>
      </c>
      <c r="L82" s="56">
        <f t="shared" si="14"/>
        <v>4.4912312236682884E-2</v>
      </c>
      <c r="M82" s="56">
        <f t="shared" si="15"/>
        <v>3.9225947435441853E-2</v>
      </c>
      <c r="N82" s="56">
        <f t="shared" si="16"/>
        <v>4.8647822030830401E-2</v>
      </c>
      <c r="O82" s="56">
        <v>1.5691170000000001E-3</v>
      </c>
    </row>
    <row r="83" spans="1:15" x14ac:dyDescent="0.3">
      <c r="A83" s="57">
        <f>PG!A83</f>
        <v>41729</v>
      </c>
      <c r="B83" s="42">
        <v>1.6355508156272514E-2</v>
      </c>
      <c r="C83" s="42">
        <v>1.9756423860205263E-2</v>
      </c>
      <c r="D83" s="42">
        <v>2.4363817021236578E-2</v>
      </c>
      <c r="E83" s="42">
        <f t="shared" si="9"/>
        <v>2.1160493475250952E-2</v>
      </c>
      <c r="F83" s="42">
        <f t="shared" si="17"/>
        <v>1.8055966008238888E-2</v>
      </c>
      <c r="G83" s="42">
        <f t="shared" si="10"/>
        <v>2.2290490098772486E-2</v>
      </c>
      <c r="H83" s="42" cm="1">
        <f t="array" ref="H83">((Third*$B83)+(Third*$C83)+(Third*$D83))</f>
        <v>2.0158583012571452E-2</v>
      </c>
      <c r="I83" s="42">
        <f t="shared" si="11"/>
        <v>1.9207814298496717E-2</v>
      </c>
      <c r="J83" s="42">
        <f t="shared" si="12"/>
        <v>2.0058043224479905E-2</v>
      </c>
      <c r="K83" s="42">
        <f t="shared" si="13"/>
        <v>2.1209891514737733E-2</v>
      </c>
      <c r="L83" s="42">
        <f t="shared" si="14"/>
        <v>2.2641507502533909E-2</v>
      </c>
      <c r="M83" s="42">
        <f t="shared" si="15"/>
        <v>2.2301415932140634E-2</v>
      </c>
      <c r="N83" s="42">
        <f t="shared" si="16"/>
        <v>1.783652218355547E-2</v>
      </c>
      <c r="O83" s="42">
        <v>4.5441450000000003E-3</v>
      </c>
    </row>
    <row r="84" spans="1:15" x14ac:dyDescent="0.3">
      <c r="A84" s="55">
        <f>PG!A84</f>
        <v>41698</v>
      </c>
      <c r="B84" s="56">
        <v>2.2039466187442791E-2</v>
      </c>
      <c r="C84" s="56">
        <v>5.5729076077495776E-2</v>
      </c>
      <c r="D84" s="56">
        <v>2.6276638440540623E-2</v>
      </c>
      <c r="E84" s="56">
        <f t="shared" si="9"/>
        <v>2.4581769539301489E-2</v>
      </c>
      <c r="F84" s="56">
        <f t="shared" si="17"/>
        <v>3.8884271132469284E-2</v>
      </c>
      <c r="G84" s="56">
        <f t="shared" si="10"/>
        <v>3.9530235377170445E-2</v>
      </c>
      <c r="H84" s="56" cm="1">
        <f t="array" ref="H84">((Third*$B84)+(Third*$C84)+(Third*$D84))</f>
        <v>3.4681726901826394E-2</v>
      </c>
      <c r="I84" s="56">
        <f t="shared" si="11"/>
        <v>3.1521161723230495E-2</v>
      </c>
      <c r="J84" s="56">
        <f t="shared" si="12"/>
        <v>3.9943564195743742E-2</v>
      </c>
      <c r="K84" s="56">
        <f t="shared" si="13"/>
        <v>3.2580454786504953E-2</v>
      </c>
      <c r="L84" s="56">
        <f t="shared" si="14"/>
        <v>3.1743408742621868E-2</v>
      </c>
      <c r="M84" s="56">
        <f t="shared" si="15"/>
        <v>2.8374447753616572E-2</v>
      </c>
      <c r="N84" s="56">
        <f t="shared" si="16"/>
        <v>2.9201105390763173E-2</v>
      </c>
      <c r="O84" s="56">
        <v>4.6225469999999998E-2</v>
      </c>
    </row>
    <row r="85" spans="1:15" x14ac:dyDescent="0.3">
      <c r="A85" s="57">
        <f>PG!A85</f>
        <v>41670</v>
      </c>
      <c r="B85" s="42">
        <v>-0.10921307151368165</v>
      </c>
      <c r="C85" s="42">
        <v>-0.11394919913486046</v>
      </c>
      <c r="D85" s="42">
        <v>-5.2820209662255202E-2</v>
      </c>
      <c r="E85" s="42">
        <f t="shared" si="9"/>
        <v>-7.537735440282578E-2</v>
      </c>
      <c r="F85" s="42">
        <f t="shared" si="17"/>
        <v>-0.11158113532427105</v>
      </c>
      <c r="G85" s="42">
        <f t="shared" si="10"/>
        <v>-8.0328254924927567E-2</v>
      </c>
      <c r="H85" s="42" cm="1">
        <f t="array" ref="H85">((Third*$B85)+(Third*$C85)+(Third*$D85))</f>
        <v>-9.1994160103599093E-2</v>
      </c>
      <c r="I85" s="42">
        <f t="shared" si="11"/>
        <v>-9.6298887956119739E-2</v>
      </c>
      <c r="J85" s="42">
        <f t="shared" si="12"/>
        <v>-9.7482919861414441E-2</v>
      </c>
      <c r="K85" s="42">
        <f t="shared" si="13"/>
        <v>-8.2200672493263127E-2</v>
      </c>
      <c r="L85" s="42">
        <f t="shared" si="14"/>
        <v>-7.0685293741918898E-2</v>
      </c>
      <c r="M85" s="42">
        <f t="shared" si="15"/>
        <v>-7.0211680979801017E-2</v>
      </c>
      <c r="N85" s="42">
        <f t="shared" si="16"/>
        <v>-0.10452101085277475</v>
      </c>
      <c r="O85" s="42">
        <v>-3.0046730000000001E-2</v>
      </c>
    </row>
    <row r="86" spans="1:15" x14ac:dyDescent="0.3">
      <c r="A86" s="55">
        <f>PG!A86</f>
        <v>41639</v>
      </c>
      <c r="B86" s="56">
        <v>5.7929172829201292E-2</v>
      </c>
      <c r="C86" s="56">
        <v>8.8623915470291692E-3</v>
      </c>
      <c r="D86" s="56">
        <v>-3.3934276658582618E-2</v>
      </c>
      <c r="E86" s="56">
        <f t="shared" si="9"/>
        <v>2.8111031365309486E-3</v>
      </c>
      <c r="F86" s="56">
        <f t="shared" si="17"/>
        <v>3.3395782188115231E-2</v>
      </c>
      <c r="G86" s="56">
        <f t="shared" si="10"/>
        <v>-1.4675775966057313E-2</v>
      </c>
      <c r="H86" s="56" cm="1">
        <f t="array" ref="H86">((Third*$B86)+(Third*$C86)+(Third*$D86))</f>
        <v>1.0952429239215949E-2</v>
      </c>
      <c r="I86" s="56">
        <f t="shared" si="11"/>
        <v>2.2696615136712284E-2</v>
      </c>
      <c r="J86" s="56">
        <f t="shared" si="12"/>
        <v>1.0429919816169253E-2</v>
      </c>
      <c r="K86" s="56">
        <f t="shared" si="13"/>
        <v>-2.6924723523369387E-4</v>
      </c>
      <c r="L86" s="56">
        <f t="shared" si="14"/>
        <v>-1.6188598068681871E-2</v>
      </c>
      <c r="M86" s="56">
        <f t="shared" si="15"/>
        <v>-1.1281919940464655E-2</v>
      </c>
      <c r="N86" s="56">
        <f t="shared" si="16"/>
        <v>3.8929471623988472E-2</v>
      </c>
      <c r="O86" s="56">
        <v>2.615955E-2</v>
      </c>
    </row>
    <row r="87" spans="1:15" x14ac:dyDescent="0.3">
      <c r="A87" s="57">
        <f>PG!A87</f>
        <v>41607</v>
      </c>
      <c r="B87" s="42">
        <v>1.9697624180343265E-2</v>
      </c>
      <c r="C87" s="42">
        <v>6.7352569740978474E-2</v>
      </c>
      <c r="D87" s="42">
        <v>4.2074475125234656E-2</v>
      </c>
      <c r="E87" s="42">
        <f t="shared" si="9"/>
        <v>3.3123734747278102E-2</v>
      </c>
      <c r="F87" s="42">
        <f t="shared" si="17"/>
        <v>4.352509696066087E-2</v>
      </c>
      <c r="G87" s="42">
        <f t="shared" si="10"/>
        <v>5.3449617702319374E-2</v>
      </c>
      <c r="H87" s="42" cm="1">
        <f t="array" ref="H87">((Third*$B87)+(Third*$C87)+(Third*$D87))</f>
        <v>4.3041556348852129E-2</v>
      </c>
      <c r="I87" s="42">
        <f t="shared" si="11"/>
        <v>3.7205573306724915E-2</v>
      </c>
      <c r="J87" s="42">
        <f t="shared" si="12"/>
        <v>4.9119309696883717E-2</v>
      </c>
      <c r="K87" s="42">
        <f t="shared" si="13"/>
        <v>4.2799786042947763E-2</v>
      </c>
      <c r="L87" s="42">
        <f t="shared" si="14"/>
        <v>4.4892408953894278E-2</v>
      </c>
      <c r="M87" s="42">
        <f t="shared" si="15"/>
        <v>4.0126914397830754E-2</v>
      </c>
      <c r="N87" s="42">
        <f t="shared" si="16"/>
        <v>3.1466298386959447E-2</v>
      </c>
      <c r="O87" s="42">
        <v>2.4972850000000001E-2</v>
      </c>
    </row>
    <row r="88" spans="1:15" x14ac:dyDescent="0.3">
      <c r="A88" s="55">
        <f>PG!A88</f>
        <v>41578</v>
      </c>
      <c r="B88" s="56">
        <v>9.0006749057436775E-2</v>
      </c>
      <c r="C88" s="56">
        <v>9.2019317961629987E-2</v>
      </c>
      <c r="D88" s="56">
        <v>7.3455321171819854E-2</v>
      </c>
      <c r="E88" s="56">
        <f t="shared" si="9"/>
        <v>8.0075892326066628E-2</v>
      </c>
      <c r="F88" s="56">
        <f t="shared" si="17"/>
        <v>9.1013033509533381E-2</v>
      </c>
      <c r="G88" s="56">
        <f t="shared" si="10"/>
        <v>8.1809119727234425E-2</v>
      </c>
      <c r="H88" s="56" cm="1">
        <f t="array" ref="H88">((Third*$B88)+(Third*$C88)+(Third*$D88))</f>
        <v>8.5160462730295539E-2</v>
      </c>
      <c r="I88" s="56">
        <f t="shared" si="11"/>
        <v>8.6372034312080848E-2</v>
      </c>
      <c r="J88" s="56">
        <f t="shared" si="12"/>
        <v>8.6875176538129151E-2</v>
      </c>
      <c r="K88" s="56">
        <f t="shared" si="13"/>
        <v>8.2234177340676617E-2</v>
      </c>
      <c r="L88" s="56">
        <f t="shared" si="14"/>
        <v>7.8823263318343578E-2</v>
      </c>
      <c r="M88" s="56">
        <f t="shared" si="15"/>
        <v>7.8622006427924246E-2</v>
      </c>
      <c r="N88" s="56">
        <f t="shared" si="16"/>
        <v>8.8754120049713725E-2</v>
      </c>
      <c r="O88" s="56">
        <v>3.990784E-2</v>
      </c>
    </row>
    <row r="89" spans="1:15" x14ac:dyDescent="0.3">
      <c r="A89" s="57">
        <f>PG!A89</f>
        <v>41547</v>
      </c>
      <c r="B89" s="42">
        <v>3.9818899605724933E-2</v>
      </c>
      <c r="C89" s="42">
        <v>-2.1715319113714937E-2</v>
      </c>
      <c r="D89" s="42">
        <v>-2.9973616238710754E-2</v>
      </c>
      <c r="E89" s="42">
        <f t="shared" si="9"/>
        <v>-2.0566099009364756E-3</v>
      </c>
      <c r="F89" s="42">
        <f t="shared" si="17"/>
        <v>9.0517902460049982E-3</v>
      </c>
      <c r="G89" s="42">
        <f t="shared" si="10"/>
        <v>-2.6257382532462639E-2</v>
      </c>
      <c r="H89" s="42" cm="1">
        <f t="array" ref="H89">((Third*$B89)+(Third*$C89)+(Third*$D89))</f>
        <v>-3.9566785822335859E-3</v>
      </c>
      <c r="I89" s="42">
        <f t="shared" si="11"/>
        <v>6.9872159647560439E-3</v>
      </c>
      <c r="J89" s="42">
        <f t="shared" si="12"/>
        <v>-8.3963387151039237E-3</v>
      </c>
      <c r="K89" s="42">
        <f t="shared" si="13"/>
        <v>-1.0460912996352878E-2</v>
      </c>
      <c r="L89" s="42">
        <f t="shared" si="14"/>
        <v>-2.1342705229268021E-2</v>
      </c>
      <c r="M89" s="42">
        <f t="shared" si="15"/>
        <v>-1.5189283357324033E-2</v>
      </c>
      <c r="N89" s="42">
        <f t="shared" si="16"/>
        <v>2.0532804277393388E-2</v>
      </c>
      <c r="O89" s="42">
        <v>3.7513930000000001E-2</v>
      </c>
    </row>
    <row r="90" spans="1:15" x14ac:dyDescent="0.3">
      <c r="A90" s="55">
        <f>PG!A90</f>
        <v>41516</v>
      </c>
      <c r="B90" s="56">
        <v>-5.1790206685208062E-2</v>
      </c>
      <c r="C90" s="56">
        <v>8.0094051240918951E-2</v>
      </c>
      <c r="D90" s="56">
        <v>-3.0472091861384776E-2</v>
      </c>
      <c r="E90" s="56">
        <f t="shared" si="9"/>
        <v>-3.8999337790914093E-2</v>
      </c>
      <c r="F90" s="56">
        <f t="shared" si="17"/>
        <v>1.4151922277855444E-2</v>
      </c>
      <c r="G90" s="56">
        <f t="shared" si="10"/>
        <v>1.9282672534651903E-2</v>
      </c>
      <c r="H90" s="56" cm="1">
        <f t="array" ref="H90">((Third*$B90)+(Third*$C90)+(Third*$D90))</f>
        <v>-7.2274910189129571E-4</v>
      </c>
      <c r="I90" s="56">
        <f t="shared" si="11"/>
        <v>-1.3489613497720487E-2</v>
      </c>
      <c r="J90" s="56">
        <f t="shared" si="12"/>
        <v>1.9481450983811266E-2</v>
      </c>
      <c r="K90" s="56">
        <f t="shared" si="13"/>
        <v>-8.1600847917646657E-3</v>
      </c>
      <c r="L90" s="56">
        <f t="shared" si="14"/>
        <v>-1.0490674723306358E-2</v>
      </c>
      <c r="M90" s="56">
        <f t="shared" si="15"/>
        <v>-2.3679100515919059E-2</v>
      </c>
      <c r="N90" s="56">
        <f t="shared" si="16"/>
        <v>-2.3281543617600327E-2</v>
      </c>
      <c r="O90" s="56">
        <v>-2.5760680000000001E-2</v>
      </c>
    </row>
    <row r="91" spans="1:15" x14ac:dyDescent="0.3">
      <c r="A91" s="57">
        <f>PG!A91</f>
        <v>41486</v>
      </c>
      <c r="B91" s="42">
        <v>4.9631727777174728E-2</v>
      </c>
      <c r="C91" s="42">
        <v>0.13210235941029014</v>
      </c>
      <c r="D91" s="42">
        <v>4.9556887168110464E-2</v>
      </c>
      <c r="E91" s="42">
        <f t="shared" si="9"/>
        <v>4.9586823411736168E-2</v>
      </c>
      <c r="F91" s="42">
        <f t="shared" si="17"/>
        <v>9.0867043593732433E-2</v>
      </c>
      <c r="G91" s="42">
        <f t="shared" si="10"/>
        <v>8.6702349677091325E-2</v>
      </c>
      <c r="H91" s="42" cm="1">
        <f t="array" ref="H91">((Third*$B91)+(Third*$C91)+(Third*$D91))</f>
        <v>7.7096991451858443E-2</v>
      </c>
      <c r="I91" s="42">
        <f t="shared" si="11"/>
        <v>7.0230675533187514E-2</v>
      </c>
      <c r="J91" s="42">
        <f t="shared" si="12"/>
        <v>9.0848333441466367E-2</v>
      </c>
      <c r="K91" s="42">
        <f t="shared" si="13"/>
        <v>7.0211965380921448E-2</v>
      </c>
      <c r="L91" s="42">
        <f t="shared" si="14"/>
        <v>6.6073465677452814E-2</v>
      </c>
      <c r="M91" s="42">
        <f t="shared" si="15"/>
        <v>5.7826402514141284E-2</v>
      </c>
      <c r="N91" s="42">
        <f t="shared" si="16"/>
        <v>6.6118370042891381E-2</v>
      </c>
      <c r="O91" s="42">
        <v>5.2689720000000002E-2</v>
      </c>
    </row>
    <row r="92" spans="1:15" x14ac:dyDescent="0.3">
      <c r="A92" s="55">
        <f>PG!A92</f>
        <v>41453</v>
      </c>
      <c r="B92" s="56">
        <v>2.5696303885935912E-3</v>
      </c>
      <c r="C92" s="56">
        <v>-0.12590679066396016</v>
      </c>
      <c r="D92" s="56">
        <v>2.9918165736075863E-3</v>
      </c>
      <c r="E92" s="56">
        <f t="shared" si="9"/>
        <v>2.8229420996019883E-3</v>
      </c>
      <c r="F92" s="56">
        <f t="shared" si="17"/>
        <v>-6.1668580137683282E-2</v>
      </c>
      <c r="G92" s="56">
        <f t="shared" si="10"/>
        <v>-5.5012556683297902E-2</v>
      </c>
      <c r="H92" s="56" cm="1">
        <f t="array" ref="H92">((Third*$B92)+(Third*$C92)+(Third*$D92))</f>
        <v>-4.0115114567252988E-2</v>
      </c>
      <c r="I92" s="56">
        <f t="shared" si="11"/>
        <v>-2.9443928328291347E-2</v>
      </c>
      <c r="J92" s="56">
        <f t="shared" si="12"/>
        <v>-6.1563033591429783E-2</v>
      </c>
      <c r="K92" s="56">
        <f t="shared" si="13"/>
        <v>-2.9338381782037848E-2</v>
      </c>
      <c r="L92" s="56">
        <f t="shared" si="14"/>
        <v>-2.2830123492407362E-2</v>
      </c>
      <c r="M92" s="56">
        <f t="shared" si="15"/>
        <v>-9.9824813871519872E-3</v>
      </c>
      <c r="N92" s="56">
        <f t="shared" si="16"/>
        <v>-2.3083435203415759E-2</v>
      </c>
      <c r="O92" s="56">
        <v>-1.5071280000000001E-2</v>
      </c>
    </row>
    <row r="93" spans="1:15" x14ac:dyDescent="0.3">
      <c r="A93" s="57">
        <f>PG!A93</f>
        <v>41425</v>
      </c>
      <c r="B93" s="42">
        <v>4.5173159924618567E-2</v>
      </c>
      <c r="C93" s="42">
        <v>2.234433673542835E-2</v>
      </c>
      <c r="D93" s="42">
        <v>-1.3019614315812333E-4</v>
      </c>
      <c r="E93" s="42">
        <f t="shared" si="9"/>
        <v>1.7991146283952552E-2</v>
      </c>
      <c r="F93" s="42">
        <f t="shared" si="17"/>
        <v>3.3758748330023458E-2</v>
      </c>
      <c r="G93" s="42">
        <f t="shared" si="10"/>
        <v>9.9833436522057898E-3</v>
      </c>
      <c r="H93" s="42" cm="1">
        <f t="array" ref="H93">((Third*$B93)+(Third*$C93)+(Third*$D93))</f>
        <v>2.2462433505629598E-2</v>
      </c>
      <c r="I93" s="42">
        <f t="shared" si="11"/>
        <v>2.814011511037684E-2</v>
      </c>
      <c r="J93" s="42">
        <f t="shared" si="12"/>
        <v>2.2432909313079286E-2</v>
      </c>
      <c r="K93" s="42">
        <f t="shared" si="13"/>
        <v>1.6814276093432667E-2</v>
      </c>
      <c r="L93" s="42">
        <f t="shared" si="14"/>
        <v>8.8950460393368413E-3</v>
      </c>
      <c r="M93" s="42">
        <f t="shared" si="15"/>
        <v>1.1177928358255863E-2</v>
      </c>
      <c r="N93" s="42">
        <f t="shared" si="16"/>
        <v>3.6077059680002854E-2</v>
      </c>
      <c r="O93" s="42">
        <v>1.9154819999999999E-2</v>
      </c>
    </row>
    <row r="94" spans="1:15" x14ac:dyDescent="0.3">
      <c r="A94" s="55">
        <f>PG!A94</f>
        <v>41394</v>
      </c>
      <c r="B94" s="56">
        <v>-3.6559891631965158E-2</v>
      </c>
      <c r="C94" s="56">
        <v>2.7104065231142727E-4</v>
      </c>
      <c r="D94" s="56">
        <v>4.0341445029001832E-3</v>
      </c>
      <c r="E94" s="56">
        <f t="shared" si="9"/>
        <v>-1.2203469951045954E-2</v>
      </c>
      <c r="F94" s="56">
        <f t="shared" si="17"/>
        <v>-1.8144425489826865E-2</v>
      </c>
      <c r="G94" s="56">
        <f t="shared" si="10"/>
        <v>2.3407477701352431E-3</v>
      </c>
      <c r="H94" s="56" cm="1">
        <f t="array" ref="H94">((Third*$B94)+(Third*$C94)+(Third*$D94))</f>
        <v>-1.0751568825584515E-2</v>
      </c>
      <c r="I94" s="56">
        <f t="shared" si="11"/>
        <v>-1.7203649527179676E-2</v>
      </c>
      <c r="J94" s="56">
        <f t="shared" si="12"/>
        <v>-7.99591645611053E-3</v>
      </c>
      <c r="K94" s="56">
        <f t="shared" si="13"/>
        <v>-7.055140493463341E-3</v>
      </c>
      <c r="L94" s="56">
        <f t="shared" si="14"/>
        <v>-7.7787988070410208E-4</v>
      </c>
      <c r="M94" s="56">
        <f t="shared" si="15"/>
        <v>-4.4609731091317609E-3</v>
      </c>
      <c r="N94" s="56">
        <f t="shared" si="16"/>
        <v>-2.5134301561623305E-2</v>
      </c>
      <c r="O94" s="56">
        <v>1.494209E-2</v>
      </c>
    </row>
    <row r="95" spans="1:15" x14ac:dyDescent="0.3">
      <c r="A95" s="57">
        <f>PG!A95</f>
        <v>41361</v>
      </c>
      <c r="B95" s="42">
        <v>-4.315866595250295E-3</v>
      </c>
      <c r="C95" s="42">
        <v>2.8505092918544861E-3</v>
      </c>
      <c r="D95" s="42">
        <v>1.1485342459683245E-2</v>
      </c>
      <c r="E95" s="42">
        <f t="shared" si="9"/>
        <v>5.1648588377098291E-3</v>
      </c>
      <c r="F95" s="42">
        <f t="shared" si="17"/>
        <v>-7.3267865169790447E-4</v>
      </c>
      <c r="G95" s="42">
        <f t="shared" si="10"/>
        <v>7.5996675341603037E-3</v>
      </c>
      <c r="H95" s="42" cm="1">
        <f t="array" ref="H95">((Third*$B95)+(Third*$C95)+(Third*$D95))</f>
        <v>3.3399950520958122E-3</v>
      </c>
      <c r="I95" s="42">
        <f t="shared" si="11"/>
        <v>1.4260296402592854E-3</v>
      </c>
      <c r="J95" s="42">
        <f t="shared" si="12"/>
        <v>3.2176236120354806E-3</v>
      </c>
      <c r="K95" s="42">
        <f t="shared" si="13"/>
        <v>5.3763319039926705E-3</v>
      </c>
      <c r="L95" s="42">
        <f t="shared" si="14"/>
        <v>8.1782549206241388E-3</v>
      </c>
      <c r="M95" s="42">
        <f t="shared" si="15"/>
        <v>7.4616173319136609E-3</v>
      </c>
      <c r="N95" s="42">
        <f t="shared" si="16"/>
        <v>-1.3024705123359846E-3</v>
      </c>
      <c r="O95" s="42">
        <v>3.5319990000000002E-2</v>
      </c>
    </row>
    <row r="96" spans="1:15" x14ac:dyDescent="0.3">
      <c r="A96" s="55">
        <f>PG!A96</f>
        <v>41333</v>
      </c>
      <c r="B96" s="56">
        <v>4.9473806191682623E-2</v>
      </c>
      <c r="C96" s="56">
        <v>-2.5436585948210855E-2</v>
      </c>
      <c r="D96" s="56">
        <v>1.3479741786997401E-2</v>
      </c>
      <c r="E96" s="56">
        <f t="shared" si="9"/>
        <v>2.787736754887149E-2</v>
      </c>
      <c r="F96" s="56">
        <f t="shared" si="17"/>
        <v>1.2018610121735884E-2</v>
      </c>
      <c r="G96" s="56">
        <f t="shared" si="10"/>
        <v>-4.0326056938463136E-3</v>
      </c>
      <c r="H96" s="56" cm="1">
        <f t="array" ref="H96">((Third*$B96)+(Third*$C96)+(Third*$D96))</f>
        <v>1.2505654010156388E-2</v>
      </c>
      <c r="I96" s="56">
        <f t="shared" si="11"/>
        <v>2.1747692055537948E-2</v>
      </c>
      <c r="J96" s="56">
        <f t="shared" si="12"/>
        <v>3.0200940205645788E-3</v>
      </c>
      <c r="K96" s="56">
        <f t="shared" si="13"/>
        <v>1.2749175954366643E-2</v>
      </c>
      <c r="L96" s="56">
        <f t="shared" si="14"/>
        <v>9.2958826804242726E-3</v>
      </c>
      <c r="M96" s="56">
        <f t="shared" si="15"/>
        <v>1.6786921894413623E-2</v>
      </c>
      <c r="N96" s="56">
        <f t="shared" si="16"/>
        <v>3.0892321323235401E-2</v>
      </c>
      <c r="O96" s="56">
        <v>8.2843470000000009E-3</v>
      </c>
    </row>
    <row r="97" spans="1:15" ht="15" thickBot="1" x14ac:dyDescent="0.35">
      <c r="A97" s="58">
        <f>PG!A97</f>
        <v>41305</v>
      </c>
      <c r="B97" s="46">
        <v>5.9643322949787247E-2</v>
      </c>
      <c r="C97" s="46">
        <v>-0.1555947190903133</v>
      </c>
      <c r="D97" s="46">
        <v>0.1091800478239362</v>
      </c>
      <c r="E97" s="46">
        <f t="shared" si="9"/>
        <v>8.9365357874276616E-2</v>
      </c>
      <c r="F97" s="46">
        <f t="shared" si="17"/>
        <v>-4.7975698070263029E-2</v>
      </c>
      <c r="G97" s="46">
        <f t="shared" si="10"/>
        <v>-9.9685972874760803E-3</v>
      </c>
      <c r="H97" s="46" cm="1">
        <f t="array" ref="H97">((Third*$B97)+(Third*$C97)+(Third*$D97))</f>
        <v>4.4095505611367047E-3</v>
      </c>
      <c r="I97" s="46">
        <f t="shared" si="11"/>
        <v>1.8217993658299347E-2</v>
      </c>
      <c r="J97" s="46">
        <f t="shared" si="12"/>
        <v>-3.5591516851725791E-2</v>
      </c>
      <c r="K97" s="46">
        <f t="shared" si="13"/>
        <v>3.0602174876836585E-2</v>
      </c>
      <c r="L97" s="46">
        <f t="shared" si="14"/>
        <v>5.1271421953671396E-2</v>
      </c>
      <c r="M97" s="46">
        <f t="shared" si="15"/>
        <v>7.2795226157681456E-2</v>
      </c>
      <c r="N97" s="46">
        <f t="shared" si="16"/>
        <v>2.1549387029182031E-2</v>
      </c>
      <c r="O97" s="46">
        <v>5.4189170000000002E-2</v>
      </c>
    </row>
    <row r="98" spans="1:15" x14ac:dyDescent="0.3">
      <c r="A98" s="65" t="s">
        <v>16</v>
      </c>
      <c r="B98" s="65">
        <f>AVERAGE(GEReturns)</f>
        <v>-4.4179528880669769E-3</v>
      </c>
      <c r="C98" s="65">
        <f>AVERAGE(AAPLReturns)</f>
        <v>2.1663459642414704E-2</v>
      </c>
      <c r="D98" s="65">
        <f>AVERAGE(PGReturns)</f>
        <v>1.0007993392523395E-2</v>
      </c>
      <c r="E98" s="65">
        <f>AVERAGE(P1Returns)</f>
        <v>4.2376148802872457E-3</v>
      </c>
      <c r="F98" s="65">
        <f>AVERAGE(P2Returns)</f>
        <v>8.6227533771738637E-3</v>
      </c>
      <c r="G98" s="65">
        <f>AVERAGE(P3Returns)</f>
        <v>1.5252953204974487E-2</v>
      </c>
      <c r="H98" s="65">
        <f>AVERAGE(P4Returns)</f>
        <v>9.0845000489570369E-3</v>
      </c>
      <c r="I98" s="65">
        <f>AVERAGE(P5Returns)</f>
        <v>5.7088868147010365E-3</v>
      </c>
      <c r="J98" s="65">
        <f>AVERAGE(P6Returns)</f>
        <v>1.2229239947321459E-2</v>
      </c>
      <c r="K98" s="65">
        <f>AVERAGE(P7Returns)</f>
        <v>9.3153733848486287E-3</v>
      </c>
      <c r="L98" s="65">
        <f>AVERAGE(P8Returns)</f>
        <v>1.0896492014442614E-2</v>
      </c>
      <c r="M98" s="65">
        <f>AVERAGE(P9Returns)</f>
        <v>8.2883507613944508E-3</v>
      </c>
      <c r="N98" s="65">
        <f>AVERAGE(P10Returns)</f>
        <v>2.2409242460883993E-3</v>
      </c>
      <c r="O98" s="65">
        <f>AVERAGE(IndexReturns)</f>
        <v>1.1664872968749997E-2</v>
      </c>
    </row>
    <row r="99" spans="1:15" x14ac:dyDescent="0.3">
      <c r="A99" s="41" t="s">
        <v>34</v>
      </c>
      <c r="B99" s="65">
        <f>_xlfn.STDEV.P(GEReturns)</f>
        <v>9.260522739130303E-2</v>
      </c>
      <c r="C99" s="65">
        <f>_xlfn.STDEV.P(AAPLReturns)</f>
        <v>8.029428092036546E-2</v>
      </c>
      <c r="D99" s="65">
        <f>_xlfn.STDEV.P(PGReturns)</f>
        <v>4.1048251662833359E-2</v>
      </c>
      <c r="E99" s="65">
        <f>_xlfn.STDEV.P(P1Returns)</f>
        <v>4.764994061175358E-2</v>
      </c>
      <c r="F99" s="65">
        <f>_xlfn.STDEV.P(P2Returns)</f>
        <v>6.9099533504631591E-2</v>
      </c>
      <c r="G99" s="65">
        <f>_xlfn.STDEV.P(P3Returns)</f>
        <v>4.7742598074170105E-2</v>
      </c>
      <c r="H99" s="65">
        <f>_xlfn.STDEV.P(P4Returns)</f>
        <v>5.1505126404458236E-2</v>
      </c>
      <c r="I99" s="65">
        <f>_xlfn.STDEV.P(P5Returns)</f>
        <v>5.8573759889682803E-2</v>
      </c>
      <c r="J99" s="65">
        <f>_xlfn.STDEV.P(P6Returns)</f>
        <v>5.5434513462339415E-2</v>
      </c>
      <c r="K99" s="65">
        <f>_xlfn.STDEV.P(P7Returns)</f>
        <v>4.4735989869612934E-2</v>
      </c>
      <c r="L99" s="65">
        <f>_xlfn.STDEV.P(P8Returns)</f>
        <v>3.9980389315093463E-2</v>
      </c>
      <c r="M99" s="65">
        <f>_xlfn.STDEV.P(P9Returns)</f>
        <v>4.0201236496774158E-2</v>
      </c>
      <c r="N99" s="65">
        <f>_xlfn.STDEV.P(P10Returns)</f>
        <v>7.1903482684922776E-2</v>
      </c>
      <c r="O99" s="65">
        <f>_xlfn.STDEV.P(IndexReturns)</f>
        <v>4.0305268213052706E-2</v>
      </c>
    </row>
    <row r="100" spans="1:15" ht="15" thickBot="1" x14ac:dyDescent="0.35">
      <c r="A100" s="41" t="s">
        <v>90</v>
      </c>
      <c r="B100" s="66">
        <f>ReturnData!B98</f>
        <v>1.1108222270639252</v>
      </c>
      <c r="C100" s="66">
        <f>ReturnData!C98</f>
        <v>1.1346773407904327</v>
      </c>
      <c r="D100" s="66">
        <f>ReturnData!D98</f>
        <v>0.44092885332449422</v>
      </c>
      <c r="E100" s="66">
        <f>(0.4*$B$100+0*$C$100+0.6*$D$100)</f>
        <v>0.7088862028202666</v>
      </c>
      <c r="F100" s="66">
        <f>(0.5*$B$100+0.5*$C$100+0*$D$100)</f>
        <v>1.1227497839271789</v>
      </c>
      <c r="G100" s="66">
        <f>(0*$B$100+0.45*$C$100+0.55*$D$100)</f>
        <v>0.75311567268416657</v>
      </c>
      <c r="H100" s="66" cm="1">
        <f t="array" ref="H100">(Third*$B$100+Third*$C$100+Third*$D$100)</f>
        <v>0.89547614039295076</v>
      </c>
      <c r="I100" s="66">
        <f>(0.5*$B$100+0.25*$C$100+0.25*$D$100)</f>
        <v>0.94931266206069431</v>
      </c>
      <c r="J100" s="66">
        <f>(0.25*$B$100+0.5*$C$100+0.25*$D$100)</f>
        <v>0.95527644049232119</v>
      </c>
      <c r="K100" s="66">
        <f>(0.25*$B$100+0.25*$C$100+0.5*$D$100)</f>
        <v>0.78183931862583655</v>
      </c>
      <c r="L100" s="66">
        <f>(0.1*$B$100+0.2*$C$100+0.7*$D$100)</f>
        <v>0.64666788819162502</v>
      </c>
      <c r="M100" s="66">
        <f>(0.2*$B$100+0.1*$C$100+0.7*$D$100)</f>
        <v>0.64428237681897427</v>
      </c>
      <c r="N100" s="66">
        <f>(0.7*$B$100+0.2*$C$100+0.1*$D$100)</f>
        <v>1.0486039124352835</v>
      </c>
      <c r="O100" s="66">
        <v>1</v>
      </c>
    </row>
    <row r="101" spans="1:15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4735-4E69-4114-A5E3-A167370F5887}">
  <dimension ref="A1:S172"/>
  <sheetViews>
    <sheetView zoomScale="90" zoomScaleNormal="90" workbookViewId="0">
      <selection activeCell="H2" sqref="H2"/>
    </sheetView>
  </sheetViews>
  <sheetFormatPr defaultRowHeight="14.4" x14ac:dyDescent="0.3"/>
  <cols>
    <col min="1" max="1" width="13.6640625" bestFit="1" customWidth="1"/>
    <col min="5" max="5" width="16.44140625" bestFit="1" customWidth="1"/>
    <col min="6" max="6" width="10.6640625" customWidth="1"/>
    <col min="7" max="7" width="21.33203125" bestFit="1" customWidth="1"/>
    <col min="8" max="8" width="12" bestFit="1" customWidth="1"/>
    <col min="9" max="9" width="9.5546875" customWidth="1"/>
    <col min="11" max="11" width="11.77734375" customWidth="1"/>
    <col min="19" max="19" width="6.44140625" bestFit="1" customWidth="1"/>
  </cols>
  <sheetData>
    <row r="1" spans="1:9" x14ac:dyDescent="0.3">
      <c r="A1" s="98" t="s">
        <v>35</v>
      </c>
      <c r="B1" s="98" t="s">
        <v>36</v>
      </c>
      <c r="C1" s="98" t="s">
        <v>37</v>
      </c>
    </row>
    <row r="2" spans="1:9" x14ac:dyDescent="0.3">
      <c r="A2" s="77" t="s">
        <v>11</v>
      </c>
      <c r="B2" s="45">
        <f>_xlfn.STDEV.P(GEReturns)</f>
        <v>9.260522739130303E-2</v>
      </c>
      <c r="C2" s="45">
        <f>AVERAGE(GEReturns)</f>
        <v>-4.4179528880669769E-3</v>
      </c>
      <c r="F2" s="13" t="s">
        <v>57</v>
      </c>
      <c r="H2" s="13" t="s">
        <v>51</v>
      </c>
    </row>
    <row r="3" spans="1:9" x14ac:dyDescent="0.3">
      <c r="A3" s="78" t="s">
        <v>12</v>
      </c>
      <c r="B3" s="45">
        <f>_xlfn.STDEV.P(AAPLReturns)</f>
        <v>8.029428092036546E-2</v>
      </c>
      <c r="C3" s="45">
        <f>AVERAGE(AAPLReturns)</f>
        <v>2.1663459642414704E-2</v>
      </c>
      <c r="E3" t="str">
        <f>A2</f>
        <v>GE</v>
      </c>
      <c r="F3" s="7">
        <v>-0.27362390502026857</v>
      </c>
      <c r="H3" t="s">
        <v>49</v>
      </c>
      <c r="I3" s="3" cm="1">
        <f t="array" ref="I3">SUM(PFReturns*PFWeights)</f>
        <v>2.0080993101706374E-2</v>
      </c>
    </row>
    <row r="4" spans="1:9" x14ac:dyDescent="0.3">
      <c r="A4" s="79" t="s">
        <v>13</v>
      </c>
      <c r="B4" s="45">
        <f>_xlfn.STDEV.P(PGReturns)</f>
        <v>4.1048251662833359E-2</v>
      </c>
      <c r="C4" s="45">
        <f>AVERAGE(PGReturns)</f>
        <v>1.0007993392523395E-2</v>
      </c>
      <c r="E4" t="str">
        <f>A3</f>
        <v>AAPL</v>
      </c>
      <c r="F4" s="7">
        <v>0.52556593651235084</v>
      </c>
      <c r="H4" t="s">
        <v>34</v>
      </c>
      <c r="I4" s="3">
        <f>SQRT(I5)</f>
        <v>5.7166136320151911E-2</v>
      </c>
    </row>
    <row r="5" spans="1:9" x14ac:dyDescent="0.3">
      <c r="A5" s="80" t="s">
        <v>24</v>
      </c>
      <c r="B5" s="45">
        <f>_xlfn.STDEV.P(P1Returns)</f>
        <v>4.764994061175358E-2</v>
      </c>
      <c r="C5" s="45">
        <f>AVERAGE(P1Returns)</f>
        <v>4.2376148802872457E-3</v>
      </c>
      <c r="E5" t="str">
        <f>A4</f>
        <v>PG</v>
      </c>
      <c r="F5" s="7">
        <v>0.74805796043067396</v>
      </c>
      <c r="H5" t="s">
        <v>46</v>
      </c>
      <c r="I5" cm="1">
        <f t="array" ref="I5">MMULT(MMULT(TRANSPOSE(PFWeights),CovarianceMatrix),PFWeights)</f>
        <v>3.2679671417741914E-3</v>
      </c>
    </row>
    <row r="6" spans="1:9" x14ac:dyDescent="0.3">
      <c r="A6" s="80" t="s">
        <v>25</v>
      </c>
      <c r="B6" s="45">
        <f>_xlfn.STDEV.P(P2Returns)</f>
        <v>6.9099533504631591E-2</v>
      </c>
      <c r="C6" s="45">
        <f>AVERAGE(P2Returns)</f>
        <v>8.6227533771738637E-3</v>
      </c>
      <c r="E6" t="s">
        <v>45</v>
      </c>
      <c r="F6" s="7">
        <f>SUM(F3:F5)</f>
        <v>0.99999999192275624</v>
      </c>
    </row>
    <row r="7" spans="1:9" x14ac:dyDescent="0.3">
      <c r="A7" s="80" t="s">
        <v>26</v>
      </c>
      <c r="B7" s="45">
        <f>_xlfn.STDEV.P(P3Returns)</f>
        <v>4.7742598074170105E-2</v>
      </c>
      <c r="C7" s="45">
        <f>AVERAGE(P3Returns)</f>
        <v>1.5252953204974487E-2</v>
      </c>
      <c r="H7" t="s">
        <v>38</v>
      </c>
      <c r="I7" s="4">
        <v>5.0000000000000001E-4</v>
      </c>
    </row>
    <row r="8" spans="1:9" x14ac:dyDescent="0.3">
      <c r="A8" s="80" t="s">
        <v>27</v>
      </c>
      <c r="B8" s="45">
        <f>_xlfn.STDEV.P(P4Returns)</f>
        <v>5.1505126404458236E-2</v>
      </c>
      <c r="C8" s="45">
        <f>AVERAGE(P4Returns)</f>
        <v>9.0845000489570369E-3</v>
      </c>
      <c r="H8" t="s">
        <v>50</v>
      </c>
      <c r="I8" s="18">
        <f>(I3-I7)/I4</f>
        <v>0.34252783836999989</v>
      </c>
    </row>
    <row r="9" spans="1:9" x14ac:dyDescent="0.3">
      <c r="A9" s="80" t="s">
        <v>28</v>
      </c>
      <c r="B9" s="45">
        <f>_xlfn.STDEV.P(P5Returns)</f>
        <v>5.8573759889682803E-2</v>
      </c>
      <c r="C9" s="45">
        <f>AVERAGE(P5Returns)</f>
        <v>5.7088868147010365E-3</v>
      </c>
    </row>
    <row r="10" spans="1:9" ht="15" thickBot="1" x14ac:dyDescent="0.35">
      <c r="A10" s="80" t="s">
        <v>29</v>
      </c>
      <c r="B10" s="45">
        <f>_xlfn.STDEV.P(P6Returns)</f>
        <v>5.5434513462339415E-2</v>
      </c>
      <c r="C10" s="45">
        <f>AVERAGE(P6Returns)</f>
        <v>1.2229239947321459E-2</v>
      </c>
      <c r="E10" t="s">
        <v>47</v>
      </c>
    </row>
    <row r="11" spans="1:9" x14ac:dyDescent="0.3">
      <c r="A11" s="80" t="s">
        <v>30</v>
      </c>
      <c r="B11" s="45">
        <f>_xlfn.STDEV.P(P7Returns)</f>
        <v>4.4735989869612934E-2</v>
      </c>
      <c r="C11" s="45">
        <f>AVERAGE(P7Returns)</f>
        <v>9.3153733848486287E-3</v>
      </c>
      <c r="E11" s="16"/>
      <c r="F11" s="17" t="s">
        <v>23</v>
      </c>
      <c r="G11" s="17" t="s">
        <v>22</v>
      </c>
      <c r="H11" s="17" t="s">
        <v>21</v>
      </c>
    </row>
    <row r="12" spans="1:9" x14ac:dyDescent="0.3">
      <c r="A12" s="80" t="s">
        <v>31</v>
      </c>
      <c r="B12" s="45">
        <f>_xlfn.STDEV.P(P8Returns)</f>
        <v>3.9980389315093463E-2</v>
      </c>
      <c r="C12" s="45">
        <f>AVERAGE(P8Returns)</f>
        <v>1.0896492014442614E-2</v>
      </c>
      <c r="E12" s="14" t="s">
        <v>23</v>
      </c>
      <c r="F12" s="14">
        <v>8.5757281401949419E-3</v>
      </c>
      <c r="G12">
        <v>2.0380412167586618E-3</v>
      </c>
      <c r="H12">
        <v>6.0794814713613203E-4</v>
      </c>
    </row>
    <row r="13" spans="1:9" x14ac:dyDescent="0.3">
      <c r="A13" s="80" t="s">
        <v>32</v>
      </c>
      <c r="B13" s="45">
        <f>_xlfn.STDEV.P(P9Returns)</f>
        <v>4.0201236496774158E-2</v>
      </c>
      <c r="C13" s="45">
        <f>AVERAGE(P9Returns)</f>
        <v>8.2883507613944508E-3</v>
      </c>
      <c r="E13" s="14" t="s">
        <v>22</v>
      </c>
      <c r="F13" s="14">
        <v>2.0380412167586618E-3</v>
      </c>
      <c r="G13">
        <v>6.4471715485185654E-3</v>
      </c>
      <c r="H13">
        <v>9.3758251618729967E-4</v>
      </c>
    </row>
    <row r="14" spans="1:9" ht="15" thickBot="1" x14ac:dyDescent="0.35">
      <c r="A14" s="80" t="s">
        <v>33</v>
      </c>
      <c r="B14" s="45">
        <f>_xlfn.STDEV.P(P10Returns)</f>
        <v>7.1903482684922776E-2</v>
      </c>
      <c r="C14" s="45">
        <f>AVERAGE(P10Returns)</f>
        <v>2.2409242460883993E-3</v>
      </c>
      <c r="E14" s="15" t="s">
        <v>21</v>
      </c>
      <c r="F14" s="15">
        <v>6.0794814713613203E-4</v>
      </c>
      <c r="G14" s="15">
        <v>9.3758251618729967E-4</v>
      </c>
      <c r="H14" s="15">
        <f>VARP('Portfolio Returns'!$D$2:$D$97)</f>
        <v>1.6849589645753016E-3</v>
      </c>
    </row>
    <row r="15" spans="1:9" x14ac:dyDescent="0.3">
      <c r="A15" s="99" t="s">
        <v>14</v>
      </c>
      <c r="B15" s="45">
        <f>_xlfn.STDEV.P(IndexReturns)</f>
        <v>4.0305268213052706E-2</v>
      </c>
      <c r="C15" s="45">
        <f>AVERAGE(IndexReturns)</f>
        <v>1.1664872968749997E-2</v>
      </c>
      <c r="F15" s="3"/>
      <c r="G15" s="3"/>
      <c r="H15" s="6"/>
    </row>
    <row r="16" spans="1:9" x14ac:dyDescent="0.3">
      <c r="E16" s="13" t="s">
        <v>53</v>
      </c>
    </row>
    <row r="17" spans="5:9" x14ac:dyDescent="0.3">
      <c r="F17" t="s">
        <v>44</v>
      </c>
      <c r="H17" t="s">
        <v>48</v>
      </c>
    </row>
    <row r="18" spans="5:9" x14ac:dyDescent="0.3">
      <c r="E18" t="s">
        <v>11</v>
      </c>
      <c r="F18" s="7">
        <v>-0.36414696387159168</v>
      </c>
      <c r="H18" t="s">
        <v>49</v>
      </c>
      <c r="I18" s="3">
        <v>2.2637180313879124E-2</v>
      </c>
    </row>
    <row r="19" spans="5:9" x14ac:dyDescent="0.3">
      <c r="E19" t="s">
        <v>12</v>
      </c>
      <c r="F19" s="7">
        <v>0.63283803703488273</v>
      </c>
      <c r="H19" t="s">
        <v>34</v>
      </c>
      <c r="I19" s="3">
        <v>6.5000041226387237E-2</v>
      </c>
    </row>
    <row r="20" spans="5:9" x14ac:dyDescent="0.3">
      <c r="E20" t="s">
        <v>13</v>
      </c>
      <c r="F20" s="7">
        <v>0.73130892683636128</v>
      </c>
      <c r="H20" t="s">
        <v>46</v>
      </c>
      <c r="I20">
        <v>4.2250053594320401E-3</v>
      </c>
    </row>
    <row r="21" spans="5:9" x14ac:dyDescent="0.3">
      <c r="F21" s="2"/>
    </row>
    <row r="23" spans="5:9" x14ac:dyDescent="0.3">
      <c r="E23" s="13" t="s">
        <v>54</v>
      </c>
    </row>
    <row r="24" spans="5:9" x14ac:dyDescent="0.3">
      <c r="F24" t="s">
        <v>44</v>
      </c>
      <c r="H24" t="s">
        <v>48</v>
      </c>
    </row>
    <row r="25" spans="5:9" x14ac:dyDescent="0.3">
      <c r="E25" t="s">
        <v>11</v>
      </c>
      <c r="F25" s="3">
        <v>-0.4189337346767017</v>
      </c>
      <c r="H25" t="s">
        <v>49</v>
      </c>
      <c r="I25" s="3">
        <v>2.4173258081090932E-2</v>
      </c>
    </row>
    <row r="26" spans="5:9" x14ac:dyDescent="0.3">
      <c r="E26" t="s">
        <v>12</v>
      </c>
      <c r="F26" s="3">
        <v>0.6968188970745508</v>
      </c>
      <c r="H26" t="s">
        <v>34</v>
      </c>
      <c r="I26" s="3">
        <v>7.0000016767182469E-2</v>
      </c>
    </row>
    <row r="27" spans="5:9" x14ac:dyDescent="0.3">
      <c r="E27" t="s">
        <v>13</v>
      </c>
      <c r="F27" s="3">
        <v>0.72211483758770501</v>
      </c>
      <c r="H27" t="s">
        <v>46</v>
      </c>
      <c r="I27">
        <v>4.9000023474058269E-3</v>
      </c>
    </row>
    <row r="29" spans="5:9" x14ac:dyDescent="0.3">
      <c r="E29" s="13" t="s">
        <v>56</v>
      </c>
    </row>
    <row r="30" spans="5:9" x14ac:dyDescent="0.3">
      <c r="E30" t="s">
        <v>11</v>
      </c>
      <c r="F30" s="3">
        <v>9.8578073909230776E-2</v>
      </c>
      <c r="H30" t="s">
        <v>49</v>
      </c>
      <c r="I30" s="3">
        <v>9.5782717977910114E-3</v>
      </c>
    </row>
    <row r="31" spans="5:9" x14ac:dyDescent="0.3">
      <c r="E31" t="s">
        <v>12</v>
      </c>
      <c r="F31" s="3">
        <v>8.5141198022909037E-2</v>
      </c>
      <c r="H31" t="s">
        <v>34</v>
      </c>
      <c r="I31" s="3">
        <v>3.8925014411434235E-2</v>
      </c>
    </row>
    <row r="32" spans="5:9" x14ac:dyDescent="0.3">
      <c r="E32" t="s">
        <v>13</v>
      </c>
      <c r="F32" s="3">
        <v>0.81628073245384603</v>
      </c>
      <c r="H32" t="s">
        <v>46</v>
      </c>
      <c r="I32">
        <v>1.515156746930363E-3</v>
      </c>
    </row>
    <row r="34" spans="5:19" x14ac:dyDescent="0.3">
      <c r="E34" s="13" t="s">
        <v>52</v>
      </c>
      <c r="K34" t="s">
        <v>58</v>
      </c>
    </row>
    <row r="35" spans="5:19" x14ac:dyDescent="0.3">
      <c r="E35" t="s">
        <v>55</v>
      </c>
      <c r="F35" cm="1">
        <f t="array" ref="F35">MMULT(MMULT(TRANSPOSE(F18:F20),CovarianceMatrix),F25:F27)</f>
        <v>4.5437555676743043E-3</v>
      </c>
      <c r="K35" t="s">
        <v>11</v>
      </c>
      <c r="L35" s="7">
        <v>-0.27362390502026857</v>
      </c>
      <c r="N35" t="s">
        <v>49</v>
      </c>
      <c r="O35" s="3">
        <v>2.0080993101706374E-2</v>
      </c>
      <c r="Q35" t="s">
        <v>59</v>
      </c>
      <c r="S35" s="19">
        <v>0.4</v>
      </c>
    </row>
    <row r="36" spans="5:19" ht="15.6" x14ac:dyDescent="0.35">
      <c r="E36" t="s">
        <v>86</v>
      </c>
      <c r="F36" s="2">
        <v>0.4</v>
      </c>
      <c r="K36" t="s">
        <v>12</v>
      </c>
      <c r="L36" s="7">
        <v>0.52556593651235084</v>
      </c>
      <c r="N36" t="s">
        <v>34</v>
      </c>
      <c r="O36" s="3">
        <v>5.7166136320151911E-2</v>
      </c>
      <c r="Q36" t="s">
        <v>37</v>
      </c>
      <c r="S36" s="18">
        <f>($S$35*O35)+((1-$S$35)*$O$39)</f>
        <v>8.3323972406825503E-3</v>
      </c>
    </row>
    <row r="37" spans="5:19" x14ac:dyDescent="0.3">
      <c r="E37" t="s">
        <v>37</v>
      </c>
      <c r="F37" s="3">
        <f>($F$36*I18)+((1-$F$36)*I25)</f>
        <v>2.3558826974206207E-2</v>
      </c>
      <c r="K37" t="s">
        <v>13</v>
      </c>
      <c r="L37" s="7">
        <v>0.74805796043067396</v>
      </c>
      <c r="N37" t="s">
        <v>46</v>
      </c>
      <c r="O37">
        <v>3.2679671417741914E-3</v>
      </c>
      <c r="Q37" t="s">
        <v>34</v>
      </c>
      <c r="S37" s="4">
        <f>$S$35*O36</f>
        <v>2.2866454528060767E-2</v>
      </c>
    </row>
    <row r="38" spans="5:19" x14ac:dyDescent="0.3">
      <c r="E38" t="s">
        <v>34</v>
      </c>
      <c r="F38" s="3">
        <f>SQRT(TrialWeight^2*I19^2+(1-TrialWeight)^2*I26^2+2*TrialWeight*(1-TrialWeight)*F35)</f>
        <v>6.7977969777413105E-2</v>
      </c>
      <c r="K38" t="s">
        <v>45</v>
      </c>
      <c r="L38" s="7">
        <v>0.99999999192275624</v>
      </c>
    </row>
    <row r="39" spans="5:19" x14ac:dyDescent="0.3">
      <c r="N39" t="s">
        <v>38</v>
      </c>
      <c r="O39" s="20">
        <v>5.0000000000000001E-4</v>
      </c>
    </row>
    <row r="40" spans="5:19" ht="15.6" x14ac:dyDescent="0.35">
      <c r="E40" t="s">
        <v>60</v>
      </c>
      <c r="F40" t="s">
        <v>34</v>
      </c>
      <c r="G40" t="s">
        <v>37</v>
      </c>
      <c r="N40" t="s">
        <v>50</v>
      </c>
      <c r="O40" s="18">
        <v>0.34252783836999989</v>
      </c>
    </row>
    <row r="41" spans="5:19" x14ac:dyDescent="0.3">
      <c r="F41" s="3">
        <f>F38</f>
        <v>6.7977969777413105E-2</v>
      </c>
      <c r="G41" s="3">
        <f>F37</f>
        <v>2.3558826974206207E-2</v>
      </c>
    </row>
    <row r="42" spans="5:19" x14ac:dyDescent="0.3">
      <c r="E42">
        <v>-6</v>
      </c>
      <c r="F42" s="3">
        <f t="dataTable" ref="F42:G172" dt2D="0" dtr="0" r1="F36"/>
        <v>0.10259064420207835</v>
      </c>
      <c r="G42" s="3">
        <v>3.3389724684361771E-2</v>
      </c>
      <c r="K42" t="s">
        <v>61</v>
      </c>
      <c r="L42" t="s">
        <v>17</v>
      </c>
      <c r="M42" t="s">
        <v>37</v>
      </c>
    </row>
    <row r="43" spans="5:19" x14ac:dyDescent="0.3">
      <c r="E43">
        <v>-5.8</v>
      </c>
      <c r="F43" s="3">
        <v>0.10145861056209156</v>
      </c>
      <c r="G43" s="3">
        <v>3.3082509130919424E-2</v>
      </c>
      <c r="L43" s="18">
        <f>S37</f>
        <v>2.2866454528060767E-2</v>
      </c>
      <c r="M43" s="18">
        <f>S36</f>
        <v>8.3323972406825503E-3</v>
      </c>
    </row>
    <row r="44" spans="5:19" x14ac:dyDescent="0.3">
      <c r="E44">
        <v>-5.6</v>
      </c>
      <c r="F44" s="3">
        <v>0.10032875341746272</v>
      </c>
      <c r="G44" s="3">
        <v>3.2775293577477049E-2</v>
      </c>
      <c r="K44">
        <v>0</v>
      </c>
      <c r="L44" s="3">
        <f t="dataTable" ref="L44:M64" dt2D="0" dtr="0" r1="S35"/>
        <v>0</v>
      </c>
      <c r="M44" s="3">
        <v>5.0000000000000001E-4</v>
      </c>
    </row>
    <row r="45" spans="5:19" x14ac:dyDescent="0.3">
      <c r="E45">
        <v>-5.4</v>
      </c>
      <c r="F45" s="3">
        <v>9.9201147136175435E-2</v>
      </c>
      <c r="G45" s="3">
        <v>3.2468078024034688E-2</v>
      </c>
      <c r="K45">
        <v>0.1</v>
      </c>
      <c r="L45" s="3">
        <v>5.7166136320151916E-3</v>
      </c>
      <c r="M45" s="3">
        <v>2.4580993101706375E-3</v>
      </c>
    </row>
    <row r="46" spans="5:19" x14ac:dyDescent="0.3">
      <c r="E46">
        <v>-5.2</v>
      </c>
      <c r="F46" s="3">
        <v>9.8075869354715711E-2</v>
      </c>
      <c r="G46" s="3">
        <v>3.2160862470592341E-2</v>
      </c>
      <c r="K46">
        <v>0.2</v>
      </c>
      <c r="L46" s="3">
        <v>1.1433227264030383E-2</v>
      </c>
      <c r="M46" s="3">
        <v>4.4161986203412754E-3</v>
      </c>
    </row>
    <row r="47" spans="5:19" x14ac:dyDescent="0.3">
      <c r="E47">
        <v>-5</v>
      </c>
      <c r="F47" s="3">
        <v>9.6953001149797088E-2</v>
      </c>
      <c r="G47" s="3">
        <v>3.185364691714998E-2</v>
      </c>
      <c r="K47">
        <v>0.3</v>
      </c>
      <c r="L47" s="3">
        <v>1.7149840896045574E-2</v>
      </c>
      <c r="M47" s="3">
        <v>6.3742979305119116E-3</v>
      </c>
    </row>
    <row r="48" spans="5:19" x14ac:dyDescent="0.3">
      <c r="E48">
        <v>-4.8</v>
      </c>
      <c r="F48" s="3">
        <v>9.5832627220279201E-2</v>
      </c>
      <c r="G48" s="3">
        <v>3.1546431363707592E-2</v>
      </c>
      <c r="K48">
        <v>0.4</v>
      </c>
      <c r="L48" s="3">
        <v>2.2866454528060767E-2</v>
      </c>
      <c r="M48" s="3">
        <v>8.3323972406825503E-3</v>
      </c>
    </row>
    <row r="49" spans="5:13" x14ac:dyDescent="0.3">
      <c r="E49">
        <v>-4.5999999999999996</v>
      </c>
      <c r="F49" s="3">
        <v>9.4714836079932668E-2</v>
      </c>
      <c r="G49" s="3">
        <v>3.1239215810265245E-2</v>
      </c>
      <c r="K49">
        <v>0.5</v>
      </c>
      <c r="L49" s="3">
        <v>2.8583068160075956E-2</v>
      </c>
      <c r="M49" s="3">
        <v>1.0290496550853187E-2</v>
      </c>
    </row>
    <row r="50" spans="5:13" x14ac:dyDescent="0.3">
      <c r="E50">
        <v>-4.4000000000000004</v>
      </c>
      <c r="F50" s="3">
        <v>9.35997202617362E-2</v>
      </c>
      <c r="G50" s="3">
        <v>3.0932000256822897E-2</v>
      </c>
      <c r="K50">
        <v>0.6</v>
      </c>
      <c r="L50" s="3">
        <v>3.4299681792091148E-2</v>
      </c>
      <c r="M50" s="3">
        <v>1.2248595861023824E-2</v>
      </c>
    </row>
    <row r="51" spans="5:13" x14ac:dyDescent="0.3">
      <c r="E51">
        <v>-4.2</v>
      </c>
      <c r="F51" s="3">
        <v>9.2487376534428331E-2</v>
      </c>
      <c r="G51" s="3">
        <v>3.0624784703380523E-2</v>
      </c>
      <c r="K51">
        <v>0.7</v>
      </c>
      <c r="L51" s="3">
        <v>4.0016295424106334E-2</v>
      </c>
      <c r="M51" s="3">
        <v>1.4206695171194461E-2</v>
      </c>
    </row>
    <row r="52" spans="5:13" x14ac:dyDescent="0.3">
      <c r="E52">
        <v>-4</v>
      </c>
      <c r="F52" s="3">
        <v>9.1377906132096079E-2</v>
      </c>
      <c r="G52" s="3">
        <v>3.0317569149938162E-2</v>
      </c>
      <c r="K52">
        <v>0.8</v>
      </c>
      <c r="L52" s="3">
        <v>4.5732909056121533E-2</v>
      </c>
      <c r="M52" s="3">
        <v>1.61647944813651E-2</v>
      </c>
    </row>
    <row r="53" spans="5:13" x14ac:dyDescent="0.3">
      <c r="E53">
        <v>-3.8</v>
      </c>
      <c r="F53" s="3">
        <v>9.027141499760763E-2</v>
      </c>
      <c r="G53" s="3">
        <v>3.0010353596495801E-2</v>
      </c>
      <c r="K53">
        <v>0.9</v>
      </c>
      <c r="L53" s="3">
        <v>5.1449522688136719E-2</v>
      </c>
      <c r="M53" s="3">
        <v>1.8122893791535737E-2</v>
      </c>
    </row>
    <row r="54" spans="5:13" x14ac:dyDescent="0.3">
      <c r="E54">
        <v>-3.6</v>
      </c>
      <c r="F54" s="3">
        <v>8.9168014040762342E-2</v>
      </c>
      <c r="G54" s="3">
        <v>2.9703138043053426E-2</v>
      </c>
      <c r="K54">
        <v>1</v>
      </c>
      <c r="L54" s="3">
        <v>5.7166136320151911E-2</v>
      </c>
      <c r="M54" s="3">
        <v>2.0080993101706374E-2</v>
      </c>
    </row>
    <row r="55" spans="5:13" x14ac:dyDescent="0.3">
      <c r="E55">
        <v>-3.4</v>
      </c>
      <c r="F55" s="3">
        <v>8.806781941206468E-2</v>
      </c>
      <c r="G55" s="3">
        <v>2.9395922489611093E-2</v>
      </c>
      <c r="K55">
        <v>1.1000000000000001</v>
      </c>
      <c r="L55" s="3">
        <v>6.2882749952167111E-2</v>
      </c>
      <c r="M55" s="3">
        <v>2.2039092411877011E-2</v>
      </c>
    </row>
    <row r="56" spans="5:13" x14ac:dyDescent="0.3">
      <c r="E56">
        <v>-3.2</v>
      </c>
      <c r="F56" s="3">
        <v>8.6970952793088238E-2</v>
      </c>
      <c r="G56" s="3">
        <v>2.9088706936168732E-2</v>
      </c>
      <c r="K56">
        <v>1.2</v>
      </c>
      <c r="L56" s="3">
        <v>6.8599363584182296E-2</v>
      </c>
      <c r="M56" s="3">
        <v>2.3997191722047648E-2</v>
      </c>
    </row>
    <row r="57" spans="5:13" x14ac:dyDescent="0.3">
      <c r="E57">
        <v>-3</v>
      </c>
      <c r="F57" s="3">
        <v>8.5877541704442631E-2</v>
      </c>
      <c r="G57" s="3">
        <v>2.8781491382726357E-2</v>
      </c>
      <c r="K57">
        <v>1.3</v>
      </c>
      <c r="L57" s="3">
        <v>7.4315977216197482E-2</v>
      </c>
      <c r="M57" s="3">
        <v>2.5955291032218285E-2</v>
      </c>
    </row>
    <row r="58" spans="5:13" x14ac:dyDescent="0.3">
      <c r="E58">
        <v>-2.8</v>
      </c>
      <c r="F58" s="3">
        <v>8.4787719832403532E-2</v>
      </c>
      <c r="G58" s="3">
        <v>2.8474275829283982E-2</v>
      </c>
      <c r="K58">
        <v>1.4</v>
      </c>
      <c r="L58" s="3">
        <v>8.0032590848212667E-2</v>
      </c>
      <c r="M58" s="3">
        <v>2.7913390342388922E-2</v>
      </c>
    </row>
    <row r="59" spans="5:13" x14ac:dyDescent="0.3">
      <c r="E59">
        <v>-2.6</v>
      </c>
      <c r="F59" s="3">
        <v>8.3701627375321302E-2</v>
      </c>
      <c r="G59" s="3">
        <v>2.8167060275841642E-2</v>
      </c>
      <c r="K59">
        <v>1.5</v>
      </c>
      <c r="L59" s="3">
        <v>8.5749204480227867E-2</v>
      </c>
      <c r="M59" s="3">
        <v>2.9871489652559563E-2</v>
      </c>
    </row>
    <row r="60" spans="5:13" x14ac:dyDescent="0.3">
      <c r="E60">
        <v>-2.4</v>
      </c>
      <c r="F60" s="3">
        <v>8.2619411410970858E-2</v>
      </c>
      <c r="G60" s="3">
        <v>2.7859844722399267E-2</v>
      </c>
      <c r="K60">
        <v>1.6</v>
      </c>
      <c r="L60" s="3">
        <v>9.1465818112243066E-2</v>
      </c>
      <c r="M60" s="3">
        <v>3.18295889627302E-2</v>
      </c>
    </row>
    <row r="61" spans="5:13" x14ac:dyDescent="0.3">
      <c r="E61">
        <v>-2.2000000000000002</v>
      </c>
      <c r="F61" s="3">
        <v>8.1541226286048346E-2</v>
      </c>
      <c r="G61" s="3">
        <v>2.7552629168956906E-2</v>
      </c>
      <c r="K61">
        <v>1.7</v>
      </c>
      <c r="L61" s="3">
        <v>9.7182431744258252E-2</v>
      </c>
      <c r="M61" s="3">
        <v>3.378768827290083E-2</v>
      </c>
    </row>
    <row r="62" spans="5:13" x14ac:dyDescent="0.3">
      <c r="E62">
        <v>-2</v>
      </c>
      <c r="F62" s="3">
        <v>8.0467234029068926E-2</v>
      </c>
      <c r="G62" s="3">
        <v>2.7245413615514552E-2</v>
      </c>
      <c r="K62">
        <v>1.8</v>
      </c>
      <c r="L62" s="3">
        <v>0.10289904537627344</v>
      </c>
      <c r="M62" s="3">
        <v>3.5745787583071474E-2</v>
      </c>
    </row>
    <row r="63" spans="5:13" x14ac:dyDescent="0.3">
      <c r="E63">
        <v>-1.8</v>
      </c>
      <c r="F63" s="3">
        <v>7.9397604787956308E-2</v>
      </c>
      <c r="G63" s="3">
        <v>2.6938198062072177E-2</v>
      </c>
      <c r="K63">
        <v>1.9</v>
      </c>
      <c r="L63" s="3">
        <v>0.10861565900828862</v>
      </c>
      <c r="M63" s="3">
        <v>3.7703886893242111E-2</v>
      </c>
    </row>
    <row r="64" spans="5:13" x14ac:dyDescent="0.3">
      <c r="E64">
        <v>-1.6</v>
      </c>
      <c r="F64" s="3">
        <v>7.8332517293645071E-2</v>
      </c>
      <c r="G64" s="3">
        <v>2.6630982508629823E-2</v>
      </c>
      <c r="K64">
        <v>2</v>
      </c>
      <c r="L64" s="3">
        <v>0.11433227264030382</v>
      </c>
      <c r="M64" s="3">
        <v>3.9661986203412748E-2</v>
      </c>
    </row>
    <row r="65" spans="5:7" x14ac:dyDescent="0.3">
      <c r="E65">
        <v>-1.4</v>
      </c>
      <c r="F65" s="3">
        <v>7.7272159351043312E-2</v>
      </c>
      <c r="G65" s="3">
        <v>2.6323766955187462E-2</v>
      </c>
    </row>
    <row r="66" spans="5:7" x14ac:dyDescent="0.3">
      <c r="E66">
        <v>-1.2</v>
      </c>
      <c r="F66" s="3">
        <v>7.6216728358714125E-2</v>
      </c>
      <c r="G66" s="3">
        <v>2.6016551401745105E-2</v>
      </c>
    </row>
    <row r="67" spans="5:7" x14ac:dyDescent="0.3">
      <c r="E67">
        <v>-1</v>
      </c>
      <c r="F67" s="3">
        <v>7.5166431858630423E-2</v>
      </c>
      <c r="G67" s="3">
        <v>2.570933584830274E-2</v>
      </c>
    </row>
    <row r="68" spans="5:7" x14ac:dyDescent="0.3">
      <c r="E68">
        <v>-0.8</v>
      </c>
      <c r="F68" s="3">
        <v>7.4121488117342788E-2</v>
      </c>
      <c r="G68" s="3">
        <v>2.5402120294860383E-2</v>
      </c>
    </row>
    <row r="69" spans="5:7" x14ac:dyDescent="0.3">
      <c r="E69">
        <v>-0.6</v>
      </c>
      <c r="F69" s="3">
        <v>7.3082126739851996E-2</v>
      </c>
      <c r="G69" s="3">
        <v>2.5094904741418018E-2</v>
      </c>
    </row>
    <row r="70" spans="5:7" x14ac:dyDescent="0.3">
      <c r="E70">
        <v>-0.4</v>
      </c>
      <c r="F70" s="3">
        <v>7.2048589317413606E-2</v>
      </c>
      <c r="G70" s="3">
        <v>2.4787689187975651E-2</v>
      </c>
    </row>
    <row r="71" spans="5:7" x14ac:dyDescent="0.3">
      <c r="E71">
        <v>-0.19999999999998999</v>
      </c>
      <c r="F71" s="3">
        <v>7.1021130110397415E-2</v>
      </c>
      <c r="G71" s="3">
        <v>2.4480473634533276E-2</v>
      </c>
    </row>
    <row r="72" spans="5:7" x14ac:dyDescent="0.3">
      <c r="E72">
        <v>0</v>
      </c>
      <c r="F72" s="3">
        <v>7.0000016767182469E-2</v>
      </c>
      <c r="G72" s="3">
        <v>2.4173258081090932E-2</v>
      </c>
    </row>
    <row r="73" spans="5:7" x14ac:dyDescent="0.3">
      <c r="E73">
        <v>0.20000000000001</v>
      </c>
      <c r="F73" s="3">
        <v>6.8985531079877774E-2</v>
      </c>
      <c r="G73" s="3">
        <v>2.3866042527648557E-2</v>
      </c>
    </row>
    <row r="74" spans="5:7" x14ac:dyDescent="0.3">
      <c r="E74">
        <v>0.40000000000001001</v>
      </c>
      <c r="F74" s="3">
        <v>6.7977969777413064E-2</v>
      </c>
      <c r="G74" s="3">
        <v>2.3558826974206193E-2</v>
      </c>
    </row>
    <row r="75" spans="5:7" x14ac:dyDescent="0.3">
      <c r="E75">
        <v>0.60000000000000997</v>
      </c>
      <c r="F75" s="3">
        <v>6.6977645356224094E-2</v>
      </c>
      <c r="G75" s="3">
        <v>2.3251611420763832E-2</v>
      </c>
    </row>
    <row r="76" spans="5:7" x14ac:dyDescent="0.3">
      <c r="E76">
        <v>0.80000000000001004</v>
      </c>
      <c r="F76" s="3">
        <v>6.5984886948365004E-2</v>
      </c>
      <c r="G76" s="3">
        <v>2.2944395867321471E-2</v>
      </c>
    </row>
    <row r="77" spans="5:7" x14ac:dyDescent="0.3">
      <c r="E77">
        <v>1.00000000000001</v>
      </c>
      <c r="F77" s="3">
        <v>6.5000041226387181E-2</v>
      </c>
      <c r="G77" s="3">
        <v>2.2637180313879107E-2</v>
      </c>
    </row>
    <row r="78" spans="5:7" x14ac:dyDescent="0.3">
      <c r="E78">
        <v>1.2000000000000099</v>
      </c>
      <c r="F78" s="3">
        <v>6.4023473343725254E-2</v>
      </c>
      <c r="G78" s="3">
        <v>2.2329964760436749E-2</v>
      </c>
    </row>
    <row r="79" spans="5:7" x14ac:dyDescent="0.3">
      <c r="E79">
        <v>1.4000000000000099</v>
      </c>
      <c r="F79" s="3">
        <v>6.3055567908603477E-2</v>
      </c>
      <c r="G79" s="3">
        <v>2.2022749206994385E-2</v>
      </c>
    </row>
    <row r="80" spans="5:7" x14ac:dyDescent="0.3">
      <c r="E80">
        <v>1.6000000000000101</v>
      </c>
      <c r="F80" s="3">
        <v>6.2096729988602876E-2</v>
      </c>
      <c r="G80" s="3">
        <v>2.1715533653552024E-2</v>
      </c>
    </row>
    <row r="81" spans="5:7" x14ac:dyDescent="0.3">
      <c r="E81">
        <v>1.80000000000001</v>
      </c>
      <c r="F81" s="3">
        <v>6.1147386141989231E-2</v>
      </c>
      <c r="G81" s="3">
        <v>2.1408318100109659E-2</v>
      </c>
    </row>
    <row r="82" spans="5:7" x14ac:dyDescent="0.3">
      <c r="E82">
        <v>2.0000000000000102</v>
      </c>
      <c r="F82" s="3">
        <v>6.0207985470672964E-2</v>
      </c>
      <c r="G82" s="3">
        <v>2.1101102546667298E-2</v>
      </c>
    </row>
    <row r="83" spans="5:7" x14ac:dyDescent="0.3">
      <c r="E83">
        <v>2.2000000000000099</v>
      </c>
      <c r="F83" s="3">
        <v>5.9279000688229659E-2</v>
      </c>
      <c r="G83" s="3">
        <v>2.0793886993224941E-2</v>
      </c>
    </row>
    <row r="84" spans="5:7" x14ac:dyDescent="0.3">
      <c r="E84">
        <v>2.4000000000000101</v>
      </c>
      <c r="F84" s="3">
        <v>5.8360929194733006E-2</v>
      </c>
      <c r="G84" s="3">
        <v>2.0486671439782576E-2</v>
      </c>
    </row>
    <row r="85" spans="5:7" x14ac:dyDescent="0.3">
      <c r="E85">
        <v>2.6000000000000099</v>
      </c>
      <c r="F85" s="3">
        <v>5.7454294148212202E-2</v>
      </c>
      <c r="G85" s="3">
        <v>2.0179455886340215E-2</v>
      </c>
    </row>
    <row r="86" spans="5:7" x14ac:dyDescent="0.3">
      <c r="E86">
        <v>2.80000000000001</v>
      </c>
      <c r="F86" s="3">
        <v>5.6559645520327266E-2</v>
      </c>
      <c r="G86" s="3">
        <v>1.9872240332897854E-2</v>
      </c>
    </row>
    <row r="87" spans="5:7" x14ac:dyDescent="0.3">
      <c r="E87">
        <v>3.0000000000000102</v>
      </c>
      <c r="F87" s="3">
        <v>5.5677561121335074E-2</v>
      </c>
      <c r="G87" s="3">
        <v>1.9565024779455494E-2</v>
      </c>
    </row>
    <row r="88" spans="5:7" x14ac:dyDescent="0.3">
      <c r="E88">
        <v>3.2000000000000099</v>
      </c>
      <c r="F88" s="3">
        <v>5.480864757658313E-2</v>
      </c>
      <c r="G88" s="3">
        <v>1.9257809226013126E-2</v>
      </c>
    </row>
    <row r="89" spans="5:7" x14ac:dyDescent="0.3">
      <c r="E89">
        <v>3.4000000000000101</v>
      </c>
      <c r="F89" s="3">
        <v>5.3953541233614198E-2</v>
      </c>
      <c r="G89" s="3">
        <v>1.8950593672570772E-2</v>
      </c>
    </row>
    <row r="90" spans="5:7" x14ac:dyDescent="0.3">
      <c r="E90">
        <v>3.6000000000000099</v>
      </c>
      <c r="F90" s="3">
        <v>5.3112908975498946E-2</v>
      </c>
      <c r="G90" s="3">
        <v>1.8643378119128418E-2</v>
      </c>
    </row>
    <row r="91" spans="5:7" x14ac:dyDescent="0.3">
      <c r="E91">
        <v>3.80000000000001</v>
      </c>
      <c r="F91" s="3">
        <v>5.2287448912249949E-2</v>
      </c>
      <c r="G91" s="3">
        <v>1.8336162565686043E-2</v>
      </c>
    </row>
    <row r="92" spans="5:7" x14ac:dyDescent="0.3">
      <c r="E92">
        <v>4</v>
      </c>
      <c r="F92" s="3">
        <v>5.1477890918157999E-2</v>
      </c>
      <c r="G92" s="3">
        <v>1.8028947012243696E-2</v>
      </c>
    </row>
    <row r="93" spans="5:7" x14ac:dyDescent="0.3">
      <c r="E93">
        <v>4.2</v>
      </c>
      <c r="F93" s="3">
        <v>5.068499697870716E-2</v>
      </c>
      <c r="G93" s="3">
        <v>1.7721731458801335E-2</v>
      </c>
    </row>
    <row r="94" spans="5:7" x14ac:dyDescent="0.3">
      <c r="E94">
        <v>4.4000000000000004</v>
      </c>
      <c r="F94" s="3">
        <v>4.9909561306431809E-2</v>
      </c>
      <c r="G94" s="3">
        <v>1.7414515905358974E-2</v>
      </c>
    </row>
    <row r="95" spans="5:7" x14ac:dyDescent="0.3">
      <c r="E95">
        <v>4.5999999999999996</v>
      </c>
      <c r="F95" s="3">
        <v>4.9152410180870458E-2</v>
      </c>
      <c r="G95" s="3">
        <v>1.7107300351916613E-2</v>
      </c>
    </row>
    <row r="96" spans="5:7" x14ac:dyDescent="0.3">
      <c r="E96">
        <v>4.8</v>
      </c>
      <c r="F96" s="3">
        <v>4.8414401463776534E-2</v>
      </c>
      <c r="G96" s="3">
        <v>1.6800084798474266E-2</v>
      </c>
    </row>
    <row r="97" spans="5:7" x14ac:dyDescent="0.3">
      <c r="E97">
        <v>5</v>
      </c>
      <c r="F97" s="3">
        <v>4.7696423737237065E-2</v>
      </c>
      <c r="G97" s="3">
        <v>1.6492869245031891E-2</v>
      </c>
    </row>
    <row r="98" spans="5:7" x14ac:dyDescent="0.3">
      <c r="E98">
        <v>5.2</v>
      </c>
      <c r="F98" s="3">
        <v>4.6999395009590744E-2</v>
      </c>
      <c r="G98" s="3">
        <v>1.6185653691589516E-2</v>
      </c>
    </row>
    <row r="99" spans="5:7" x14ac:dyDescent="0.3">
      <c r="E99">
        <v>5.4</v>
      </c>
      <c r="F99" s="3">
        <v>4.6324260932390171E-2</v>
      </c>
      <c r="G99" s="3">
        <v>1.5878438138147169E-2</v>
      </c>
    </row>
    <row r="100" spans="5:7" x14ac:dyDescent="0.3">
      <c r="E100">
        <v>5.6</v>
      </c>
      <c r="F100" s="3">
        <v>4.5671992471490626E-2</v>
      </c>
      <c r="G100" s="3">
        <v>1.5571222584704822E-2</v>
      </c>
    </row>
    <row r="101" spans="5:7" x14ac:dyDescent="0.3">
      <c r="E101">
        <v>5.8</v>
      </c>
      <c r="F101" s="3">
        <v>4.5043582977144045E-2</v>
      </c>
      <c r="G101" s="3">
        <v>1.5264007031262433E-2</v>
      </c>
    </row>
    <row r="102" spans="5:7" x14ac:dyDescent="0.3">
      <c r="E102">
        <v>6</v>
      </c>
      <c r="F102" s="3">
        <v>4.444004460214792E-2</v>
      </c>
      <c r="G102" s="3">
        <v>1.4956791477820086E-2</v>
      </c>
    </row>
    <row r="103" spans="5:7" x14ac:dyDescent="0.3">
      <c r="E103">
        <v>6.2</v>
      </c>
      <c r="F103" s="3">
        <v>4.3862404024198588E-2</v>
      </c>
      <c r="G103" s="3">
        <v>1.4649575924377739E-2</v>
      </c>
    </row>
    <row r="104" spans="5:7" x14ac:dyDescent="0.3">
      <c r="E104">
        <v>6.4</v>
      </c>
      <c r="F104" s="3">
        <v>4.3311697438941754E-2</v>
      </c>
      <c r="G104" s="3">
        <v>1.4342360370935336E-2</v>
      </c>
    </row>
    <row r="105" spans="5:7" x14ac:dyDescent="0.3">
      <c r="E105">
        <v>6.6</v>
      </c>
      <c r="F105" s="3">
        <v>4.2788964804278962E-2</v>
      </c>
      <c r="G105" s="3">
        <v>1.4035144817493017E-2</v>
      </c>
    </row>
    <row r="106" spans="5:7" x14ac:dyDescent="0.3">
      <c r="E106">
        <v>6.8</v>
      </c>
      <c r="F106" s="3">
        <v>4.2295243334451026E-2</v>
      </c>
      <c r="G106" s="3">
        <v>1.3727929264050642E-2</v>
      </c>
    </row>
    <row r="107" spans="5:7" x14ac:dyDescent="0.3">
      <c r="E107">
        <v>7</v>
      </c>
      <c r="F107" s="3">
        <v>4.183156026420936E-2</v>
      </c>
      <c r="G107" s="3">
        <v>1.3420713710608267E-2</v>
      </c>
    </row>
    <row r="108" spans="5:7" x14ac:dyDescent="0.3">
      <c r="E108">
        <v>7.2</v>
      </c>
      <c r="F108" s="3">
        <v>4.1398924928977204E-2</v>
      </c>
      <c r="G108" s="3">
        <v>1.311349815716592E-2</v>
      </c>
    </row>
    <row r="109" spans="5:7" x14ac:dyDescent="0.3">
      <c r="E109">
        <v>7.4</v>
      </c>
      <c r="F109" s="3">
        <v>4.0998320235481597E-2</v>
      </c>
      <c r="G109" s="3">
        <v>1.2806282603723546E-2</v>
      </c>
    </row>
    <row r="110" spans="5:7" x14ac:dyDescent="0.3">
      <c r="E110">
        <v>7.6</v>
      </c>
      <c r="F110" s="3">
        <v>4.0630693628169935E-2</v>
      </c>
      <c r="G110" s="3">
        <v>1.2499067050281198E-2</v>
      </c>
    </row>
    <row r="111" spans="5:7" x14ac:dyDescent="0.3">
      <c r="E111">
        <v>7.8</v>
      </c>
      <c r="F111" s="3">
        <v>4.0296947688386139E-2</v>
      </c>
      <c r="G111" s="3">
        <v>1.2191851496838824E-2</v>
      </c>
    </row>
    <row r="112" spans="5:7" x14ac:dyDescent="0.3">
      <c r="E112">
        <v>8</v>
      </c>
      <c r="F112" s="3">
        <v>3.9997930534142127E-2</v>
      </c>
      <c r="G112" s="3">
        <v>1.1884635943396477E-2</v>
      </c>
    </row>
    <row r="113" spans="5:7" x14ac:dyDescent="0.3">
      <c r="E113">
        <v>8.1999999999999993</v>
      </c>
      <c r="F113" s="3">
        <v>3.9734426216401227E-2</v>
      </c>
      <c r="G113" s="3">
        <v>1.1577420389954102E-2</v>
      </c>
    </row>
    <row r="114" spans="5:7" x14ac:dyDescent="0.3">
      <c r="E114">
        <v>8.4</v>
      </c>
      <c r="F114" s="3">
        <v>3.9507145330919091E-2</v>
      </c>
      <c r="G114" s="3">
        <v>1.1270204836511727E-2</v>
      </c>
    </row>
    <row r="115" spans="5:7" x14ac:dyDescent="0.3">
      <c r="E115">
        <v>8.6</v>
      </c>
      <c r="F115" s="3">
        <v>3.9316716080684252E-2</v>
      </c>
      <c r="G115" s="3">
        <v>1.0962989283069408E-2</v>
      </c>
    </row>
    <row r="116" spans="5:7" x14ac:dyDescent="0.3">
      <c r="E116">
        <v>8.8000000000000007</v>
      </c>
      <c r="F116" s="3">
        <v>3.9163676030975113E-2</v>
      </c>
      <c r="G116" s="3">
        <v>1.0655773729627033E-2</v>
      </c>
    </row>
    <row r="117" spans="5:7" x14ac:dyDescent="0.3">
      <c r="E117">
        <v>9</v>
      </c>
      <c r="F117" s="3">
        <v>3.9048464795280464E-2</v>
      </c>
      <c r="G117" s="3">
        <v>1.0348558176184658E-2</v>
      </c>
    </row>
    <row r="118" spans="5:7" x14ac:dyDescent="0.3">
      <c r="E118">
        <v>9.1999999999999993</v>
      </c>
      <c r="F118" s="3">
        <v>3.8971417875114947E-2</v>
      </c>
      <c r="G118" s="3">
        <v>1.0041342622742283E-2</v>
      </c>
    </row>
    <row r="119" spans="5:7" x14ac:dyDescent="0.3">
      <c r="E119">
        <v>9.4</v>
      </c>
      <c r="F119" s="3">
        <v>3.8932761849682723E-2</v>
      </c>
      <c r="G119" s="3">
        <v>9.7341270692999082E-3</v>
      </c>
    </row>
    <row r="120" spans="5:7" x14ac:dyDescent="0.3">
      <c r="E120">
        <v>9.6</v>
      </c>
      <c r="F120" s="3">
        <v>3.8932611073631558E-2</v>
      </c>
      <c r="G120" s="3">
        <v>9.4269115158575889E-3</v>
      </c>
    </row>
    <row r="121" spans="5:7" x14ac:dyDescent="0.3">
      <c r="E121">
        <v>9.8000000000000007</v>
      </c>
      <c r="F121" s="3">
        <v>3.8970965993882695E-2</v>
      </c>
      <c r="G121" s="3">
        <v>9.1196959624152141E-3</v>
      </c>
    </row>
    <row r="122" spans="5:7" x14ac:dyDescent="0.3">
      <c r="E122">
        <v>10</v>
      </c>
      <c r="F122" s="3">
        <v>3.9047713143041028E-2</v>
      </c>
      <c r="G122" s="3">
        <v>8.8124804089728392E-3</v>
      </c>
    </row>
    <row r="123" spans="5:7" x14ac:dyDescent="0.3">
      <c r="E123">
        <v>10.199999999999999</v>
      </c>
      <c r="F123" s="3">
        <v>3.9162626809563235E-2</v>
      </c>
      <c r="G123" s="3">
        <v>8.5052648555304922E-3</v>
      </c>
    </row>
    <row r="124" spans="5:7" x14ac:dyDescent="0.3">
      <c r="E124">
        <v>10.4</v>
      </c>
      <c r="F124" s="3">
        <v>3.9315372327734605E-2</v>
      </c>
      <c r="G124" s="3">
        <v>8.1980493020881173E-3</v>
      </c>
    </row>
    <row r="125" spans="5:7" x14ac:dyDescent="0.3">
      <c r="E125">
        <v>10.6</v>
      </c>
      <c r="F125" s="3">
        <v>3.9505510876721016E-2</v>
      </c>
      <c r="G125" s="3">
        <v>7.8908337486457703E-3</v>
      </c>
    </row>
    <row r="126" spans="5:7" x14ac:dyDescent="0.3">
      <c r="E126">
        <v>10.8</v>
      </c>
      <c r="F126" s="3">
        <v>3.9732505630932585E-2</v>
      </c>
      <c r="G126" s="3">
        <v>7.5836181952033954E-3</v>
      </c>
    </row>
    <row r="127" spans="5:7" x14ac:dyDescent="0.3">
      <c r="E127">
        <v>11</v>
      </c>
      <c r="F127" s="3">
        <v>3.9995729065895276E-2</v>
      </c>
      <c r="G127" s="3">
        <v>7.2764026417610483E-3</v>
      </c>
    </row>
    <row r="128" spans="5:7" x14ac:dyDescent="0.3">
      <c r="E128">
        <v>11.2</v>
      </c>
      <c r="F128" s="3">
        <v>4.0294471196831556E-2</v>
      </c>
      <c r="G128" s="3">
        <v>6.9691870883187013E-3</v>
      </c>
    </row>
    <row r="129" spans="5:7" x14ac:dyDescent="0.3">
      <c r="E129">
        <v>11.4</v>
      </c>
      <c r="F129" s="3">
        <v>4.0627948511723189E-2</v>
      </c>
      <c r="G129" s="3">
        <v>6.6619715348763542E-3</v>
      </c>
    </row>
    <row r="130" spans="5:7" x14ac:dyDescent="0.3">
      <c r="E130">
        <v>11.6</v>
      </c>
      <c r="F130" s="3">
        <v>4.0995313356886637E-2</v>
      </c>
      <c r="G130" s="3">
        <v>6.3547559814339238E-3</v>
      </c>
    </row>
    <row r="131" spans="5:7" x14ac:dyDescent="0.3">
      <c r="E131">
        <v>11.8</v>
      </c>
      <c r="F131" s="3">
        <v>4.1395663539872847E-2</v>
      </c>
      <c r="G131" s="3">
        <v>6.047540427991549E-3</v>
      </c>
    </row>
    <row r="132" spans="5:7" x14ac:dyDescent="0.3">
      <c r="E132">
        <v>12</v>
      </c>
      <c r="F132" s="3">
        <v>4.1828051930523177E-2</v>
      </c>
      <c r="G132" s="3">
        <v>5.7403248745492297E-3</v>
      </c>
    </row>
    <row r="133" spans="5:7" x14ac:dyDescent="0.3">
      <c r="E133">
        <v>12.2</v>
      </c>
      <c r="F133" s="3">
        <v>4.2291495864037305E-2</v>
      </c>
      <c r="G133" s="3">
        <v>5.4331093211069104E-3</v>
      </c>
    </row>
    <row r="134" spans="5:7" x14ac:dyDescent="0.3">
      <c r="E134">
        <v>12.4</v>
      </c>
      <c r="F134" s="3">
        <v>4.2784986178008515E-2</v>
      </c>
      <c r="G134" s="3">
        <v>5.1258937676645355E-3</v>
      </c>
    </row>
    <row r="135" spans="5:7" x14ac:dyDescent="0.3">
      <c r="E135">
        <v>12.6</v>
      </c>
      <c r="F135" s="3">
        <v>4.3307495746187287E-2</v>
      </c>
      <c r="G135" s="3">
        <v>4.8186782142221607E-3</v>
      </c>
    </row>
    <row r="136" spans="5:7" x14ac:dyDescent="0.3">
      <c r="E136">
        <v>12.8</v>
      </c>
      <c r="F136" s="3">
        <v>4.3857987403425815E-2</v>
      </c>
      <c r="G136" s="3">
        <v>4.5114626607797859E-3</v>
      </c>
    </row>
    <row r="137" spans="5:7" x14ac:dyDescent="0.3">
      <c r="E137">
        <v>13</v>
      </c>
      <c r="F137" s="3">
        <v>4.4435421187055464E-2</v>
      </c>
      <c r="G137" s="3">
        <v>4.204247107337411E-3</v>
      </c>
    </row>
    <row r="138" spans="5:7" x14ac:dyDescent="0.3">
      <c r="E138">
        <v>13.2</v>
      </c>
      <c r="F138" s="3">
        <v>4.5038760848652722E-2</v>
      </c>
      <c r="G138" s="3">
        <v>3.8970315538950917E-3</v>
      </c>
    </row>
    <row r="139" spans="5:7" x14ac:dyDescent="0.3">
      <c r="E139">
        <v>13.4</v>
      </c>
      <c r="F139" s="3">
        <v>4.5666979615610941E-2</v>
      </c>
      <c r="G139" s="3">
        <v>3.5898160004527169E-3</v>
      </c>
    </row>
    <row r="140" spans="5:7" x14ac:dyDescent="0.3">
      <c r="E140">
        <v>13.6</v>
      </c>
      <c r="F140" s="3">
        <v>4.6319065203883451E-2</v>
      </c>
      <c r="G140" s="3">
        <v>3.282600447010342E-3</v>
      </c>
    </row>
    <row r="141" spans="5:7" x14ac:dyDescent="0.3">
      <c r="E141">
        <v>13.8</v>
      </c>
      <c r="F141" s="3">
        <v>4.6994024101266414E-2</v>
      </c>
      <c r="G141" s="3">
        <v>2.9753848935679672E-3</v>
      </c>
    </row>
    <row r="142" spans="5:7" x14ac:dyDescent="0.3">
      <c r="E142">
        <v>14</v>
      </c>
      <c r="F142" s="3">
        <v>4.769088515448127E-2</v>
      </c>
      <c r="G142" s="3">
        <v>2.6681693401255924E-3</v>
      </c>
    </row>
    <row r="143" spans="5:7" x14ac:dyDescent="0.3">
      <c r="E143">
        <v>14.2</v>
      </c>
      <c r="F143" s="3">
        <v>4.8408702504041688E-2</v>
      </c>
      <c r="G143" s="3">
        <v>2.360953786683273E-3</v>
      </c>
    </row>
    <row r="144" spans="5:7" x14ac:dyDescent="0.3">
      <c r="E144">
        <v>14.4</v>
      </c>
      <c r="F144" s="3">
        <v>4.9146557917624435E-2</v>
      </c>
      <c r="G144" s="3">
        <v>2.0537382332408982E-3</v>
      </c>
    </row>
    <row r="145" spans="5:7" x14ac:dyDescent="0.3">
      <c r="E145">
        <v>14.6</v>
      </c>
      <c r="F145" s="3">
        <v>4.9903562577193174E-2</v>
      </c>
      <c r="G145" s="3">
        <v>1.7465226797985234E-3</v>
      </c>
    </row>
    <row r="146" spans="5:7" x14ac:dyDescent="0.3">
      <c r="E146">
        <v>14.8</v>
      </c>
      <c r="F146" s="3">
        <v>5.0678858376646471E-2</v>
      </c>
      <c r="G146" s="3">
        <v>1.4393071263561485E-3</v>
      </c>
    </row>
    <row r="147" spans="5:7" x14ac:dyDescent="0.3">
      <c r="E147">
        <v>15</v>
      </c>
      <c r="F147" s="3">
        <v>5.1471618786893186E-2</v>
      </c>
      <c r="G147" s="3">
        <v>1.1320915729138292E-3</v>
      </c>
    </row>
    <row r="148" spans="5:7" x14ac:dyDescent="0.3">
      <c r="E148">
        <v>15.2</v>
      </c>
      <c r="F148" s="3">
        <v>5.2281049343389438E-2</v>
      </c>
      <c r="G148" s="3">
        <v>8.2487601947145439E-4</v>
      </c>
    </row>
    <row r="149" spans="5:7" x14ac:dyDescent="0.3">
      <c r="E149">
        <v>15.4</v>
      </c>
      <c r="F149" s="3">
        <v>5.3106387808504699E-2</v>
      </c>
      <c r="G149" s="3">
        <v>5.1766046602907956E-4</v>
      </c>
    </row>
    <row r="150" spans="5:7" x14ac:dyDescent="0.3">
      <c r="E150">
        <v>15.6</v>
      </c>
      <c r="F150" s="3">
        <v>5.3946904057677596E-2</v>
      </c>
      <c r="G150" s="3">
        <v>2.1044491258670472E-4</v>
      </c>
    </row>
    <row r="151" spans="5:7" x14ac:dyDescent="0.3">
      <c r="E151">
        <v>15.8</v>
      </c>
      <c r="F151" s="3">
        <v>5.4801899734116692E-2</v>
      </c>
      <c r="G151" s="3">
        <v>-9.6770640855670109E-5</v>
      </c>
    </row>
    <row r="152" spans="5:7" x14ac:dyDescent="0.3">
      <c r="E152">
        <v>16</v>
      </c>
      <c r="F152" s="3">
        <v>5.567070771282704E-2</v>
      </c>
      <c r="G152" s="3">
        <v>-4.0398619429798943E-4</v>
      </c>
    </row>
    <row r="153" spans="5:7" x14ac:dyDescent="0.3">
      <c r="E153">
        <v>16.2</v>
      </c>
      <c r="F153" s="3">
        <v>5.6552691410277953E-2</v>
      </c>
      <c r="G153" s="3">
        <v>-7.1120174774030875E-4</v>
      </c>
    </row>
    <row r="154" spans="5:7" x14ac:dyDescent="0.3">
      <c r="E154">
        <v>16.399999999999999</v>
      </c>
      <c r="F154" s="3">
        <v>5.7447243971867588E-2</v>
      </c>
      <c r="G154" s="3">
        <v>-1.0184173011827391E-3</v>
      </c>
    </row>
    <row r="155" spans="5:7" x14ac:dyDescent="0.3">
      <c r="E155">
        <v>16.600000000000001</v>
      </c>
      <c r="F155" s="3">
        <v>5.8353787365511764E-2</v>
      </c>
      <c r="G155" s="3">
        <v>-1.3256328546250584E-3</v>
      </c>
    </row>
    <row r="156" spans="5:7" x14ac:dyDescent="0.3">
      <c r="E156">
        <v>16.8</v>
      </c>
      <c r="F156" s="3">
        <v>5.9271771405579446E-2</v>
      </c>
      <c r="G156" s="3">
        <v>-1.6328484080674888E-3</v>
      </c>
    </row>
    <row r="157" spans="5:7" x14ac:dyDescent="0.3">
      <c r="E157">
        <v>17</v>
      </c>
      <c r="F157" s="3">
        <v>6.0200672728215075E-2</v>
      </c>
      <c r="G157" s="3">
        <v>-1.9400639615098081E-3</v>
      </c>
    </row>
    <row r="158" spans="5:7" x14ac:dyDescent="0.3">
      <c r="E158">
        <v>17.2</v>
      </c>
      <c r="F158" s="3">
        <v>6.1139993735883497E-2</v>
      </c>
      <c r="G158" s="3">
        <v>-2.2472795149521274E-3</v>
      </c>
    </row>
    <row r="159" spans="5:7" x14ac:dyDescent="0.3">
      <c r="E159">
        <v>17.399999999999999</v>
      </c>
      <c r="F159" s="3">
        <v>6.2089261525940027E-2</v>
      </c>
      <c r="G159" s="3">
        <v>-2.5544950683945578E-3</v>
      </c>
    </row>
    <row r="160" spans="5:7" x14ac:dyDescent="0.3">
      <c r="E160">
        <v>17.600000000000001</v>
      </c>
      <c r="F160" s="3">
        <v>6.3048026815829411E-2</v>
      </c>
      <c r="G160" s="3">
        <v>-2.8617106218368771E-3</v>
      </c>
    </row>
    <row r="161" spans="5:7" x14ac:dyDescent="0.3">
      <c r="E161">
        <v>17.8</v>
      </c>
      <c r="F161" s="3">
        <v>6.4015862874919977E-2</v>
      </c>
      <c r="G161" s="3">
        <v>-3.1689261752793074E-3</v>
      </c>
    </row>
    <row r="162" spans="5:7" x14ac:dyDescent="0.3">
      <c r="E162">
        <v>18</v>
      </c>
      <c r="F162" s="3">
        <v>6.4992364471455455E-2</v>
      </c>
      <c r="G162" s="3">
        <v>-3.4761417287216267E-3</v>
      </c>
    </row>
    <row r="163" spans="5:7" x14ac:dyDescent="0.3">
      <c r="E163">
        <v>18.2</v>
      </c>
      <c r="F163" s="3">
        <v>6.5977146841010581E-2</v>
      </c>
      <c r="G163" s="3">
        <v>-3.7833572821639461E-3</v>
      </c>
    </row>
    <row r="164" spans="5:7" x14ac:dyDescent="0.3">
      <c r="E164">
        <v>18.399999999999999</v>
      </c>
      <c r="F164" s="3">
        <v>6.6969844681684695E-2</v>
      </c>
      <c r="G164" s="3">
        <v>-4.0905728356063209E-3</v>
      </c>
    </row>
    <row r="165" spans="5:7" x14ac:dyDescent="0.3">
      <c r="E165">
        <v>18.600000000000001</v>
      </c>
      <c r="F165" s="3">
        <v>6.7970111179963544E-2</v>
      </c>
      <c r="G165" s="3">
        <v>-4.3977883890486957E-3</v>
      </c>
    </row>
    <row r="166" spans="5:7" x14ac:dyDescent="0.3">
      <c r="E166">
        <v>18.8</v>
      </c>
      <c r="F166" s="3">
        <v>6.8977617070061642E-2</v>
      </c>
      <c r="G166" s="3">
        <v>-4.7050039424910706E-3</v>
      </c>
    </row>
    <row r="167" spans="5:7" x14ac:dyDescent="0.3">
      <c r="E167">
        <v>19</v>
      </c>
      <c r="F167" s="3">
        <v>6.9992049728737071E-2</v>
      </c>
      <c r="G167" s="3">
        <v>-5.0122194959334454E-3</v>
      </c>
    </row>
    <row r="168" spans="5:7" x14ac:dyDescent="0.3">
      <c r="E168">
        <v>19.2</v>
      </c>
      <c r="F168" s="3">
        <v>7.1013112306920631E-2</v>
      </c>
      <c r="G168" s="3">
        <v>-5.3194350493757647E-3</v>
      </c>
    </row>
    <row r="169" spans="5:7" x14ac:dyDescent="0.3">
      <c r="E169">
        <v>19.399999999999999</v>
      </c>
      <c r="F169" s="3">
        <v>7.2040522898713197E-2</v>
      </c>
      <c r="G169" s="3">
        <v>-5.6266506028181396E-3</v>
      </c>
    </row>
    <row r="170" spans="5:7" x14ac:dyDescent="0.3">
      <c r="E170">
        <v>19.600000000000001</v>
      </c>
      <c r="F170" s="3">
        <v>7.3074013748008218E-2</v>
      </c>
      <c r="G170" s="3">
        <v>-5.9338661562605144E-3</v>
      </c>
    </row>
    <row r="171" spans="5:7" x14ac:dyDescent="0.3">
      <c r="E171">
        <v>19.8</v>
      </c>
      <c r="F171" s="3">
        <v>7.4113330492473872E-2</v>
      </c>
      <c r="G171" s="3">
        <v>-6.2410817097028892E-3</v>
      </c>
    </row>
    <row r="172" spans="5:7" x14ac:dyDescent="0.3">
      <c r="E172">
        <v>20</v>
      </c>
      <c r="F172" s="3">
        <v>7.5158231444390697E-2</v>
      </c>
      <c r="G172" s="3">
        <v>-6.5482972631452085E-3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C90-DE6F-4788-B23C-CE8653676AFB}">
  <dimension ref="A1:J106"/>
  <sheetViews>
    <sheetView workbookViewId="0">
      <selection activeCell="H10" sqref="H10"/>
    </sheetView>
  </sheetViews>
  <sheetFormatPr defaultRowHeight="14.4" x14ac:dyDescent="0.3"/>
  <cols>
    <col min="1" max="1" width="10.5546875" bestFit="1" customWidth="1"/>
    <col min="2" max="2" width="19.88671875" bestFit="1" customWidth="1"/>
    <col min="3" max="3" width="20.109375" bestFit="1" customWidth="1"/>
    <col min="4" max="4" width="22" bestFit="1" customWidth="1"/>
    <col min="5" max="5" width="19.77734375" bestFit="1" customWidth="1"/>
    <col min="6" max="6" width="20" bestFit="1" customWidth="1"/>
    <col min="9" max="9" width="9.6640625" bestFit="1" customWidth="1"/>
    <col min="10" max="10" width="20.88671875" bestFit="1" customWidth="1"/>
  </cols>
  <sheetData>
    <row r="1" spans="1:10" x14ac:dyDescent="0.3">
      <c r="A1" t="s">
        <v>1</v>
      </c>
      <c r="B1" t="s">
        <v>39</v>
      </c>
      <c r="C1" s="60" t="s">
        <v>40</v>
      </c>
      <c r="D1" s="61" t="s">
        <v>41</v>
      </c>
      <c r="E1" s="62" t="s">
        <v>42</v>
      </c>
      <c r="F1" t="s">
        <v>43</v>
      </c>
    </row>
    <row r="2" spans="1:10" x14ac:dyDescent="0.3">
      <c r="A2" s="1">
        <f>ReturnData!A2</f>
        <v>44196</v>
      </c>
      <c r="B2" s="8">
        <v>7.4999999999999993E-5</v>
      </c>
      <c r="C2" s="9">
        <f>ReturnData!B2-$B2</f>
        <v>5.9971608174387118E-2</v>
      </c>
      <c r="D2" s="9">
        <f>ReturnData!C2-$B2</f>
        <v>0.10839700038054438</v>
      </c>
      <c r="E2" s="9">
        <f>ReturnData!D2-$B2</f>
        <v>1.8674075586380596E-3</v>
      </c>
      <c r="F2" s="9">
        <f>ReturnData!E2-$B2</f>
        <v>4.4973329999999999E-2</v>
      </c>
    </row>
    <row r="3" spans="1:10" x14ac:dyDescent="0.3">
      <c r="A3" s="1">
        <f>ReturnData!A3</f>
        <v>44165</v>
      </c>
      <c r="B3" s="8">
        <v>7.4999999999999993E-5</v>
      </c>
      <c r="C3" s="9">
        <f>ReturnData!B3-$B3</f>
        <v>0.31617097363885877</v>
      </c>
      <c r="D3" s="9">
        <f>ReturnData!C3-$B3</f>
        <v>9.1126424573022821E-2</v>
      </c>
      <c r="E3" s="9">
        <f>ReturnData!D3-$B3</f>
        <v>1.2752577463275119E-2</v>
      </c>
      <c r="F3" s="9">
        <f>ReturnData!E3-$B3</f>
        <v>0.12363189999999999</v>
      </c>
    </row>
    <row r="4" spans="1:10" x14ac:dyDescent="0.3">
      <c r="A4" s="1">
        <f>ReturnData!A4</f>
        <v>44134</v>
      </c>
      <c r="B4" s="8">
        <v>8.3333333333333344E-5</v>
      </c>
      <c r="C4" s="9">
        <f>ReturnData!B4-$B4</f>
        <v>0.17471939826724225</v>
      </c>
      <c r="D4" s="9">
        <f>ReturnData!C4-$B4</f>
        <v>-6.1971570835673513E-2</v>
      </c>
      <c r="E4" s="9">
        <f>ReturnData!D4-$B4</f>
        <v>-8.0239742040689819E-3</v>
      </c>
      <c r="F4" s="9">
        <f>ReturnData!E4-$B4</f>
        <v>-2.0261753333333334E-2</v>
      </c>
    </row>
    <row r="5" spans="1:10" x14ac:dyDescent="0.3">
      <c r="A5" s="1">
        <f>ReturnData!A5</f>
        <v>44104</v>
      </c>
      <c r="B5" s="8">
        <v>9.1666666666666668E-5</v>
      </c>
      <c r="C5" s="9">
        <f>ReturnData!B5-$B5</f>
        <v>-1.5990273781127117E-2</v>
      </c>
      <c r="D5" s="9">
        <f>ReturnData!C5-$B5</f>
        <v>-0.10826315233911872</v>
      </c>
      <c r="E5" s="9">
        <f>ReturnData!D5-$B5</f>
        <v>4.6682128284251563E-3</v>
      </c>
      <c r="F5" s="9">
        <f>ReturnData!E5-$B5</f>
        <v>-3.5148486666666666E-2</v>
      </c>
    </row>
    <row r="6" spans="1:10" x14ac:dyDescent="0.3">
      <c r="A6" s="1">
        <f>ReturnData!A6</f>
        <v>44074</v>
      </c>
      <c r="B6" s="8">
        <v>8.3333333333333344E-5</v>
      </c>
      <c r="C6" s="9">
        <f>ReturnData!B6-$B6</f>
        <v>4.3436825831592356E-2</v>
      </c>
      <c r="D6" s="9">
        <f>ReturnData!C6-$B6</f>
        <v>0.19573750150013336</v>
      </c>
      <c r="E6" s="9">
        <f>ReturnData!D6-$B6</f>
        <v>5.3445917593941343E-2</v>
      </c>
      <c r="F6" s="9">
        <f>ReturnData!E6-$B6</f>
        <v>6.8359126666666659E-2</v>
      </c>
    </row>
    <row r="7" spans="1:10" x14ac:dyDescent="0.3">
      <c r="A7" s="1">
        <f>ReturnData!A7</f>
        <v>44043</v>
      </c>
      <c r="B7" s="8">
        <v>1.0833333333333334E-4</v>
      </c>
      <c r="C7" s="9">
        <f>ReturnData!B7-$B7</f>
        <v>-0.11807436239391596</v>
      </c>
      <c r="D7" s="9">
        <f>ReturnData!C7-$B7</f>
        <v>0.15272574417524171</v>
      </c>
      <c r="E7" s="9">
        <f>ReturnData!D7-$B7</f>
        <v>9.8114836906162892E-2</v>
      </c>
      <c r="F7" s="9">
        <f>ReturnData!E7-$B7</f>
        <v>5.5420516666666669E-2</v>
      </c>
      <c r="H7" s="11"/>
      <c r="I7" s="10"/>
      <c r="J7" s="12"/>
    </row>
    <row r="8" spans="1:10" x14ac:dyDescent="0.3">
      <c r="A8" s="1">
        <f>ReturnData!A8</f>
        <v>44012</v>
      </c>
      <c r="B8" s="8">
        <v>1.3333333333333334E-4</v>
      </c>
      <c r="C8" s="9">
        <f>ReturnData!B8-$B8</f>
        <v>4.0140528489779989E-2</v>
      </c>
      <c r="D8" s="9">
        <f>ReturnData!C8-$B8</f>
        <v>0.13735319799303267</v>
      </c>
      <c r="E8" s="9">
        <f>ReturnData!D8-$B8</f>
        <v>3.0868355829298352E-2</v>
      </c>
      <c r="F8" s="9">
        <f>ReturnData!E8-$B8</f>
        <v>2.5165846666666668E-2</v>
      </c>
      <c r="J8" s="12"/>
    </row>
    <row r="9" spans="1:10" x14ac:dyDescent="0.3">
      <c r="A9" s="1">
        <f>ReturnData!A9</f>
        <v>43980</v>
      </c>
      <c r="B9" s="8">
        <v>1.0833333333333334E-4</v>
      </c>
      <c r="C9" s="9">
        <f>ReturnData!B9-$B9</f>
        <v>-3.4517114940056451E-2</v>
      </c>
      <c r="D9" s="9">
        <f>ReturnData!C9-$B9</f>
        <v>8.1430920641851798E-2</v>
      </c>
      <c r="E9" s="9">
        <f>ReturnData!D9-$B9</f>
        <v>-1.6790396657022155E-2</v>
      </c>
      <c r="F9" s="9">
        <f>ReturnData!E9-$B9</f>
        <v>5.3630256666666667E-2</v>
      </c>
    </row>
    <row r="10" spans="1:10" x14ac:dyDescent="0.3">
      <c r="A10" s="1">
        <f>ReturnData!A10</f>
        <v>43951</v>
      </c>
      <c r="B10" s="8">
        <v>1.1666666666666668E-4</v>
      </c>
      <c r="C10" s="9">
        <f>ReturnData!B10-$B10</f>
        <v>-0.15510730890101254</v>
      </c>
      <c r="D10" s="9">
        <f>ReturnData!C10-$B10</f>
        <v>0.14430723390535805</v>
      </c>
      <c r="E10" s="9">
        <f>ReturnData!D10-$B10</f>
        <v>7.5671150863465861E-2</v>
      </c>
      <c r="F10" s="9">
        <f>ReturnData!E10-$B10</f>
        <v>0.12955993333333335</v>
      </c>
    </row>
    <row r="11" spans="1:10" x14ac:dyDescent="0.3">
      <c r="A11" s="1">
        <f>ReturnData!A11</f>
        <v>43921</v>
      </c>
      <c r="B11" s="8">
        <v>2.4166666666666664E-4</v>
      </c>
      <c r="C11" s="9">
        <f>ReturnData!B11-$B11</f>
        <v>-0.31399598277726287</v>
      </c>
      <c r="D11" s="9">
        <f>ReturnData!C11-$B11</f>
        <v>-7.2555899268112761E-2</v>
      </c>
      <c r="E11" s="9">
        <f>ReturnData!D11-$B11</f>
        <v>-2.9182478847231658E-2</v>
      </c>
      <c r="F11" s="9">
        <f>ReturnData!E11-$B11</f>
        <v>-0.14197426666666665</v>
      </c>
    </row>
    <row r="12" spans="1:10" x14ac:dyDescent="0.3">
      <c r="A12" s="1">
        <f>ReturnData!A12</f>
        <v>43889</v>
      </c>
      <c r="B12" s="8">
        <v>1.2666666666666666E-3</v>
      </c>
      <c r="C12" s="9">
        <f>ReturnData!B12-$B12</f>
        <v>-0.13606102231105069</v>
      </c>
      <c r="D12" s="9">
        <f>ReturnData!C12-$B12</f>
        <v>-0.12265470707883766</v>
      </c>
      <c r="E12" s="9">
        <f>ReturnData!D12-$B12</f>
        <v>-9.7114617849417911E-2</v>
      </c>
      <c r="F12" s="9">
        <f>ReturnData!E12-$B12</f>
        <v>-7.9184736666666672E-2</v>
      </c>
    </row>
    <row r="13" spans="1:10" x14ac:dyDescent="0.3">
      <c r="A13" s="1">
        <f>ReturnData!A13</f>
        <v>43861</v>
      </c>
      <c r="B13" s="8">
        <v>1.2666666666666666E-3</v>
      </c>
      <c r="C13" s="9">
        <f>ReturnData!B13-$B13</f>
        <v>0.10811799764356586</v>
      </c>
      <c r="D13" s="9">
        <f>ReturnData!C13-$B13</f>
        <v>5.1335205482089336E-2</v>
      </c>
      <c r="E13" s="9">
        <f>ReturnData!D13-$B13</f>
        <v>2.4565870911373569E-3</v>
      </c>
      <c r="F13" s="9">
        <f>ReturnData!E13-$B13</f>
        <v>-2.9944426666666667E-3</v>
      </c>
    </row>
    <row r="14" spans="1:10" x14ac:dyDescent="0.3">
      <c r="A14" s="1">
        <f>ReturnData!A14</f>
        <v>43830</v>
      </c>
      <c r="B14" s="8">
        <v>1.2833333333333334E-3</v>
      </c>
      <c r="C14" s="9">
        <f>ReturnData!B14-$B14</f>
        <v>-1.0196102602322763E-2</v>
      </c>
      <c r="D14" s="9">
        <f>ReturnData!C14-$B14</f>
        <v>9.2920677945039082E-2</v>
      </c>
      <c r="E14" s="9">
        <f>ReturnData!D14-$B14</f>
        <v>2.171738890034455E-2</v>
      </c>
      <c r="F14" s="9">
        <f>ReturnData!E14-$B14</f>
        <v>2.7207346666666667E-2</v>
      </c>
    </row>
    <row r="15" spans="1:10" x14ac:dyDescent="0.3">
      <c r="A15" s="1">
        <f>ReturnData!A15</f>
        <v>43798</v>
      </c>
      <c r="B15" s="8">
        <v>1.2833333333333334E-3</v>
      </c>
      <c r="C15" s="9">
        <f>ReturnData!B15-$B15</f>
        <v>0.12027799088097743</v>
      </c>
      <c r="D15" s="9">
        <f>ReturnData!C15-$B15</f>
        <v>7.3289717034080909E-2</v>
      </c>
      <c r="E15" s="9">
        <f>ReturnData!D15-$B15</f>
        <v>-2.1156677340094663E-2</v>
      </c>
      <c r="F15" s="9">
        <f>ReturnData!E15-$B15</f>
        <v>3.3713186666666672E-2</v>
      </c>
    </row>
    <row r="16" spans="1:10" x14ac:dyDescent="0.3">
      <c r="A16" s="1">
        <f>ReturnData!A16</f>
        <v>43769</v>
      </c>
      <c r="B16" s="8">
        <v>1.3749999999999999E-3</v>
      </c>
      <c r="C16" s="9">
        <f>ReturnData!B16-$B16</f>
        <v>0.10867250220683723</v>
      </c>
      <c r="D16" s="9">
        <f>ReturnData!C16-$B16</f>
        <v>0.10360143438882687</v>
      </c>
      <c r="E16" s="9">
        <f>ReturnData!D16-$B16</f>
        <v>5.6424879081266189E-3</v>
      </c>
      <c r="F16" s="9">
        <f>ReturnData!E16-$B16</f>
        <v>1.7880939999999998E-2</v>
      </c>
    </row>
    <row r="17" spans="1:6" x14ac:dyDescent="0.3">
      <c r="A17" s="1">
        <f>ReturnData!A17</f>
        <v>43738</v>
      </c>
      <c r="B17" s="8">
        <v>1.575E-3</v>
      </c>
      <c r="C17" s="9">
        <f>ReturnData!B17-$B17</f>
        <v>7.9865285030652156E-2</v>
      </c>
      <c r="D17" s="9">
        <f>ReturnData!C17-$B17</f>
        <v>6.8847635056953016E-2</v>
      </c>
      <c r="E17" s="9">
        <f>ReturnData!D17-$B17</f>
        <v>3.2359770685809745E-2</v>
      </c>
      <c r="F17" s="9">
        <f>ReturnData!E17-$B17</f>
        <v>1.4457970000000001E-2</v>
      </c>
    </row>
    <row r="18" spans="1:6" x14ac:dyDescent="0.3">
      <c r="A18" s="1">
        <f>ReturnData!A18</f>
        <v>43707</v>
      </c>
      <c r="B18" s="8">
        <v>1.6249999999999999E-3</v>
      </c>
      <c r="C18" s="9">
        <f>ReturnData!B18-$B18</f>
        <v>-0.23801375981209039</v>
      </c>
      <c r="D18" s="9">
        <f>ReturnData!C18-$B18</f>
        <v>-1.8333412943107211E-2</v>
      </c>
      <c r="E18" s="9">
        <f>ReturnData!D18-$B18</f>
        <v>1.6758045076933334E-2</v>
      </c>
      <c r="F18" s="9">
        <f>ReturnData!E18-$B18</f>
        <v>-2.1964330000000001E-2</v>
      </c>
    </row>
    <row r="19" spans="1:6" x14ac:dyDescent="0.3">
      <c r="A19" s="1">
        <f>ReturnData!A19</f>
        <v>43677</v>
      </c>
      <c r="B19" s="8">
        <v>1.75E-3</v>
      </c>
      <c r="C19" s="9">
        <f>ReturnData!B19-$B19</f>
        <v>-6.5232970047977828E-3</v>
      </c>
      <c r="D19" s="9">
        <f>ReturnData!C19-$B19</f>
        <v>7.1867010598402642E-2</v>
      </c>
      <c r="E19" s="9">
        <f>ReturnData!D19-$B19</f>
        <v>7.8279231735647242E-2</v>
      </c>
      <c r="F19" s="9">
        <f>ReturnData!E19-$B19</f>
        <v>1.010431E-2</v>
      </c>
    </row>
    <row r="20" spans="1:6" x14ac:dyDescent="0.3">
      <c r="A20" s="1">
        <f>ReturnData!A20</f>
        <v>43644</v>
      </c>
      <c r="B20" s="8">
        <v>1.8083333333333332E-3</v>
      </c>
      <c r="C20" s="9">
        <f>ReturnData!B20-$B20</f>
        <v>0.1055629158277723</v>
      </c>
      <c r="D20" s="9">
        <f>ReturnData!C20-$B20</f>
        <v>0.12086863027857095</v>
      </c>
      <c r="E20" s="9">
        <f>ReturnData!D20-$B20</f>
        <v>6.1630300012914661E-2</v>
      </c>
      <c r="F20" s="9">
        <f>ReturnData!E20-$B20</f>
        <v>6.5470526666666667E-2</v>
      </c>
    </row>
    <row r="21" spans="1:6" x14ac:dyDescent="0.3">
      <c r="A21" s="1">
        <f>ReturnData!A21</f>
        <v>43616</v>
      </c>
      <c r="B21" s="8">
        <v>1.9583333333333332E-3</v>
      </c>
      <c r="C21" s="9">
        <f>ReturnData!B21-$B21</f>
        <v>-7.6444615189177612E-2</v>
      </c>
      <c r="D21" s="9">
        <f>ReturnData!C21-$B21</f>
        <v>-0.13404555980746907</v>
      </c>
      <c r="E21" s="9">
        <f>ReturnData!D21-$B21</f>
        <v>-3.6060683513059293E-2</v>
      </c>
      <c r="F21" s="9">
        <f>ReturnData!E21-$B21</f>
        <v>-6.3636893333333333E-2</v>
      </c>
    </row>
    <row r="22" spans="1:6" x14ac:dyDescent="0.3">
      <c r="A22" s="1">
        <f>ReturnData!A22</f>
        <v>43585</v>
      </c>
      <c r="B22" s="8">
        <v>1.983333333333333E-3</v>
      </c>
      <c r="C22" s="9">
        <f>ReturnData!B22-$B22</f>
        <v>1.5874314479630617E-2</v>
      </c>
      <c r="D22" s="9">
        <f>ReturnData!C22-$B22</f>
        <v>5.2917561772864226E-2</v>
      </c>
      <c r="E22" s="9">
        <f>ReturnData!D22-$B22</f>
        <v>2.8082939506709374E-2</v>
      </c>
      <c r="F22" s="9">
        <f>ReturnData!E22-$B22</f>
        <v>3.590525666666667E-2</v>
      </c>
    </row>
    <row r="23" spans="1:6" x14ac:dyDescent="0.3">
      <c r="A23" s="1">
        <f>ReturnData!A23</f>
        <v>43553</v>
      </c>
      <c r="B23" s="8">
        <v>2E-3</v>
      </c>
      <c r="C23" s="9">
        <f>ReturnData!B23-$B23</f>
        <v>-4.0258768071201212E-2</v>
      </c>
      <c r="D23" s="9">
        <f>ReturnData!C23-$B23</f>
        <v>9.0602627968966454E-2</v>
      </c>
      <c r="E23" s="9">
        <f>ReturnData!D23-$B23</f>
        <v>5.2307517604044618E-2</v>
      </c>
      <c r="F23" s="9">
        <f>ReturnData!E23-$B23</f>
        <v>1.0963510000000001E-2</v>
      </c>
    </row>
    <row r="24" spans="1:6" x14ac:dyDescent="0.3">
      <c r="A24" s="1">
        <f>ReturnData!A24</f>
        <v>43524</v>
      </c>
      <c r="B24" s="8">
        <v>1.9916666666666668E-3</v>
      </c>
      <c r="C24" s="9">
        <f>ReturnData!B24-$B24</f>
        <v>5.7913813252425894E-2</v>
      </c>
      <c r="D24" s="9">
        <f>ReturnData!C24-$B24</f>
        <v>4.173880567860605E-2</v>
      </c>
      <c r="E24" s="9">
        <f>ReturnData!D24-$B24</f>
        <v>1.9340306062486549E-2</v>
      </c>
      <c r="F24" s="9">
        <f>ReturnData!E24-$B24</f>
        <v>3.0731863333333335E-2</v>
      </c>
    </row>
    <row r="25" spans="1:6" x14ac:dyDescent="0.3">
      <c r="A25" s="1">
        <f>ReturnData!A25</f>
        <v>43496</v>
      </c>
      <c r="B25" s="8">
        <v>1.9750000000000002E-3</v>
      </c>
      <c r="C25" s="9">
        <f>ReturnData!B25-$B25</f>
        <v>0.29229033700594959</v>
      </c>
      <c r="D25" s="9">
        <f>ReturnData!C25-$B25</f>
        <v>5.17117559891161E-2</v>
      </c>
      <c r="E25" s="9">
        <f>ReturnData!D25-$B25</f>
        <v>5.3745414298676249E-2</v>
      </c>
      <c r="F25" s="9">
        <f>ReturnData!E25-$B25</f>
        <v>8.6320239999999993E-2</v>
      </c>
    </row>
    <row r="26" spans="1:6" x14ac:dyDescent="0.3">
      <c r="A26" s="1">
        <f>ReturnData!A26</f>
        <v>43465</v>
      </c>
      <c r="B26" s="8">
        <v>1.9750000000000002E-3</v>
      </c>
      <c r="C26" s="9">
        <f>ReturnData!B26-$B26</f>
        <v>8.6352017291473938E-3</v>
      </c>
      <c r="D26" s="9">
        <f>ReturnData!C26-$B26</f>
        <v>-0.12606354754847365</v>
      </c>
      <c r="E26" s="9">
        <f>ReturnData!D26-$B26</f>
        <v>-2.9762057989776543E-2</v>
      </c>
      <c r="F26" s="9">
        <f>ReturnData!E26-$B26</f>
        <v>-9.186395E-2</v>
      </c>
    </row>
    <row r="27" spans="1:6" x14ac:dyDescent="0.3">
      <c r="A27" s="1">
        <f>ReturnData!A27</f>
        <v>43434</v>
      </c>
      <c r="B27" s="8">
        <v>1.9416666666666666E-3</v>
      </c>
      <c r="C27" s="9">
        <f>ReturnData!B27-$B27</f>
        <v>-0.29957410774089505</v>
      </c>
      <c r="D27" s="9">
        <f>ReturnData!C27-$B27</f>
        <v>-0.20125776362342535</v>
      </c>
      <c r="E27" s="9">
        <f>ReturnData!D27-$B27</f>
        <v>6.1729616754094226E-2</v>
      </c>
      <c r="F27" s="9">
        <f>ReturnData!E27-$B27</f>
        <v>1.6547823333333333E-2</v>
      </c>
    </row>
    <row r="28" spans="1:6" x14ac:dyDescent="0.3">
      <c r="A28" s="1">
        <f>ReturnData!A28</f>
        <v>43404</v>
      </c>
      <c r="B28" s="8">
        <v>1.8749999999999999E-3</v>
      </c>
      <c r="C28" s="9">
        <f>ReturnData!B28-$B28</f>
        <v>-0.11325691316624902</v>
      </c>
      <c r="D28" s="9">
        <f>ReturnData!C28-$B28</f>
        <v>-3.2826660082436662E-2</v>
      </c>
      <c r="E28" s="9">
        <f>ReturnData!D28-$B28</f>
        <v>6.9606464890806199E-2</v>
      </c>
      <c r="F28" s="9">
        <f>ReturnData!E28-$B28</f>
        <v>-7.595070000000001E-2</v>
      </c>
    </row>
    <row r="29" spans="1:6" x14ac:dyDescent="0.3">
      <c r="A29" s="1">
        <f>ReturnData!A29</f>
        <v>43371</v>
      </c>
      <c r="B29" s="8">
        <v>1.7749999999999999E-3</v>
      </c>
      <c r="C29" s="9">
        <f>ReturnData!B29-$B29</f>
        <v>-0.12760809634926287</v>
      </c>
      <c r="D29" s="9">
        <f>ReturnData!C29-$B29</f>
        <v>-1.0112606348441718E-2</v>
      </c>
      <c r="E29" s="9">
        <f>ReturnData!D29-$B29</f>
        <v>1.5949202450954148E-3</v>
      </c>
      <c r="F29" s="9">
        <f>ReturnData!E29-$B29</f>
        <v>-1.3428579999999999E-3</v>
      </c>
    </row>
    <row r="30" spans="1:6" x14ac:dyDescent="0.3">
      <c r="A30" s="1">
        <f>ReturnData!A30</f>
        <v>43343</v>
      </c>
      <c r="B30" s="8">
        <v>1.6916666666666664E-3</v>
      </c>
      <c r="C30" s="9">
        <f>ReturnData!B30-$B30</f>
        <v>-5.3641664126480991E-2</v>
      </c>
      <c r="D30" s="9">
        <f>ReturnData!C30-$B30</f>
        <v>0.18068249686337465</v>
      </c>
      <c r="E30" s="9">
        <f>ReturnData!D30-$B30</f>
        <v>2.3579772425971181E-2</v>
      </c>
      <c r="F30" s="9">
        <f>ReturnData!E30-$B30</f>
        <v>2.8512733333333332E-2</v>
      </c>
    </row>
    <row r="31" spans="1:6" x14ac:dyDescent="0.3">
      <c r="A31" s="1">
        <f>ReturnData!A31</f>
        <v>43312</v>
      </c>
      <c r="B31" s="8">
        <v>1.6333333333333332E-3</v>
      </c>
      <c r="C31" s="9">
        <f>ReturnData!B31-$B31</f>
        <v>-1.6487066624244697E-4</v>
      </c>
      <c r="D31" s="9">
        <f>ReturnData!C31-$B31</f>
        <v>2.5965609429459621E-2</v>
      </c>
      <c r="E31" s="9">
        <f>ReturnData!D31-$B31</f>
        <v>4.2683849955567552E-2</v>
      </c>
      <c r="F31" s="9">
        <f>ReturnData!E31-$B31</f>
        <v>2.9969356666666669E-2</v>
      </c>
    </row>
    <row r="32" spans="1:6" x14ac:dyDescent="0.3">
      <c r="A32" s="1">
        <f>ReturnData!A32</f>
        <v>43280</v>
      </c>
      <c r="B32" s="8">
        <v>1.5833333333333333E-3</v>
      </c>
      <c r="C32" s="9">
        <f>ReturnData!B32-$B32</f>
        <v>-2.6755484065399245E-2</v>
      </c>
      <c r="D32" s="9">
        <f>ReturnData!C32-$B32</f>
        <v>-1.1046248869204529E-2</v>
      </c>
      <c r="E32" s="9">
        <f>ReturnData!D32-$B32</f>
        <v>6.3108921271839133E-2</v>
      </c>
      <c r="F32" s="9">
        <f>ReturnData!E32-$B32</f>
        <v>3.7793036666666667E-3</v>
      </c>
    </row>
    <row r="33" spans="1:6" x14ac:dyDescent="0.3">
      <c r="A33" s="1">
        <f>ReturnData!A33</f>
        <v>43251</v>
      </c>
      <c r="B33" s="8">
        <v>1.5500000000000002E-3</v>
      </c>
      <c r="C33" s="9">
        <f>ReturnData!B33-$B33</f>
        <v>-8.3950412518391405E-4</v>
      </c>
      <c r="D33" s="9">
        <f>ReturnData!C33-$B33</f>
        <v>0.12524205261249793</v>
      </c>
      <c r="E33" s="9">
        <f>ReturnData!D33-$B33</f>
        <v>9.8582999708982065E-3</v>
      </c>
      <c r="F33" s="9">
        <f>ReturnData!E33-$B33</f>
        <v>2.4624670000000001E-2</v>
      </c>
    </row>
    <row r="34" spans="1:6" x14ac:dyDescent="0.3">
      <c r="A34" s="1">
        <f>ReturnData!A34</f>
        <v>43220</v>
      </c>
      <c r="B34" s="8">
        <v>1.4666666666666667E-3</v>
      </c>
      <c r="C34" s="9">
        <f>ReturnData!B34-$B34</f>
        <v>4.1371111244378707E-2</v>
      </c>
      <c r="D34" s="9">
        <f>ReturnData!C34-$B34</f>
        <v>-1.6600298775685637E-2</v>
      </c>
      <c r="E34" s="9">
        <f>ReturnData!D34-$B34</f>
        <v>-8.3209895706731263E-2</v>
      </c>
      <c r="F34" s="9">
        <f>ReturnData!E34-$B34</f>
        <v>3.2434483333333335E-3</v>
      </c>
    </row>
    <row r="35" spans="1:6" x14ac:dyDescent="0.3">
      <c r="A35" s="1">
        <f>ReturnData!A35</f>
        <v>43188</v>
      </c>
      <c r="B35" s="8">
        <v>1.4166666666666666E-3</v>
      </c>
      <c r="C35" s="9">
        <f>ReturnData!B35-$B35</f>
        <v>-4.709333667408315E-2</v>
      </c>
      <c r="D35" s="9">
        <f>ReturnData!C35-$B35</f>
        <v>-6.1220529564586942E-2</v>
      </c>
      <c r="E35" s="9">
        <f>ReturnData!D35-$B35</f>
        <v>8.2158813020347214E-3</v>
      </c>
      <c r="F35" s="9">
        <f>ReturnData!E35-$B35</f>
        <v>-1.9870926666666667E-2</v>
      </c>
    </row>
    <row r="36" spans="1:6" x14ac:dyDescent="0.3">
      <c r="A36" s="1">
        <f>ReturnData!A36</f>
        <v>43159</v>
      </c>
      <c r="B36" s="8">
        <v>1.3083333333333334E-3</v>
      </c>
      <c r="C36" s="9">
        <f>ReturnData!B36-$B36</f>
        <v>-0.12911362385400479</v>
      </c>
      <c r="D36" s="9">
        <f>ReturnData!C36-$B36</f>
        <v>6.4114511174183347E-2</v>
      </c>
      <c r="E36" s="9">
        <f>ReturnData!D36-$B36</f>
        <v>-9.6247954390017737E-2</v>
      </c>
      <c r="F36" s="9">
        <f>ReturnData!E36-$B36</f>
        <v>-4.0819443333333337E-2</v>
      </c>
    </row>
    <row r="37" spans="1:6" x14ac:dyDescent="0.3">
      <c r="A37" s="1">
        <f>ReturnData!A37</f>
        <v>43131</v>
      </c>
      <c r="B37" s="8">
        <v>1.1749999999999998E-3</v>
      </c>
      <c r="C37" s="9">
        <f>ReturnData!B37-$B37</f>
        <v>-7.735701406263791E-2</v>
      </c>
      <c r="D37" s="9">
        <f>ReturnData!C37-$B37</f>
        <v>-1.186840145002906E-2</v>
      </c>
      <c r="E37" s="9">
        <f>ReturnData!D37-$B37</f>
        <v>-5.5410099437268455E-2</v>
      </c>
      <c r="F37" s="9">
        <f>ReturnData!E37-$B37</f>
        <v>4.945165E-2</v>
      </c>
    </row>
    <row r="38" spans="1:6" x14ac:dyDescent="0.3">
      <c r="A38" s="1">
        <f>ReturnData!A38</f>
        <v>43098</v>
      </c>
      <c r="B38" s="8">
        <v>1.1000000000000001E-3</v>
      </c>
      <c r="C38" s="9">
        <f>ReturnData!B38-$B38</f>
        <v>-4.1261566989747485E-2</v>
      </c>
      <c r="D38" s="9">
        <f>ReturnData!C38-$B38</f>
        <v>-1.6463327638852731E-2</v>
      </c>
      <c r="E38" s="9">
        <f>ReturnData!D38-$B38</f>
        <v>1.9684818620428247E-2</v>
      </c>
      <c r="F38" s="9">
        <f>ReturnData!E38-$B38</f>
        <v>1.105269E-2</v>
      </c>
    </row>
    <row r="39" spans="1:6" x14ac:dyDescent="0.3">
      <c r="A39" s="1">
        <f>ReturnData!A39</f>
        <v>43069</v>
      </c>
      <c r="B39" s="8">
        <v>1.0250000000000001E-3</v>
      </c>
      <c r="C39" s="9">
        <f>ReturnData!B39-$B39</f>
        <v>-9.8370923175381264E-2</v>
      </c>
      <c r="D39" s="9">
        <f>ReturnData!C39-$B39</f>
        <v>1.9120989489611436E-2</v>
      </c>
      <c r="E39" s="9">
        <f>ReturnData!D39-$B39</f>
        <v>4.0380581594974985E-2</v>
      </c>
      <c r="F39" s="9">
        <f>ReturnData!E39-$B39</f>
        <v>2.6227489999999999E-2</v>
      </c>
    </row>
    <row r="40" spans="1:6" x14ac:dyDescent="0.3">
      <c r="A40" s="1">
        <f>ReturnData!A40</f>
        <v>43039</v>
      </c>
      <c r="B40" s="8">
        <v>8.9166666666666669E-4</v>
      </c>
      <c r="C40" s="9">
        <f>ReturnData!B40-$B40</f>
        <v>-0.18271708883998911</v>
      </c>
      <c r="D40" s="9">
        <f>ReturnData!C40-$B40</f>
        <v>9.1512178847440964E-2</v>
      </c>
      <c r="E40" s="9">
        <f>ReturnData!D40-$B40</f>
        <v>-4.5283157215527822E-2</v>
      </c>
      <c r="F40" s="9">
        <f>ReturnData!E40-$B40</f>
        <v>1.8385123333333336E-2</v>
      </c>
    </row>
    <row r="41" spans="1:6" x14ac:dyDescent="0.3">
      <c r="A41" s="1">
        <f>ReturnData!A41</f>
        <v>43007</v>
      </c>
      <c r="B41" s="8">
        <v>8.5833333333333334E-4</v>
      </c>
      <c r="C41" s="9">
        <f>ReturnData!B41-$B41</f>
        <v>-6.1676755370529248E-3</v>
      </c>
      <c r="D41" s="9">
        <f>ReturnData!C41-$B41</f>
        <v>-6.2993273081463227E-2</v>
      </c>
      <c r="E41" s="9">
        <f>ReturnData!D41-$B41</f>
        <v>-1.4937619502814064E-2</v>
      </c>
      <c r="F41" s="9">
        <f>ReturnData!E41-$B41</f>
        <v>2.291911666666667E-2</v>
      </c>
    </row>
    <row r="42" spans="1:6" x14ac:dyDescent="0.3">
      <c r="A42" s="1">
        <f>ReturnData!A42</f>
        <v>42978</v>
      </c>
      <c r="B42" s="8">
        <v>8.4166666666666667E-4</v>
      </c>
      <c r="C42" s="9">
        <f>ReturnData!B42-$B42</f>
        <v>-4.3112767547082632E-2</v>
      </c>
      <c r="D42" s="9">
        <f>ReturnData!C42-$B42</f>
        <v>0.10072631208608214</v>
      </c>
      <c r="E42" s="9">
        <f>ReturnData!D42-$B42</f>
        <v>1.4997836232582403E-2</v>
      </c>
      <c r="F42" s="9">
        <f>ReturnData!E42-$B42</f>
        <v>7.3297933333333341E-4</v>
      </c>
    </row>
    <row r="43" spans="1:6" x14ac:dyDescent="0.3">
      <c r="A43" s="1">
        <f>ReturnData!A43</f>
        <v>42947</v>
      </c>
      <c r="B43" s="8">
        <v>8.9166666666666669E-4</v>
      </c>
      <c r="C43" s="9">
        <f>ReturnData!B43-$B43</f>
        <v>-5.4115918901175661E-2</v>
      </c>
      <c r="D43" s="9">
        <f>ReturnData!C43-$B43</f>
        <v>3.1288677725082994E-2</v>
      </c>
      <c r="E43" s="9">
        <f>ReturnData!D43-$B43</f>
        <v>4.7921425234452045E-2</v>
      </c>
      <c r="F43" s="9">
        <f>ReturnData!E43-$B43</f>
        <v>1.9417123333333335E-2</v>
      </c>
    </row>
    <row r="44" spans="1:6" x14ac:dyDescent="0.3">
      <c r="A44" s="1">
        <f>ReturnData!A44</f>
        <v>42916</v>
      </c>
      <c r="B44" s="8">
        <v>8.166666666666666E-4</v>
      </c>
      <c r="C44" s="9">
        <f>ReturnData!B44-$B44</f>
        <v>-5.5759265639125713E-3</v>
      </c>
      <c r="D44" s="9">
        <f>ReturnData!C44-$B44</f>
        <v>-5.9732484578073987E-2</v>
      </c>
      <c r="E44" s="9">
        <f>ReturnData!D44-$B44</f>
        <v>-1.1544854741327694E-2</v>
      </c>
      <c r="F44" s="9">
        <f>ReturnData!E44-$B44</f>
        <v>8.7348263333333342E-3</v>
      </c>
    </row>
    <row r="45" spans="1:6" x14ac:dyDescent="0.3">
      <c r="A45" s="1">
        <f>ReturnData!A45</f>
        <v>42886</v>
      </c>
      <c r="B45" s="8">
        <v>7.4166666666666662E-4</v>
      </c>
      <c r="C45" s="9">
        <f>ReturnData!B45-$B45</f>
        <v>-5.7879812496058475E-2</v>
      </c>
      <c r="D45" s="9">
        <f>ReturnData!C45-$B45</f>
        <v>6.4862252314014074E-2</v>
      </c>
      <c r="E45" s="9">
        <f>ReturnData!D45-$B45</f>
        <v>7.9232434899576282E-3</v>
      </c>
      <c r="F45" s="9">
        <f>ReturnData!E45-$B45</f>
        <v>8.5616363333333341E-3</v>
      </c>
    </row>
    <row r="46" spans="1:6" x14ac:dyDescent="0.3">
      <c r="A46" s="1">
        <f>ReturnData!A46</f>
        <v>42853</v>
      </c>
      <c r="B46" s="8">
        <v>6.6666666666666675E-4</v>
      </c>
      <c r="C46" s="9">
        <f>ReturnData!B46-$B46</f>
        <v>-2.8224099537665543E-2</v>
      </c>
      <c r="D46" s="9">
        <f>ReturnData!C46-$B46</f>
        <v>-7.3634586832412442E-4</v>
      </c>
      <c r="E46" s="9">
        <f>ReturnData!D46-$B46</f>
        <v>-2.124872526403106E-2</v>
      </c>
      <c r="F46" s="9">
        <f>ReturnData!E46-$B46</f>
        <v>8.960908333333335E-3</v>
      </c>
    </row>
    <row r="47" spans="1:6" x14ac:dyDescent="0.3">
      <c r="A47" s="1">
        <f>ReturnData!A47</f>
        <v>42825</v>
      </c>
      <c r="B47" s="8">
        <v>6.1666666666666662E-4</v>
      </c>
      <c r="C47" s="9">
        <f>ReturnData!B47-$B47</f>
        <v>-9.52188531898336E-4</v>
      </c>
      <c r="D47" s="9">
        <f>ReturnData!C47-$B47</f>
        <v>4.6924784909179659E-2</v>
      </c>
      <c r="E47" s="9">
        <f>ReturnData!D47-$B47</f>
        <v>-1.4103508648338049E-2</v>
      </c>
      <c r="F47" s="9">
        <f>ReturnData!E47-$B47</f>
        <v>1.4783023333333337E-3</v>
      </c>
    </row>
    <row r="48" spans="1:6" x14ac:dyDescent="0.3">
      <c r="A48" s="1">
        <f>ReturnData!A48</f>
        <v>42794</v>
      </c>
      <c r="B48" s="8">
        <v>4.3333333333333337E-4</v>
      </c>
      <c r="C48" s="9">
        <f>ReturnData!B48-$B48</f>
        <v>1.128223820021574E-2</v>
      </c>
      <c r="D48" s="9">
        <f>ReturnData!C48-$B48</f>
        <v>0.12494797251318186</v>
      </c>
      <c r="E48" s="9">
        <f>ReturnData!D48-$B48</f>
        <v>3.8414124371755239E-2</v>
      </c>
      <c r="F48" s="9">
        <f>ReturnData!E48-$B48</f>
        <v>3.2198566666666664E-2</v>
      </c>
    </row>
    <row r="49" spans="1:6" x14ac:dyDescent="0.3">
      <c r="A49" s="1">
        <f>ReturnData!A49</f>
        <v>42766</v>
      </c>
      <c r="B49" s="8">
        <v>4.2500000000000003E-4</v>
      </c>
      <c r="C49" s="9">
        <f>ReturnData!B49-$B49</f>
        <v>-6.2435061167842247E-2</v>
      </c>
      <c r="D49" s="9">
        <f>ReturnData!C49-$B49</f>
        <v>4.6216660435683184E-2</v>
      </c>
      <c r="E49" s="9">
        <f>ReturnData!D49-$B49</f>
        <v>4.8200868868997555E-2</v>
      </c>
      <c r="F49" s="9">
        <f>ReturnData!E49-$B49</f>
        <v>2.1751670000000001E-2</v>
      </c>
    </row>
    <row r="50" spans="1:6" x14ac:dyDescent="0.3">
      <c r="A50" s="1">
        <f>ReturnData!A50</f>
        <v>42734</v>
      </c>
      <c r="B50" s="8">
        <v>4.2500000000000003E-4</v>
      </c>
      <c r="C50" s="9">
        <f>ReturnData!B50-$B50</f>
        <v>3.4083220710199653E-2</v>
      </c>
      <c r="D50" s="9">
        <f>ReturnData!C50-$B50</f>
        <v>4.6415789481505938E-2</v>
      </c>
      <c r="E50" s="9">
        <f>ReturnData!D50-$B50</f>
        <v>1.9030432170155438E-2</v>
      </c>
      <c r="F50" s="9">
        <f>ReturnData!E50-$B50</f>
        <v>1.8342820000000003E-2</v>
      </c>
    </row>
    <row r="51" spans="1:6" x14ac:dyDescent="0.3">
      <c r="A51" s="1">
        <f>ReturnData!A51</f>
        <v>42704</v>
      </c>
      <c r="B51" s="8">
        <v>3.7500000000000001E-4</v>
      </c>
      <c r="C51" s="9">
        <f>ReturnData!B51-$B51</f>
        <v>5.510196479196329E-2</v>
      </c>
      <c r="D51" s="9">
        <f>ReturnData!C51-$B51</f>
        <v>-2.218955249495734E-2</v>
      </c>
      <c r="E51" s="9">
        <f>ReturnData!D51-$B51</f>
        <v>-5.1668340648734365E-2</v>
      </c>
      <c r="F51" s="9">
        <f>ReturnData!E51-$B51</f>
        <v>4.0170749999999998E-2</v>
      </c>
    </row>
    <row r="52" spans="1:6" x14ac:dyDescent="0.3">
      <c r="A52" s="1">
        <f>ReturnData!A52</f>
        <v>42674</v>
      </c>
      <c r="B52" s="8">
        <v>2.7500000000000002E-4</v>
      </c>
      <c r="C52" s="9">
        <f>ReturnData!B52-$B52</f>
        <v>-1.7986649886615889E-2</v>
      </c>
      <c r="D52" s="9">
        <f>ReturnData!C52-$B52</f>
        <v>4.0499800873184085E-3</v>
      </c>
      <c r="E52" s="9">
        <f>ReturnData!D52-$B52</f>
        <v>-2.6012831385460376E-2</v>
      </c>
      <c r="F52" s="9">
        <f>ReturnData!E52-$B52</f>
        <v>-2.1861220000000001E-2</v>
      </c>
    </row>
    <row r="53" spans="1:6" x14ac:dyDescent="0.3">
      <c r="A53" s="1">
        <f>ReturnData!A53</f>
        <v>42643</v>
      </c>
      <c r="B53" s="8">
        <v>2.4166666666666664E-4</v>
      </c>
      <c r="C53" s="9">
        <f>ReturnData!B53-$B53</f>
        <v>-4.5756116218179849E-2</v>
      </c>
      <c r="D53" s="9">
        <f>ReturnData!C53-$B53</f>
        <v>6.3206527813652907E-2</v>
      </c>
      <c r="E53" s="9">
        <f>ReturnData!D53-$B53</f>
        <v>2.7321384841510393E-2</v>
      </c>
      <c r="F53" s="9">
        <f>ReturnData!E53-$B53</f>
        <v>2.7782373333333338E-3</v>
      </c>
    </row>
    <row r="54" spans="1:6" x14ac:dyDescent="0.3">
      <c r="A54" s="1">
        <f>ReturnData!A54</f>
        <v>42613</v>
      </c>
      <c r="B54" s="8">
        <v>2.5000000000000001E-4</v>
      </c>
      <c r="C54" s="9">
        <f>ReturnData!B54-$B54</f>
        <v>2.9561708393125163E-3</v>
      </c>
      <c r="D54" s="9">
        <f>ReturnData!C54-$B54</f>
        <v>2.3081857046742232E-2</v>
      </c>
      <c r="E54" s="9">
        <f>ReturnData!D54-$B54</f>
        <v>1.964656475334467E-2</v>
      </c>
      <c r="F54" s="9">
        <f>ReturnData!E54-$B54</f>
        <v>2.5496640000000001E-3</v>
      </c>
    </row>
    <row r="55" spans="1:6" x14ac:dyDescent="0.3">
      <c r="A55" s="1">
        <f>ReturnData!A55</f>
        <v>42580</v>
      </c>
      <c r="B55" s="8">
        <v>2.5000000000000001E-4</v>
      </c>
      <c r="C55" s="9">
        <f>ReturnData!B55-$B55</f>
        <v>-1.1109262202180364E-2</v>
      </c>
      <c r="D55" s="9">
        <f>ReturnData!C55-$B55</f>
        <v>8.5985281122649443E-2</v>
      </c>
      <c r="E55" s="9">
        <f>ReturnData!D55-$B55</f>
        <v>1.834882621313691E-2</v>
      </c>
      <c r="F55" s="9">
        <f>ReturnData!E55-$B55</f>
        <v>3.8596079999999998E-2</v>
      </c>
    </row>
    <row r="56" spans="1:6" x14ac:dyDescent="0.3">
      <c r="A56" s="1">
        <f>ReturnData!A56</f>
        <v>42551</v>
      </c>
      <c r="B56" s="8">
        <v>2.2500000000000002E-4</v>
      </c>
      <c r="C56" s="9">
        <f>ReturnData!B56-$B56</f>
        <v>4.7572280597221545E-2</v>
      </c>
      <c r="D56" s="9">
        <f>ReturnData!C56-$B56</f>
        <v>-4.3821407088256853E-2</v>
      </c>
      <c r="E56" s="9">
        <f>ReturnData!D56-$B56</f>
        <v>4.3593454790750746E-2</v>
      </c>
      <c r="F56" s="9">
        <f>ReturnData!E56-$B56</f>
        <v>2.7012360000000001E-3</v>
      </c>
    </row>
    <row r="57" spans="1:6" x14ac:dyDescent="0.3">
      <c r="A57" s="1">
        <f>ReturnData!A57</f>
        <v>42521</v>
      </c>
      <c r="B57" s="8">
        <v>2.2500000000000002E-4</v>
      </c>
      <c r="C57" s="9">
        <f>ReturnData!B57-$B57</f>
        <v>-1.7280200603855347E-2</v>
      </c>
      <c r="D57" s="9">
        <f>ReturnData!C57-$B57</f>
        <v>6.8711003705740487E-2</v>
      </c>
      <c r="E57" s="9">
        <f>ReturnData!D57-$B57</f>
        <v>1.1192326159184782E-2</v>
      </c>
      <c r="F57" s="9">
        <f>ReturnData!E57-$B57</f>
        <v>1.404384E-2</v>
      </c>
    </row>
    <row r="58" spans="1:6" x14ac:dyDescent="0.3">
      <c r="A58" s="1">
        <f>ReturnData!A58</f>
        <v>42489</v>
      </c>
      <c r="B58" s="8">
        <v>1.9166666666666667E-4</v>
      </c>
      <c r="C58" s="9">
        <f>ReturnData!B58-$B58</f>
        <v>-3.3453476136075487E-2</v>
      </c>
      <c r="D58" s="9">
        <f>ReturnData!C58-$B58</f>
        <v>-0.1509228122619731</v>
      </c>
      <c r="E58" s="9">
        <f>ReturnData!D58-$B58</f>
        <v>-1.8837203488263864E-2</v>
      </c>
      <c r="F58" s="9">
        <f>ReturnData!E58-$B58</f>
        <v>1.1544913333333334E-2</v>
      </c>
    </row>
    <row r="59" spans="1:6" x14ac:dyDescent="0.3">
      <c r="A59" s="1">
        <f>ReturnData!A59</f>
        <v>42460</v>
      </c>
      <c r="B59" s="8">
        <v>2.4166666666666664E-4</v>
      </c>
      <c r="C59" s="9">
        <f>ReturnData!B59-$B59</f>
        <v>8.6798357233699913E-2</v>
      </c>
      <c r="D59" s="9">
        <f>ReturnData!C59-$B59</f>
        <v>0.11950443888902254</v>
      </c>
      <c r="E59" s="9">
        <f>ReturnData!D59-$B59</f>
        <v>2.4605819057422124E-2</v>
      </c>
      <c r="F59" s="9">
        <f>ReturnData!E59-$B59</f>
        <v>7.0339523333333334E-2</v>
      </c>
    </row>
    <row r="60" spans="1:6" x14ac:dyDescent="0.3">
      <c r="A60" s="1">
        <f>ReturnData!A60</f>
        <v>42429</v>
      </c>
      <c r="B60" s="8">
        <v>2.5833333333333334E-4</v>
      </c>
      <c r="C60" s="9">
        <f>ReturnData!B60-$B60</f>
        <v>8.9772039514210145E-3</v>
      </c>
      <c r="D60" s="9">
        <f>ReturnData!C60-$B60</f>
        <v>-1.5946883652734063E-3</v>
      </c>
      <c r="E60" s="9">
        <f>ReturnData!D60-$B60</f>
        <v>-1.7544866973992462E-2</v>
      </c>
      <c r="F60" s="9">
        <f>ReturnData!E60-$B60</f>
        <v>3.4606466666666668E-4</v>
      </c>
    </row>
    <row r="61" spans="1:6" x14ac:dyDescent="0.3">
      <c r="A61" s="1">
        <f>ReturnData!A61</f>
        <v>42398</v>
      </c>
      <c r="B61" s="8">
        <v>2.1666666666666668E-4</v>
      </c>
      <c r="C61" s="9">
        <f>ReturnData!B61-$B61</f>
        <v>-6.8292712367537783E-2</v>
      </c>
      <c r="D61" s="9">
        <f>ReturnData!C61-$B61</f>
        <v>-7.8440200103624763E-2</v>
      </c>
      <c r="E61" s="9">
        <f>ReturnData!D61-$B61</f>
        <v>3.6172683150367126E-2</v>
      </c>
      <c r="F61" s="9">
        <f>ReturnData!E61-$B61</f>
        <v>-5.7396786666666665E-2</v>
      </c>
    </row>
    <row r="62" spans="1:6" x14ac:dyDescent="0.3">
      <c r="A62" s="1">
        <f>ReturnData!A62</f>
        <v>42369</v>
      </c>
      <c r="B62" s="8">
        <v>1.9166666666666667E-4</v>
      </c>
      <c r="C62" s="9">
        <f>ReturnData!B62-$B62</f>
        <v>4.6783671785642834E-2</v>
      </c>
      <c r="D62" s="9">
        <f>ReturnData!C62-$B62</f>
        <v>-0.11698196322734575</v>
      </c>
      <c r="E62" s="9">
        <f>ReturnData!D62-$B62</f>
        <v>5.9080231883554969E-2</v>
      </c>
      <c r="F62" s="9">
        <f>ReturnData!E62-$B62</f>
        <v>-2.2480086666666666E-2</v>
      </c>
    </row>
    <row r="63" spans="1:6" x14ac:dyDescent="0.3">
      <c r="A63" s="1">
        <f>ReturnData!A63</f>
        <v>42338</v>
      </c>
      <c r="B63" s="8">
        <v>9.9999999999999991E-5</v>
      </c>
      <c r="C63" s="9">
        <f>ReturnData!B63-$B63</f>
        <v>3.4561996900410494E-2</v>
      </c>
      <c r="D63" s="9">
        <f>ReturnData!C63-$B63</f>
        <v>-5.8066029206214178E-3</v>
      </c>
      <c r="E63" s="9">
        <f>ReturnData!D63-$B63</f>
        <v>-2.0468393364556425E-2</v>
      </c>
      <c r="F63" s="9">
        <f>ReturnData!E63-$B63</f>
        <v>2.3256760000000005E-3</v>
      </c>
    </row>
    <row r="64" spans="1:6" x14ac:dyDescent="0.3">
      <c r="A64" s="1">
        <f>ReturnData!A64</f>
        <v>42307</v>
      </c>
      <c r="B64" s="8">
        <v>1.6666666666666667E-5</v>
      </c>
      <c r="C64" s="9">
        <f>ReturnData!B64-$B64</f>
        <v>0.13687942995145719</v>
      </c>
      <c r="D64" s="9">
        <f>ReturnData!C64-$B64</f>
        <v>8.0095750777647301E-2</v>
      </c>
      <c r="E64" s="9">
        <f>ReturnData!D64-$B64</f>
        <v>6.851323466718251E-2</v>
      </c>
      <c r="F64" s="9">
        <f>ReturnData!E64-$B64</f>
        <v>7.4022953333333336E-2</v>
      </c>
    </row>
    <row r="65" spans="1:6" x14ac:dyDescent="0.3">
      <c r="A65" s="1">
        <f>ReturnData!A65</f>
        <v>42277</v>
      </c>
      <c r="B65" s="8">
        <v>1.6666666666666667E-5</v>
      </c>
      <c r="C65" s="9">
        <f>ReturnData!B65-$B65</f>
        <v>2.5049282032727601E-2</v>
      </c>
      <c r="D65" s="9">
        <f>ReturnData!C65-$B65</f>
        <v>-2.2074397930258342E-2</v>
      </c>
      <c r="E65" s="9">
        <f>ReturnData!D65-$B65</f>
        <v>1.7794676744678047E-2</v>
      </c>
      <c r="F65" s="9">
        <f>ReturnData!E65-$B65</f>
        <v>-3.3847246666666664E-2</v>
      </c>
    </row>
    <row r="66" spans="1:6" x14ac:dyDescent="0.3">
      <c r="A66" s="1">
        <f>ReturnData!A66</f>
        <v>42247</v>
      </c>
      <c r="B66" s="8">
        <v>5.833333333333334E-5</v>
      </c>
      <c r="C66" s="9">
        <f>ReturnData!B66-$B66</f>
        <v>-5.0343894796777207E-2</v>
      </c>
      <c r="D66" s="9">
        <f>ReturnData!C66-$B66</f>
        <v>-6.846252580709794E-2</v>
      </c>
      <c r="E66" s="9">
        <f>ReturnData!D66-$B66</f>
        <v>-8.1938873125472267E-2</v>
      </c>
      <c r="F66" s="9">
        <f>ReturnData!E66-$B66</f>
        <v>-6.0037333333333338E-2</v>
      </c>
    </row>
    <row r="67" spans="1:6" x14ac:dyDescent="0.3">
      <c r="A67" s="1">
        <f>ReturnData!A67</f>
        <v>42216</v>
      </c>
      <c r="B67" s="8">
        <v>2.4999999999999998E-5</v>
      </c>
      <c r="C67" s="9">
        <f>ReturnData!B67-$B67</f>
        <v>-1.7872419341648686E-2</v>
      </c>
      <c r="D67" s="9">
        <f>ReturnData!C67-$B67</f>
        <v>-3.3466153592886239E-2</v>
      </c>
      <c r="E67" s="9">
        <f>ReturnData!D67-$B67</f>
        <v>-1.1298700729217851E-2</v>
      </c>
      <c r="F67" s="9">
        <f>ReturnData!E67-$B67</f>
        <v>1.20383E-2</v>
      </c>
    </row>
    <row r="68" spans="1:6" x14ac:dyDescent="0.3">
      <c r="A68" s="1">
        <f>ReturnData!A68</f>
        <v>42185</v>
      </c>
      <c r="B68" s="8">
        <v>1.6666666666666667E-5</v>
      </c>
      <c r="C68" s="9">
        <f>ReturnData!B68-$B68</f>
        <v>-1.7402004025171339E-2</v>
      </c>
      <c r="D68" s="9">
        <f>ReturnData!C68-$B68</f>
        <v>-3.7994643003204209E-2</v>
      </c>
      <c r="E68" s="9">
        <f>ReturnData!D68-$B68</f>
        <v>-1.9320286582050778E-3</v>
      </c>
      <c r="F68" s="9">
        <f>ReturnData!E68-$B68</f>
        <v>-1.9288726666666669E-2</v>
      </c>
    </row>
    <row r="69" spans="1:6" x14ac:dyDescent="0.3">
      <c r="A69" s="1">
        <f>ReturnData!A69</f>
        <v>42153</v>
      </c>
      <c r="B69" s="8">
        <v>1.6666666666666667E-5</v>
      </c>
      <c r="C69" s="9">
        <f>ReturnData!B69-$B69</f>
        <v>6.9751017504567896E-3</v>
      </c>
      <c r="D69" s="9">
        <f>ReturnData!C69-$B69</f>
        <v>4.4139732807833565E-2</v>
      </c>
      <c r="E69" s="9">
        <f>ReturnData!D69-$B69</f>
        <v>-1.420313303296117E-2</v>
      </c>
      <c r="F69" s="9">
        <f>ReturnData!E69-$B69</f>
        <v>1.0252243333333334E-2</v>
      </c>
    </row>
    <row r="70" spans="1:6" x14ac:dyDescent="0.3">
      <c r="A70" s="1">
        <f>ReturnData!A70</f>
        <v>42124</v>
      </c>
      <c r="B70" s="8">
        <v>1.6666666666666667E-5</v>
      </c>
      <c r="C70" s="9">
        <f>ReturnData!B70-$B70</f>
        <v>8.7532002382245566E-2</v>
      </c>
      <c r="D70" s="9">
        <f>ReturnData!C70-$B70</f>
        <v>5.7530521633869496E-3</v>
      </c>
      <c r="E70" s="9">
        <f>ReturnData!D70-$B70</f>
        <v>-2.1818389764037941E-2</v>
      </c>
      <c r="F70" s="9">
        <f>ReturnData!E70-$B70</f>
        <v>8.7597433333333335E-3</v>
      </c>
    </row>
    <row r="71" spans="1:6" x14ac:dyDescent="0.3">
      <c r="A71" s="1">
        <f>ReturnData!A71</f>
        <v>42094</v>
      </c>
      <c r="B71" s="8">
        <v>2.4999999999999998E-5</v>
      </c>
      <c r="C71" s="9">
        <f>ReturnData!B71-$B71</f>
        <v>-4.6490063669056225E-2</v>
      </c>
      <c r="D71" s="9">
        <f>ReturnData!C71-$B71</f>
        <v>-3.1899312853777728E-2</v>
      </c>
      <c r="E71" s="9">
        <f>ReturnData!D71-$B71</f>
        <v>-3.8217165718806234E-2</v>
      </c>
      <c r="F71" s="9">
        <f>ReturnData!E71-$B71</f>
        <v>-1.0434590000000001E-2</v>
      </c>
    </row>
    <row r="72" spans="1:6" x14ac:dyDescent="0.3">
      <c r="A72" s="1">
        <f>ReturnData!A72</f>
        <v>42062</v>
      </c>
      <c r="B72" s="8">
        <v>1.6666666666666667E-5</v>
      </c>
      <c r="C72" s="9">
        <f>ReturnData!B72-$B72</f>
        <v>9.3045867309424435E-2</v>
      </c>
      <c r="D72" s="9">
        <f>ReturnData!C72-$B72</f>
        <v>9.5712453603704284E-2</v>
      </c>
      <c r="E72" s="9">
        <f>ReturnData!D72-$B72</f>
        <v>9.8995560948852406E-3</v>
      </c>
      <c r="F72" s="9">
        <f>ReturnData!E72-$B72</f>
        <v>5.5982683333333338E-2</v>
      </c>
    </row>
    <row r="73" spans="1:6" x14ac:dyDescent="0.3">
      <c r="A73" s="1">
        <f>ReturnData!A73</f>
        <v>42034</v>
      </c>
      <c r="B73" s="8">
        <v>2.4999999999999998E-5</v>
      </c>
      <c r="C73" s="9">
        <f>ReturnData!B73-$B73</f>
        <v>-5.6183003725702785E-2</v>
      </c>
      <c r="D73" s="9">
        <f>ReturnData!C73-$B73</f>
        <v>5.9586620088480424E-2</v>
      </c>
      <c r="E73" s="9">
        <f>ReturnData!D73-$B73</f>
        <v>-7.0003203184500207E-2</v>
      </c>
      <c r="F73" s="9">
        <f>ReturnData!E73-$B73</f>
        <v>-2.723194E-2</v>
      </c>
    </row>
    <row r="74" spans="1:6" x14ac:dyDescent="0.3">
      <c r="A74" s="1">
        <f>ReturnData!A74</f>
        <v>42004</v>
      </c>
      <c r="B74" s="8">
        <v>2.4999999999999998E-5</v>
      </c>
      <c r="C74" s="9">
        <f>ReturnData!B74-$B74</f>
        <v>-3.8113824364149951E-2</v>
      </c>
      <c r="D74" s="9">
        <f>ReturnData!C74-$B74</f>
        <v>-7.4631154176779069E-2</v>
      </c>
      <c r="E74" s="9">
        <f>ReturnData!D74-$B74</f>
        <v>7.2469144264112858E-3</v>
      </c>
      <c r="F74" s="9">
        <f>ReturnData!E74-$B74</f>
        <v>-3.6863360000000001E-3</v>
      </c>
    </row>
    <row r="75" spans="1:6" x14ac:dyDescent="0.3">
      <c r="A75" s="1">
        <f>ReturnData!A75</f>
        <v>41971</v>
      </c>
      <c r="B75" s="8">
        <v>1.6666666666666667E-5</v>
      </c>
      <c r="C75" s="9">
        <f>ReturnData!B75-$B75</f>
        <v>2.5988634938365892E-2</v>
      </c>
      <c r="D75" s="9">
        <f>ReturnData!C75-$B75</f>
        <v>0.1003313097135422</v>
      </c>
      <c r="E75" s="9">
        <f>ReturnData!D75-$B75</f>
        <v>3.5552684751287367E-2</v>
      </c>
      <c r="F75" s="9">
        <f>ReturnData!E75-$B75</f>
        <v>2.1097623333333333E-2</v>
      </c>
    </row>
    <row r="76" spans="1:6" x14ac:dyDescent="0.3">
      <c r="A76" s="1">
        <f>ReturnData!A76</f>
        <v>41943</v>
      </c>
      <c r="B76" s="8">
        <v>1.6666666666666667E-5</v>
      </c>
      <c r="C76" s="9">
        <f>ReturnData!B76-$B76</f>
        <v>7.3719971464171179E-3</v>
      </c>
      <c r="D76" s="9">
        <f>ReturnData!C76-$B76</f>
        <v>6.9472359630760594E-2</v>
      </c>
      <c r="E76" s="9">
        <f>ReturnData!D76-$B76</f>
        <v>4.8621073917821556E-2</v>
      </c>
      <c r="F76" s="9">
        <f>ReturnData!E76-$B76</f>
        <v>2.1155133333333333E-2</v>
      </c>
    </row>
    <row r="77" spans="1:6" x14ac:dyDescent="0.3">
      <c r="A77" s="1">
        <f>ReturnData!A77</f>
        <v>41912</v>
      </c>
      <c r="B77" s="8">
        <v>1.6666666666666667E-5</v>
      </c>
      <c r="C77" s="9">
        <f>ReturnData!B77-$B77</f>
        <v>-5.4199489429315201E-3</v>
      </c>
      <c r="D77" s="9">
        <f>ReturnData!C77-$B77</f>
        <v>-1.7237264418337065E-2</v>
      </c>
      <c r="E77" s="9">
        <f>ReturnData!D77-$B77</f>
        <v>7.5350295052200016E-3</v>
      </c>
      <c r="F77" s="9">
        <f>ReturnData!E77-$B77</f>
        <v>-2.5225136666666668E-2</v>
      </c>
    </row>
    <row r="78" spans="1:6" x14ac:dyDescent="0.3">
      <c r="A78" s="1">
        <f>ReturnData!A78</f>
        <v>41880</v>
      </c>
      <c r="B78" s="8">
        <v>2.4999999999999998E-5</v>
      </c>
      <c r="C78" s="9">
        <f>ReturnData!B78-$B78</f>
        <v>3.2444112244638779E-2</v>
      </c>
      <c r="D78" s="9">
        <f>ReturnData!C78-$B78</f>
        <v>7.4239879560803634E-2</v>
      </c>
      <c r="E78" s="9">
        <f>ReturnData!D78-$B78</f>
        <v>7.2187388515624507E-2</v>
      </c>
      <c r="F78" s="9">
        <f>ReturnData!E78-$B78</f>
        <v>4.0201110000000005E-2</v>
      </c>
    </row>
    <row r="79" spans="1:6" x14ac:dyDescent="0.3">
      <c r="A79" s="1">
        <f>ReturnData!A79</f>
        <v>41851</v>
      </c>
      <c r="B79" s="8">
        <v>2.4999999999999998E-5</v>
      </c>
      <c r="C79" s="9">
        <f>ReturnData!B79-$B79</f>
        <v>-4.3975338366506966E-2</v>
      </c>
      <c r="D79" s="9">
        <f>ReturnData!C79-$B79</f>
        <v>2.8301279243099161E-2</v>
      </c>
      <c r="E79" s="9">
        <f>ReturnData!D79-$B79</f>
        <v>-8.0273712609804683E-3</v>
      </c>
      <c r="F79" s="9">
        <f>ReturnData!E79-$B79</f>
        <v>-2.0592539999999999E-2</v>
      </c>
    </row>
    <row r="80" spans="1:6" x14ac:dyDescent="0.3">
      <c r="A80" s="1">
        <f>ReturnData!A80</f>
        <v>41820</v>
      </c>
      <c r="B80" s="8">
        <v>3.3333333333333335E-5</v>
      </c>
      <c r="C80" s="9">
        <f>ReturnData!B80-$B80</f>
        <v>-1.0917292205727017E-2</v>
      </c>
      <c r="D80" s="9">
        <f>ReturnData!C80-$B80</f>
        <v>2.7252918430983316E-2</v>
      </c>
      <c r="E80" s="9">
        <f>ReturnData!D80-$B80</f>
        <v>-2.764212187670512E-2</v>
      </c>
      <c r="F80" s="9">
        <f>ReturnData!E80-$B80</f>
        <v>2.7957176666666667E-2</v>
      </c>
    </row>
    <row r="81" spans="1:6" x14ac:dyDescent="0.3">
      <c r="A81" s="1">
        <f>ReturnData!A81</f>
        <v>41789</v>
      </c>
      <c r="B81" s="8">
        <v>2.4999999999999998E-5</v>
      </c>
      <c r="C81" s="9">
        <f>ReturnData!B81-$B81</f>
        <v>-3.7507298519497438E-3</v>
      </c>
      <c r="D81" s="9">
        <f>ReturnData!C81-$B81</f>
        <v>7.5354321047956974E-2</v>
      </c>
      <c r="E81" s="9">
        <f>ReturnData!D81-$B81</f>
        <v>-2.1576000510931396E-2</v>
      </c>
      <c r="F81" s="9">
        <f>ReturnData!E81-$B81</f>
        <v>2.023527E-2</v>
      </c>
    </row>
    <row r="82" spans="1:6" x14ac:dyDescent="0.3">
      <c r="A82" s="1">
        <f>ReturnData!A82</f>
        <v>41759</v>
      </c>
      <c r="B82" s="8">
        <v>2.4999999999999998E-5</v>
      </c>
      <c r="C82" s="9">
        <f>ReturnData!B82-$B82</f>
        <v>3.78726773940396E-2</v>
      </c>
      <c r="D82" s="9">
        <f>ReturnData!C82-$B82</f>
        <v>9.4736325406449884E-2</v>
      </c>
      <c r="E82" s="9">
        <f>ReturnData!D82-$B82</f>
        <v>3.164682773712707E-2</v>
      </c>
      <c r="F82" s="9">
        <f>ReturnData!E82-$B82</f>
        <v>1.544117E-3</v>
      </c>
    </row>
    <row r="83" spans="1:6" x14ac:dyDescent="0.3">
      <c r="A83" s="1">
        <f>ReturnData!A83</f>
        <v>41729</v>
      </c>
      <c r="B83" s="8">
        <v>4.1666666666666672E-5</v>
      </c>
      <c r="C83" s="9">
        <f>ReturnData!B83-$B83</f>
        <v>1.6313841489605848E-2</v>
      </c>
      <c r="D83" s="9">
        <f>ReturnData!C83-$B83</f>
        <v>1.9714757193538598E-2</v>
      </c>
      <c r="E83" s="9">
        <f>ReturnData!D83-$B83</f>
        <v>2.4322150354569912E-2</v>
      </c>
      <c r="F83" s="9">
        <f>ReturnData!E83-$B83</f>
        <v>4.5024783333333339E-3</v>
      </c>
    </row>
    <row r="84" spans="1:6" x14ac:dyDescent="0.3">
      <c r="A84" s="1">
        <f>ReturnData!A84</f>
        <v>41698</v>
      </c>
      <c r="B84" s="8">
        <v>4.1666666666666672E-5</v>
      </c>
      <c r="C84" s="9">
        <f>ReturnData!B84-$B84</f>
        <v>2.1997799520776126E-2</v>
      </c>
      <c r="D84" s="9">
        <f>ReturnData!C84-$B84</f>
        <v>5.5687409410829107E-2</v>
      </c>
      <c r="E84" s="9">
        <f>ReturnData!D84-$B84</f>
        <v>2.6234971773873957E-2</v>
      </c>
      <c r="F84" s="9">
        <f>ReturnData!E84-$B84</f>
        <v>4.6183803333333329E-2</v>
      </c>
    </row>
    <row r="85" spans="1:6" x14ac:dyDescent="0.3">
      <c r="A85" s="1">
        <f>ReturnData!A85</f>
        <v>41670</v>
      </c>
      <c r="B85" s="8">
        <v>3.3333333333333335E-5</v>
      </c>
      <c r="C85" s="9">
        <f>ReturnData!B85-$B85</f>
        <v>-0.10924640484701498</v>
      </c>
      <c r="D85" s="9">
        <f>ReturnData!C85-$B85</f>
        <v>-0.11398253246819379</v>
      </c>
      <c r="E85" s="9">
        <f>ReturnData!D85-$B85</f>
        <v>-5.2853542995588539E-2</v>
      </c>
      <c r="F85" s="9">
        <f>ReturnData!E85-$B85</f>
        <v>-3.0080063333333334E-2</v>
      </c>
    </row>
    <row r="86" spans="1:6" x14ac:dyDescent="0.3">
      <c r="A86" s="1">
        <f>ReturnData!A86</f>
        <v>41639</v>
      </c>
      <c r="B86" s="8">
        <v>5.833333333333334E-5</v>
      </c>
      <c r="C86" s="9">
        <f>ReturnData!B86-$B86</f>
        <v>5.7870839495867958E-2</v>
      </c>
      <c r="D86" s="9">
        <f>ReturnData!C86-$B86</f>
        <v>8.8040582136958354E-3</v>
      </c>
      <c r="E86" s="9">
        <f>ReturnData!D86-$B86</f>
        <v>-3.3992609991915952E-2</v>
      </c>
      <c r="F86" s="9">
        <f>ReturnData!E86-$B86</f>
        <v>2.6101216666666666E-2</v>
      </c>
    </row>
    <row r="87" spans="1:6" x14ac:dyDescent="0.3">
      <c r="A87" s="1">
        <f>ReturnData!A87</f>
        <v>41607</v>
      </c>
      <c r="B87" s="8">
        <v>5.833333333333334E-5</v>
      </c>
      <c r="C87" s="9">
        <f>ReturnData!B87-$B87</f>
        <v>1.9639290847009931E-2</v>
      </c>
      <c r="D87" s="9">
        <f>ReturnData!C87-$B87</f>
        <v>6.7294236407645147E-2</v>
      </c>
      <c r="E87" s="9">
        <f>ReturnData!D87-$B87</f>
        <v>4.2016141791901322E-2</v>
      </c>
      <c r="F87" s="9">
        <f>ReturnData!E87-$B87</f>
        <v>2.4914516666666667E-2</v>
      </c>
    </row>
    <row r="88" spans="1:6" x14ac:dyDescent="0.3">
      <c r="A88" s="1">
        <f>ReturnData!A88</f>
        <v>41578</v>
      </c>
      <c r="B88" s="8">
        <v>4.1666666666666672E-5</v>
      </c>
      <c r="C88" s="9">
        <f>ReturnData!B88-$B88</f>
        <v>8.9965082390770112E-2</v>
      </c>
      <c r="D88" s="9">
        <f>ReturnData!C88-$B88</f>
        <v>9.1977651294963325E-2</v>
      </c>
      <c r="E88" s="9">
        <f>ReturnData!D88-$B88</f>
        <v>7.3413654505153192E-2</v>
      </c>
      <c r="F88" s="9">
        <f>ReturnData!E88-$B88</f>
        <v>3.9866173333333331E-2</v>
      </c>
    </row>
    <row r="89" spans="1:6" x14ac:dyDescent="0.3">
      <c r="A89" s="1">
        <f>ReturnData!A89</f>
        <v>41547</v>
      </c>
      <c r="B89" s="8">
        <v>1.6666666666666667E-5</v>
      </c>
      <c r="C89" s="9">
        <f>ReturnData!B89-$B89</f>
        <v>3.9802232939058269E-2</v>
      </c>
      <c r="D89" s="9">
        <f>ReturnData!C89-$B89</f>
        <v>-2.1731985780381605E-2</v>
      </c>
      <c r="E89" s="9">
        <f>ReturnData!D89-$B89</f>
        <v>-2.9990282905377422E-2</v>
      </c>
      <c r="F89" s="9">
        <f>ReturnData!E89-$B89</f>
        <v>3.7497263333333336E-2</v>
      </c>
    </row>
    <row r="90" spans="1:6" x14ac:dyDescent="0.3">
      <c r="A90" s="1">
        <f>ReturnData!A90</f>
        <v>41516</v>
      </c>
      <c r="B90" s="8">
        <v>3.3333333333333335E-5</v>
      </c>
      <c r="C90" s="9">
        <f>ReturnData!B90-$B90</f>
        <v>-5.1823540018541399E-2</v>
      </c>
      <c r="D90" s="9">
        <f>ReturnData!C90-$B90</f>
        <v>8.0060717907585621E-2</v>
      </c>
      <c r="E90" s="9">
        <f>ReturnData!D90-$B90</f>
        <v>-3.0505425194718109E-2</v>
      </c>
      <c r="F90" s="9">
        <f>ReturnData!E90-$B90</f>
        <v>-2.5794013333333334E-2</v>
      </c>
    </row>
    <row r="91" spans="1:6" x14ac:dyDescent="0.3">
      <c r="A91" s="1">
        <f>ReturnData!A91</f>
        <v>41486</v>
      </c>
      <c r="B91" s="8">
        <v>3.3333333333333335E-5</v>
      </c>
      <c r="C91" s="9">
        <f>ReturnData!B91-$B91</f>
        <v>4.9598394443841391E-2</v>
      </c>
      <c r="D91" s="9">
        <f>ReturnData!C91-$B91</f>
        <v>0.13206902607695681</v>
      </c>
      <c r="E91" s="9">
        <f>ReturnData!D91-$B91</f>
        <v>4.9523553834777127E-2</v>
      </c>
      <c r="F91" s="9">
        <f>ReturnData!E91-$B91</f>
        <v>5.2656386666666666E-2</v>
      </c>
    </row>
    <row r="92" spans="1:6" x14ac:dyDescent="0.3">
      <c r="A92" s="1">
        <f>ReturnData!A92</f>
        <v>41453</v>
      </c>
      <c r="B92" s="8">
        <v>4.1666666666666672E-5</v>
      </c>
      <c r="C92" s="9">
        <f>ReturnData!B92-$B92</f>
        <v>2.5279637219269243E-3</v>
      </c>
      <c r="D92" s="9">
        <f>ReturnData!C92-$B92</f>
        <v>-0.12594845733062682</v>
      </c>
      <c r="E92" s="9">
        <f>ReturnData!D92-$B92</f>
        <v>2.9501499069409195E-3</v>
      </c>
      <c r="F92" s="9">
        <f>ReturnData!E92-$B92</f>
        <v>-1.5112946666666668E-2</v>
      </c>
    </row>
    <row r="93" spans="1:6" x14ac:dyDescent="0.3">
      <c r="A93" s="1">
        <f>ReturnData!A93</f>
        <v>41425</v>
      </c>
      <c r="B93" s="8">
        <v>3.3333333333333335E-5</v>
      </c>
      <c r="C93" s="9">
        <f>ReturnData!B93-$B93</f>
        <v>4.513982659128523E-2</v>
      </c>
      <c r="D93" s="9">
        <f>ReturnData!C93-$B93</f>
        <v>2.2311003402095016E-2</v>
      </c>
      <c r="E93" s="9">
        <f>ReturnData!D93-$B93</f>
        <v>-1.6352947649145668E-4</v>
      </c>
      <c r="F93" s="9">
        <f>ReturnData!E93-$B93</f>
        <v>1.9121486666666666E-2</v>
      </c>
    </row>
    <row r="94" spans="1:6" x14ac:dyDescent="0.3">
      <c r="A94" s="1">
        <f>ReturnData!A94</f>
        <v>41394</v>
      </c>
      <c r="B94" s="8">
        <v>4.9999999999999996E-5</v>
      </c>
      <c r="C94" s="9">
        <f>ReturnData!B94-$B94</f>
        <v>-3.6609891631965159E-2</v>
      </c>
      <c r="D94" s="9">
        <f>ReturnData!C94-$B94</f>
        <v>2.2104065231142727E-4</v>
      </c>
      <c r="E94" s="9">
        <f>ReturnData!D94-$B94</f>
        <v>3.9841445029001835E-3</v>
      </c>
      <c r="F94" s="9">
        <f>ReturnData!E94-$B94</f>
        <v>1.489209E-2</v>
      </c>
    </row>
    <row r="95" spans="1:6" x14ac:dyDescent="0.3">
      <c r="A95" s="1">
        <f>ReturnData!A95</f>
        <v>41361</v>
      </c>
      <c r="B95" s="8">
        <v>7.4999999999999993E-5</v>
      </c>
      <c r="C95" s="9">
        <f>ReturnData!B95-$B95</f>
        <v>-4.3908665952502954E-3</v>
      </c>
      <c r="D95" s="9">
        <f>ReturnData!C95-$B95</f>
        <v>2.7755092918544861E-3</v>
      </c>
      <c r="E95" s="9">
        <f>ReturnData!D95-$B95</f>
        <v>1.1410342459683245E-2</v>
      </c>
      <c r="F95" s="9">
        <f>ReturnData!E95-$B95</f>
        <v>3.5244990000000004E-2</v>
      </c>
    </row>
    <row r="96" spans="1:6" x14ac:dyDescent="0.3">
      <c r="A96" s="1">
        <f>ReturnData!A96</f>
        <v>41333</v>
      </c>
      <c r="B96" s="8">
        <v>8.3333333333333344E-5</v>
      </c>
      <c r="C96" s="9">
        <f>ReturnData!B96-$B96</f>
        <v>4.9390472858349292E-2</v>
      </c>
      <c r="D96" s="9">
        <f>ReturnData!C96-$B96</f>
        <v>-2.5519919281544189E-2</v>
      </c>
      <c r="E96" s="9">
        <f>ReturnData!D96-$B96</f>
        <v>1.3396408453664068E-2</v>
      </c>
      <c r="F96" s="9">
        <f>ReturnData!E96-$B96</f>
        <v>8.2010136666666681E-3</v>
      </c>
    </row>
    <row r="97" spans="1:6" x14ac:dyDescent="0.3">
      <c r="A97" s="1">
        <f>ReturnData!A97</f>
        <v>41305</v>
      </c>
      <c r="B97" s="8">
        <v>5.833333333333334E-5</v>
      </c>
      <c r="C97" s="9">
        <f>ReturnData!B97-$B97</f>
        <v>5.9584989616453914E-2</v>
      </c>
      <c r="D97" s="9">
        <f>ReturnData!C97-$B97</f>
        <v>-0.15565305242364663</v>
      </c>
      <c r="E97" s="9">
        <f>ReturnData!D97-$B97</f>
        <v>0.10912171449060287</v>
      </c>
      <c r="F97" s="9">
        <f>ReturnData!E97-$B97</f>
        <v>5.4130836666666668E-2</v>
      </c>
    </row>
    <row r="98" spans="1:6" x14ac:dyDescent="0.3">
      <c r="A98" s="1"/>
      <c r="B98" s="8"/>
    </row>
    <row r="99" spans="1:6" x14ac:dyDescent="0.3">
      <c r="A99" s="1"/>
      <c r="B99" s="8"/>
    </row>
    <row r="100" spans="1:6" x14ac:dyDescent="0.3">
      <c r="A100" s="1"/>
      <c r="B100" s="8"/>
    </row>
    <row r="101" spans="1:6" x14ac:dyDescent="0.3">
      <c r="B101" s="8"/>
    </row>
    <row r="102" spans="1:6" x14ac:dyDescent="0.3">
      <c r="B102" s="8"/>
    </row>
    <row r="103" spans="1:6" x14ac:dyDescent="0.3">
      <c r="B103" s="8"/>
    </row>
    <row r="104" spans="1:6" x14ac:dyDescent="0.3">
      <c r="B104" s="8"/>
    </row>
    <row r="105" spans="1:6" x14ac:dyDescent="0.3">
      <c r="B105" s="8"/>
    </row>
    <row r="106" spans="1:6" x14ac:dyDescent="0.3">
      <c r="B106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5638-AAB1-478E-B022-611ED89D8494}">
  <dimension ref="A1:L57"/>
  <sheetViews>
    <sheetView workbookViewId="0">
      <selection activeCell="L12" sqref="L12"/>
    </sheetView>
  </sheetViews>
  <sheetFormatPr defaultRowHeight="14.4" x14ac:dyDescent="0.3"/>
  <cols>
    <col min="1" max="1" width="27.33203125" bestFit="1" customWidth="1"/>
    <col min="2" max="2" width="17.44140625" bestFit="1" customWidth="1"/>
    <col min="3" max="3" width="12.6640625" bestFit="1" customWidth="1"/>
    <col min="4" max="4" width="13.44140625" bestFit="1" customWidth="1"/>
    <col min="5" max="5" width="12.6640625" bestFit="1" customWidth="1"/>
    <col min="6" max="6" width="12" bestFit="1" customWidth="1"/>
    <col min="7" max="10" width="12.6640625" bestFit="1" customWidth="1"/>
    <col min="11" max="11" width="11.77734375" bestFit="1" customWidth="1"/>
  </cols>
  <sheetData>
    <row r="1" spans="1:12" x14ac:dyDescent="0.3">
      <c r="A1" s="68" t="s">
        <v>95</v>
      </c>
      <c r="K1" s="75" t="s">
        <v>96</v>
      </c>
      <c r="L1" s="74"/>
    </row>
    <row r="2" spans="1:12" ht="15" thickBot="1" x14ac:dyDescent="0.35">
      <c r="K2" s="24" t="s">
        <v>97</v>
      </c>
      <c r="L2" s="24" t="s">
        <v>90</v>
      </c>
    </row>
    <row r="3" spans="1:12" x14ac:dyDescent="0.3">
      <c r="A3" s="21" t="s">
        <v>62</v>
      </c>
      <c r="B3" s="21"/>
      <c r="K3" s="84" t="s">
        <v>11</v>
      </c>
      <c r="L3" s="23">
        <v>1.1108222270639252</v>
      </c>
    </row>
    <row r="4" spans="1:12" x14ac:dyDescent="0.3">
      <c r="A4" s="14" t="s">
        <v>63</v>
      </c>
      <c r="B4" s="14">
        <v>0.48376397407268718</v>
      </c>
      <c r="K4" s="85" t="s">
        <v>12</v>
      </c>
      <c r="L4" s="23">
        <v>1.1346773407904327</v>
      </c>
    </row>
    <row r="5" spans="1:12" x14ac:dyDescent="0.3">
      <c r="A5" s="14" t="s">
        <v>64</v>
      </c>
      <c r="B5" s="14">
        <v>0.23402758261059955</v>
      </c>
      <c r="K5" s="86" t="s">
        <v>13</v>
      </c>
      <c r="L5" s="23">
        <v>0.44092885332449422</v>
      </c>
    </row>
    <row r="6" spans="1:12" x14ac:dyDescent="0.3">
      <c r="A6" s="14" t="s">
        <v>65</v>
      </c>
      <c r="B6" s="14">
        <v>0.22587893987241445</v>
      </c>
      <c r="K6" s="87" t="s">
        <v>24</v>
      </c>
      <c r="L6" s="23">
        <v>0.7088862028202666</v>
      </c>
    </row>
    <row r="7" spans="1:12" x14ac:dyDescent="0.3">
      <c r="A7" s="14" t="s">
        <v>66</v>
      </c>
      <c r="B7" s="14">
        <v>8.1997180869611011E-2</v>
      </c>
      <c r="K7" s="87" t="s">
        <v>25</v>
      </c>
      <c r="L7" s="23">
        <v>1.1227497839271789</v>
      </c>
    </row>
    <row r="8" spans="1:12" ht="15" thickBot="1" x14ac:dyDescent="0.35">
      <c r="A8" s="15" t="s">
        <v>67</v>
      </c>
      <c r="B8" s="15">
        <v>96</v>
      </c>
      <c r="K8" s="87" t="s">
        <v>26</v>
      </c>
      <c r="L8" s="23">
        <v>0.75311567268416657</v>
      </c>
    </row>
    <row r="9" spans="1:12" x14ac:dyDescent="0.3">
      <c r="K9" s="87" t="s">
        <v>27</v>
      </c>
      <c r="L9" s="23">
        <v>0.89547614039295076</v>
      </c>
    </row>
    <row r="10" spans="1:12" ht="15" thickBot="1" x14ac:dyDescent="0.35">
      <c r="A10" t="s">
        <v>68</v>
      </c>
      <c r="K10" s="87" t="s">
        <v>28</v>
      </c>
      <c r="L10" s="23">
        <v>0.94931266206069431</v>
      </c>
    </row>
    <row r="11" spans="1:12" x14ac:dyDescent="0.3">
      <c r="A11" s="16"/>
      <c r="B11" s="16" t="s">
        <v>73</v>
      </c>
      <c r="C11" s="16" t="s">
        <v>74</v>
      </c>
      <c r="D11" s="16" t="s">
        <v>75</v>
      </c>
      <c r="E11" s="16" t="s">
        <v>76</v>
      </c>
      <c r="F11" s="16" t="s">
        <v>77</v>
      </c>
      <c r="K11" s="87" t="s">
        <v>29</v>
      </c>
      <c r="L11" s="23">
        <v>0.95527644049232119</v>
      </c>
    </row>
    <row r="12" spans="1:12" x14ac:dyDescent="0.3">
      <c r="A12" s="14" t="s">
        <v>69</v>
      </c>
      <c r="B12" s="14">
        <v>1</v>
      </c>
      <c r="C12" s="14">
        <v>0.19309881635377446</v>
      </c>
      <c r="D12" s="14">
        <v>0.19309881635377446</v>
      </c>
      <c r="E12" s="14">
        <v>28.719823672466323</v>
      </c>
      <c r="F12" s="14">
        <v>5.9410971831929791E-7</v>
      </c>
      <c r="K12" s="87" t="s">
        <v>30</v>
      </c>
      <c r="L12" s="23">
        <v>0.78183931862583655</v>
      </c>
    </row>
    <row r="13" spans="1:12" x14ac:dyDescent="0.3">
      <c r="A13" s="14" t="s">
        <v>70</v>
      </c>
      <c r="B13" s="14">
        <v>94</v>
      </c>
      <c r="C13" s="14">
        <v>0.63201254103298787</v>
      </c>
      <c r="D13" s="14">
        <v>6.7235376705637008E-3</v>
      </c>
      <c r="E13" s="14"/>
      <c r="F13" s="14"/>
      <c r="K13" s="87" t="s">
        <v>31</v>
      </c>
      <c r="L13" s="23">
        <v>0.64666788819162502</v>
      </c>
    </row>
    <row r="14" spans="1:12" ht="15" thickBot="1" x14ac:dyDescent="0.35">
      <c r="A14" s="15" t="s">
        <v>71</v>
      </c>
      <c r="B14" s="15">
        <v>95</v>
      </c>
      <c r="C14" s="15">
        <v>0.82511135738676233</v>
      </c>
      <c r="D14" s="15"/>
      <c r="E14" s="15"/>
      <c r="F14" s="15"/>
      <c r="K14" s="87" t="s">
        <v>32</v>
      </c>
      <c r="L14" s="23">
        <v>0.64428237681897427</v>
      </c>
    </row>
    <row r="15" spans="1:12" ht="15" thickBot="1" x14ac:dyDescent="0.35">
      <c r="K15" s="87" t="s">
        <v>33</v>
      </c>
      <c r="L15" s="23">
        <v>1.0486039124352835</v>
      </c>
    </row>
    <row r="16" spans="1:12" x14ac:dyDescent="0.3">
      <c r="A16" s="16"/>
      <c r="B16" s="16" t="s">
        <v>78</v>
      </c>
      <c r="C16" s="16" t="s">
        <v>66</v>
      </c>
      <c r="D16" s="16" t="s">
        <v>79</v>
      </c>
      <c r="E16" s="16" t="s">
        <v>80</v>
      </c>
      <c r="F16" s="16" t="s">
        <v>81</v>
      </c>
      <c r="G16" s="16" t="s">
        <v>82</v>
      </c>
      <c r="H16" s="16" t="s">
        <v>83</v>
      </c>
      <c r="I16" s="16" t="s">
        <v>84</v>
      </c>
      <c r="K16" s="88" t="s">
        <v>14</v>
      </c>
      <c r="L16" s="76">
        <v>1</v>
      </c>
    </row>
    <row r="17" spans="1:9" x14ac:dyDescent="0.3">
      <c r="A17" s="14" t="s">
        <v>72</v>
      </c>
      <c r="B17" s="14">
        <v>-1.7309098201333233E-2</v>
      </c>
      <c r="C17" s="14">
        <v>8.6774049218647353E-3</v>
      </c>
      <c r="D17" s="14">
        <v>-1.9947321067983059</v>
      </c>
      <c r="E17" s="14">
        <v>4.8968155924923623E-2</v>
      </c>
      <c r="F17" s="14">
        <v>-3.4538289088264326E-2</v>
      </c>
      <c r="G17" s="14">
        <v>-7.9907314402136859E-5</v>
      </c>
      <c r="H17" s="14">
        <v>-3.4538289088264326E-2</v>
      </c>
      <c r="I17" s="14">
        <v>-7.9907314402136859E-5</v>
      </c>
    </row>
    <row r="18" spans="1:9" ht="15" thickBot="1" x14ac:dyDescent="0.35">
      <c r="A18" s="71" t="s">
        <v>85</v>
      </c>
      <c r="B18" s="71">
        <v>1.1108222270639252</v>
      </c>
      <c r="C18" s="15">
        <v>0.20727822291893835</v>
      </c>
      <c r="D18" s="15">
        <v>5.3590879515516772</v>
      </c>
      <c r="E18" s="15">
        <v>5.9410971831929029E-7</v>
      </c>
      <c r="F18" s="15">
        <v>0.69926645646992114</v>
      </c>
      <c r="G18" s="15">
        <v>1.5223779976579292</v>
      </c>
      <c r="H18" s="15">
        <v>0.69926645646992114</v>
      </c>
      <c r="I18" s="15">
        <v>1.5223779976579292</v>
      </c>
    </row>
    <row r="20" spans="1:9" x14ac:dyDescent="0.3">
      <c r="A20" s="69" t="s">
        <v>87</v>
      </c>
    </row>
    <row r="21" spans="1:9" ht="15" thickBot="1" x14ac:dyDescent="0.35"/>
    <row r="22" spans="1:9" x14ac:dyDescent="0.3">
      <c r="A22" s="21" t="s">
        <v>62</v>
      </c>
      <c r="B22" s="21"/>
    </row>
    <row r="23" spans="1:9" x14ac:dyDescent="0.3">
      <c r="A23" s="14" t="s">
        <v>63</v>
      </c>
      <c r="B23" s="14">
        <v>0.57037097556587801</v>
      </c>
    </row>
    <row r="24" spans="1:9" x14ac:dyDescent="0.3">
      <c r="A24" s="14" t="s">
        <v>64</v>
      </c>
      <c r="B24" s="14">
        <v>0.32532304976797144</v>
      </c>
    </row>
    <row r="25" spans="1:9" x14ac:dyDescent="0.3">
      <c r="A25" s="14" t="s">
        <v>65</v>
      </c>
      <c r="B25" s="14">
        <v>0.31814563540380092</v>
      </c>
    </row>
    <row r="26" spans="1:9" x14ac:dyDescent="0.3">
      <c r="A26" s="14" t="s">
        <v>66</v>
      </c>
      <c r="B26" s="14">
        <v>6.667211298674601E-2</v>
      </c>
    </row>
    <row r="27" spans="1:9" ht="15" thickBot="1" x14ac:dyDescent="0.35">
      <c r="A27" s="15" t="s">
        <v>67</v>
      </c>
      <c r="B27" s="15">
        <v>96</v>
      </c>
    </row>
    <row r="29" spans="1:9" ht="15" thickBot="1" x14ac:dyDescent="0.35">
      <c r="A29" t="s">
        <v>68</v>
      </c>
    </row>
    <row r="30" spans="1:9" x14ac:dyDescent="0.3">
      <c r="A30" s="16"/>
      <c r="B30" s="16" t="s">
        <v>73</v>
      </c>
      <c r="C30" s="16" t="s">
        <v>74</v>
      </c>
      <c r="D30" s="16" t="s">
        <v>75</v>
      </c>
      <c r="E30" s="16" t="s">
        <v>76</v>
      </c>
      <c r="F30" s="16" t="s">
        <v>77</v>
      </c>
    </row>
    <row r="31" spans="1:9" x14ac:dyDescent="0.3">
      <c r="A31" s="14" t="s">
        <v>69</v>
      </c>
      <c r="B31" s="14">
        <v>1</v>
      </c>
      <c r="C31" s="14">
        <v>0.20148153628335252</v>
      </c>
      <c r="D31" s="14">
        <v>0.20148153628335252</v>
      </c>
      <c r="E31" s="14">
        <v>45.325939574002646</v>
      </c>
      <c r="F31" s="14">
        <v>1.3080907923008872E-9</v>
      </c>
    </row>
    <row r="32" spans="1:9" x14ac:dyDescent="0.3">
      <c r="A32" s="14" t="s">
        <v>70</v>
      </c>
      <c r="B32" s="14">
        <v>94</v>
      </c>
      <c r="C32" s="14">
        <v>0.41784604111103807</v>
      </c>
      <c r="D32" s="14">
        <v>4.4451706501174261E-3</v>
      </c>
      <c r="E32" s="14"/>
      <c r="F32" s="14"/>
    </row>
    <row r="33" spans="1:9" ht="15" thickBot="1" x14ac:dyDescent="0.35">
      <c r="A33" s="15" t="s">
        <v>71</v>
      </c>
      <c r="B33" s="15">
        <v>95</v>
      </c>
      <c r="C33" s="15">
        <v>0.61932757739439059</v>
      </c>
      <c r="D33" s="15"/>
      <c r="E33" s="15"/>
      <c r="F33" s="15"/>
    </row>
    <row r="34" spans="1:9" ht="15" thickBot="1" x14ac:dyDescent="0.35"/>
    <row r="35" spans="1:9" x14ac:dyDescent="0.3">
      <c r="A35" s="16"/>
      <c r="B35" s="16" t="s">
        <v>78</v>
      </c>
      <c r="C35" s="16" t="s">
        <v>66</v>
      </c>
      <c r="D35" s="16" t="s">
        <v>79</v>
      </c>
      <c r="E35" s="16" t="s">
        <v>80</v>
      </c>
      <c r="F35" s="16" t="s">
        <v>81</v>
      </c>
      <c r="G35" s="16" t="s">
        <v>82</v>
      </c>
      <c r="H35" s="16" t="s">
        <v>83</v>
      </c>
      <c r="I35" s="16" t="s">
        <v>84</v>
      </c>
    </row>
    <row r="36" spans="1:9" x14ac:dyDescent="0.3">
      <c r="A36" s="14" t="s">
        <v>72</v>
      </c>
      <c r="B36" s="14">
        <v>8.508352243083963E-3</v>
      </c>
      <c r="C36" s="14">
        <v>7.0556196596842369E-3</v>
      </c>
      <c r="D36" s="14">
        <v>1.2058972356036466</v>
      </c>
      <c r="E36" s="14">
        <v>0.23088368996029338</v>
      </c>
      <c r="F36" s="14">
        <v>-5.5007459881139739E-3</v>
      </c>
      <c r="G36" s="14">
        <v>2.25174504742819E-2</v>
      </c>
      <c r="H36" s="14">
        <v>-5.5007459881139739E-3</v>
      </c>
      <c r="I36" s="14">
        <v>2.25174504742819E-2</v>
      </c>
    </row>
    <row r="37" spans="1:9" ht="15" thickBot="1" x14ac:dyDescent="0.35">
      <c r="A37" s="72" t="s">
        <v>85</v>
      </c>
      <c r="B37" s="72">
        <v>1.1346773407904327</v>
      </c>
      <c r="C37" s="15">
        <v>0.16853844182910316</v>
      </c>
      <c r="D37" s="15">
        <v>6.7324542014040203</v>
      </c>
      <c r="E37" s="15">
        <v>1.3080907923008872E-9</v>
      </c>
      <c r="F37" s="15">
        <v>0.80004031368307704</v>
      </c>
      <c r="G37" s="15">
        <v>1.4693143678977885</v>
      </c>
      <c r="H37" s="15">
        <v>0.80004031368307704</v>
      </c>
      <c r="I37" s="15">
        <v>1.4693143678977885</v>
      </c>
    </row>
    <row r="40" spans="1:9" x14ac:dyDescent="0.3">
      <c r="A40" s="70" t="s">
        <v>88</v>
      </c>
    </row>
    <row r="41" spans="1:9" ht="15" thickBot="1" x14ac:dyDescent="0.35"/>
    <row r="42" spans="1:9" x14ac:dyDescent="0.3">
      <c r="A42" s="21" t="s">
        <v>62</v>
      </c>
      <c r="B42" s="21"/>
    </row>
    <row r="43" spans="1:9" x14ac:dyDescent="0.3">
      <c r="A43" s="14" t="s">
        <v>63</v>
      </c>
      <c r="B43" s="14">
        <v>0.43417214731169501</v>
      </c>
    </row>
    <row r="44" spans="1:9" x14ac:dyDescent="0.3">
      <c r="A44" s="14" t="s">
        <v>64</v>
      </c>
      <c r="B44" s="14">
        <v>0.18850545350124817</v>
      </c>
    </row>
    <row r="45" spans="1:9" x14ac:dyDescent="0.3">
      <c r="A45" s="14" t="s">
        <v>65</v>
      </c>
      <c r="B45" s="14">
        <v>0.17987253279381463</v>
      </c>
    </row>
    <row r="46" spans="1:9" x14ac:dyDescent="0.3">
      <c r="A46" s="14" t="s">
        <v>66</v>
      </c>
      <c r="B46" s="14">
        <v>3.7327652642747136E-2</v>
      </c>
    </row>
    <row r="47" spans="1:9" ht="15" thickBot="1" x14ac:dyDescent="0.35">
      <c r="A47" s="15" t="s">
        <v>67</v>
      </c>
      <c r="B47" s="15">
        <v>96</v>
      </c>
    </row>
    <row r="49" spans="1:9" ht="15" thickBot="1" x14ac:dyDescent="0.35">
      <c r="A49" t="s">
        <v>68</v>
      </c>
    </row>
    <row r="50" spans="1:9" x14ac:dyDescent="0.3">
      <c r="A50" s="16"/>
      <c r="B50" s="16" t="s">
        <v>73</v>
      </c>
      <c r="C50" s="16" t="s">
        <v>74</v>
      </c>
      <c r="D50" s="16" t="s">
        <v>75</v>
      </c>
      <c r="E50" s="16" t="s">
        <v>76</v>
      </c>
      <c r="F50" s="16" t="s">
        <v>77</v>
      </c>
    </row>
    <row r="51" spans="1:9" x14ac:dyDescent="0.3">
      <c r="A51" s="14" t="s">
        <v>69</v>
      </c>
      <c r="B51" s="14">
        <v>1</v>
      </c>
      <c r="C51" s="14">
        <v>3.0424785646105956E-2</v>
      </c>
      <c r="D51" s="14">
        <v>3.0424785646105956E-2</v>
      </c>
      <c r="E51" s="14">
        <v>21.835652137860155</v>
      </c>
      <c r="F51" s="14">
        <v>9.8920580588212491E-6</v>
      </c>
    </row>
    <row r="52" spans="1:9" x14ac:dyDescent="0.3">
      <c r="A52" s="14" t="s">
        <v>70</v>
      </c>
      <c r="B52" s="14">
        <v>94</v>
      </c>
      <c r="C52" s="14">
        <v>0.13097524327085322</v>
      </c>
      <c r="D52" s="14">
        <v>1.3933536518175875E-3</v>
      </c>
      <c r="E52" s="14"/>
      <c r="F52" s="14"/>
    </row>
    <row r="53" spans="1:9" ht="15" thickBot="1" x14ac:dyDescent="0.35">
      <c r="A53" s="15" t="s">
        <v>71</v>
      </c>
      <c r="B53" s="15">
        <v>95</v>
      </c>
      <c r="C53" s="15">
        <v>0.16140002891695918</v>
      </c>
      <c r="D53" s="15"/>
      <c r="E53" s="15"/>
      <c r="F53" s="15"/>
    </row>
    <row r="54" spans="1:9" ht="15" thickBot="1" x14ac:dyDescent="0.35"/>
    <row r="55" spans="1:9" x14ac:dyDescent="0.3">
      <c r="A55" s="16"/>
      <c r="B55" s="16" t="s">
        <v>78</v>
      </c>
      <c r="C55" s="16" t="s">
        <v>66</v>
      </c>
      <c r="D55" s="16" t="s">
        <v>79</v>
      </c>
      <c r="E55" s="16" t="s">
        <v>80</v>
      </c>
      <c r="F55" s="16" t="s">
        <v>81</v>
      </c>
      <c r="G55" s="16" t="s">
        <v>82</v>
      </c>
      <c r="H55" s="16" t="s">
        <v>83</v>
      </c>
      <c r="I55" s="16" t="s">
        <v>84</v>
      </c>
    </row>
    <row r="56" spans="1:9" x14ac:dyDescent="0.3">
      <c r="A56" s="14" t="s">
        <v>72</v>
      </c>
      <c r="B56" s="14">
        <v>4.5293657641571894E-3</v>
      </c>
      <c r="C56" s="14">
        <v>3.9502230848508912E-3</v>
      </c>
      <c r="D56" s="14">
        <v>1.1466101196986345</v>
      </c>
      <c r="E56" s="14">
        <v>0.25445310908122759</v>
      </c>
      <c r="F56" s="14">
        <v>-3.3138947714168743E-3</v>
      </c>
      <c r="G56" s="14">
        <v>1.2372626299731253E-2</v>
      </c>
      <c r="H56" s="14">
        <v>-3.3138947714168743E-3</v>
      </c>
      <c r="I56" s="14">
        <v>1.2372626299731253E-2</v>
      </c>
    </row>
    <row r="57" spans="1:9" ht="15" thickBot="1" x14ac:dyDescent="0.35">
      <c r="A57" s="73" t="s">
        <v>85</v>
      </c>
      <c r="B57" s="73">
        <v>0.44092885332449422</v>
      </c>
      <c r="C57" s="15">
        <v>9.4359457526076107E-2</v>
      </c>
      <c r="D57" s="15">
        <v>4.672863376759496</v>
      </c>
      <c r="E57" s="15">
        <v>9.8920580588211915E-6</v>
      </c>
      <c r="F57" s="15">
        <v>0.25357593844465376</v>
      </c>
      <c r="G57" s="15">
        <v>0.62828176820433468</v>
      </c>
      <c r="H57" s="15">
        <v>0.25357593844465376</v>
      </c>
      <c r="I57" s="15">
        <v>0.62828176820433468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3087-A1CE-4CE6-A255-AA6D01E519EE}">
  <dimension ref="A1:C19"/>
  <sheetViews>
    <sheetView workbookViewId="0">
      <selection activeCell="C18" sqref="C18"/>
    </sheetView>
  </sheetViews>
  <sheetFormatPr defaultRowHeight="14.4" x14ac:dyDescent="0.3"/>
  <cols>
    <col min="3" max="3" width="15.5546875" bestFit="1" customWidth="1"/>
  </cols>
  <sheetData>
    <row r="1" spans="1:3" x14ac:dyDescent="0.3">
      <c r="A1" s="89" t="s">
        <v>91</v>
      </c>
      <c r="B1" s="89" t="s">
        <v>90</v>
      </c>
      <c r="C1" s="89" t="s">
        <v>92</v>
      </c>
    </row>
    <row r="2" spans="1:3" x14ac:dyDescent="0.3">
      <c r="A2" s="84" t="s">
        <v>11</v>
      </c>
      <c r="B2" s="23">
        <v>1.1108222270639301</v>
      </c>
      <c r="C2" s="45">
        <v>6.5371623319333036E-2</v>
      </c>
    </row>
    <row r="3" spans="1:3" x14ac:dyDescent="0.3">
      <c r="A3" s="85" t="s">
        <v>12</v>
      </c>
      <c r="B3" s="23">
        <v>1.1346773407904327</v>
      </c>
      <c r="C3" s="45">
        <v>-2.7025544667355145E-2</v>
      </c>
    </row>
    <row r="4" spans="1:3" x14ac:dyDescent="0.3">
      <c r="A4" s="86" t="s">
        <v>13</v>
      </c>
      <c r="B4" s="23">
        <v>0.44092885332449422</v>
      </c>
      <c r="C4" s="45">
        <v>-6.9591608540647458E-3</v>
      </c>
    </row>
    <row r="5" spans="1:3" x14ac:dyDescent="0.3">
      <c r="A5" s="87" t="s">
        <v>24</v>
      </c>
      <c r="B5" s="23">
        <v>0.70888620282026704</v>
      </c>
      <c r="C5" s="81">
        <v>2.1973152815294366E-2</v>
      </c>
    </row>
    <row r="6" spans="1:3" x14ac:dyDescent="0.3">
      <c r="A6" s="87" t="s">
        <v>25</v>
      </c>
      <c r="B6" s="23">
        <v>1.1227497839271789</v>
      </c>
      <c r="C6" s="81">
        <v>1.9173039325988944E-2</v>
      </c>
    </row>
    <row r="7" spans="1:3" x14ac:dyDescent="0.3">
      <c r="A7" s="87" t="s">
        <v>26</v>
      </c>
      <c r="B7" s="23">
        <v>0.75311567268416701</v>
      </c>
      <c r="C7" s="81">
        <v>-1.5989033570045427E-2</v>
      </c>
    </row>
    <row r="8" spans="1:3" x14ac:dyDescent="0.3">
      <c r="A8" s="87" t="s">
        <v>27</v>
      </c>
      <c r="B8" s="23">
        <v>0.89547614039295076</v>
      </c>
      <c r="C8" s="81">
        <v>1.0462305932637713E-2</v>
      </c>
    </row>
    <row r="9" spans="1:3" x14ac:dyDescent="0.3">
      <c r="A9" s="87" t="s">
        <v>28</v>
      </c>
      <c r="B9" s="23">
        <v>0.94931266206069431</v>
      </c>
      <c r="C9" s="81">
        <v>2.4189635279311544E-2</v>
      </c>
    </row>
    <row r="10" spans="1:3" x14ac:dyDescent="0.3">
      <c r="A10" s="87" t="s">
        <v>29</v>
      </c>
      <c r="B10" s="23">
        <v>0.95527644049232119</v>
      </c>
      <c r="C10" s="81">
        <v>1.0903432826394981E-3</v>
      </c>
    </row>
    <row r="11" spans="1:3" x14ac:dyDescent="0.3">
      <c r="A11" s="87" t="s">
        <v>30</v>
      </c>
      <c r="B11" s="23">
        <v>0.78183931862583655</v>
      </c>
      <c r="C11" s="81">
        <v>6.1069392359620984E-3</v>
      </c>
    </row>
    <row r="12" spans="1:3" x14ac:dyDescent="0.3">
      <c r="A12" s="87" t="s">
        <v>31</v>
      </c>
      <c r="B12" s="23">
        <v>0.64666788819162502</v>
      </c>
      <c r="C12" s="81">
        <v>-3.7393591993830516E-3</v>
      </c>
    </row>
    <row r="13" spans="1:3" x14ac:dyDescent="0.3">
      <c r="A13" s="87" t="s">
        <v>32</v>
      </c>
      <c r="B13" s="23">
        <v>0.64428237681897427</v>
      </c>
      <c r="C13" s="81">
        <v>5.5003575992857642E-3</v>
      </c>
    </row>
    <row r="14" spans="1:3" x14ac:dyDescent="0.3">
      <c r="A14" s="87" t="s">
        <v>33</v>
      </c>
      <c r="B14" s="23">
        <v>1.0486039124352835</v>
      </c>
      <c r="C14" s="81">
        <v>3.965911130465561E-2</v>
      </c>
    </row>
    <row r="15" spans="1:3" x14ac:dyDescent="0.3">
      <c r="A15" s="90" t="s">
        <v>14</v>
      </c>
      <c r="B15" s="23">
        <v>1</v>
      </c>
      <c r="C15" s="45">
        <f>NewReturnData!E5</f>
        <v>1.9716443866666666E-2</v>
      </c>
    </row>
    <row r="16" spans="1:3" x14ac:dyDescent="0.3">
      <c r="A16" s="90" t="s">
        <v>93</v>
      </c>
      <c r="B16" s="82">
        <v>0</v>
      </c>
      <c r="C16" s="83">
        <v>5.0000000000000002E-5</v>
      </c>
    </row>
    <row r="17" spans="1:2" x14ac:dyDescent="0.3">
      <c r="A17" s="91"/>
    </row>
    <row r="19" spans="1:2" x14ac:dyDescent="0.3">
      <c r="B19" t="s">
        <v>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0112-1F94-4816-86A4-858C23279502}">
  <dimension ref="A1:J19"/>
  <sheetViews>
    <sheetView workbookViewId="0">
      <selection activeCell="H2" sqref="H2"/>
    </sheetView>
  </sheetViews>
  <sheetFormatPr defaultRowHeight="14.4" x14ac:dyDescent="0.3"/>
  <cols>
    <col min="1" max="1" width="11.5546875" bestFit="1" customWidth="1"/>
    <col min="2" max="2" width="12.5546875" bestFit="1" customWidth="1"/>
    <col min="3" max="4" width="11.5546875" bestFit="1" customWidth="1"/>
    <col min="5" max="5" width="13.6640625" bestFit="1" customWidth="1"/>
    <col min="6" max="6" width="12.109375" bestFit="1" customWidth="1"/>
    <col min="7" max="7" width="11.5546875" bestFit="1" customWidth="1"/>
    <col min="8" max="8" width="13.6640625" bestFit="1" customWidth="1"/>
    <col min="9" max="9" width="12.109375" bestFit="1" customWidth="1"/>
    <col min="10" max="10" width="11.5546875" bestFit="1" customWidth="1"/>
  </cols>
  <sheetData>
    <row r="1" spans="1:10" ht="15" thickBot="1" x14ac:dyDescent="0.35">
      <c r="A1" t="s">
        <v>0</v>
      </c>
    </row>
    <row r="2" spans="1:10" x14ac:dyDescent="0.3">
      <c r="A2" t="s">
        <v>1</v>
      </c>
      <c r="B2" s="93" t="s">
        <v>3</v>
      </c>
      <c r="C2" s="93" t="s">
        <v>2</v>
      </c>
      <c r="D2" s="93" t="s">
        <v>4</v>
      </c>
      <c r="E2" s="36" t="s">
        <v>5</v>
      </c>
      <c r="F2" s="36" t="s">
        <v>6</v>
      </c>
      <c r="G2" s="36" t="s">
        <v>7</v>
      </c>
      <c r="H2" s="94" t="s">
        <v>8</v>
      </c>
      <c r="I2" s="94" t="s">
        <v>9</v>
      </c>
      <c r="J2" s="94" t="s">
        <v>10</v>
      </c>
    </row>
    <row r="3" spans="1:10" x14ac:dyDescent="0.3">
      <c r="A3" s="1">
        <v>44286</v>
      </c>
      <c r="B3" s="22">
        <v>13.130000114440918</v>
      </c>
      <c r="C3" s="22">
        <v>9.9999997764825821E-3</v>
      </c>
      <c r="D3" s="92">
        <v>1</v>
      </c>
      <c r="E3" s="22">
        <v>122.15000152587891</v>
      </c>
      <c r="F3" s="22"/>
      <c r="G3" s="18">
        <v>1</v>
      </c>
      <c r="H3" s="22">
        <v>135.42999267578125</v>
      </c>
      <c r="I3" s="22"/>
      <c r="J3" s="92">
        <v>1</v>
      </c>
    </row>
    <row r="4" spans="1:10" x14ac:dyDescent="0.3">
      <c r="A4" s="1">
        <v>44253</v>
      </c>
      <c r="B4" s="22">
        <v>12.539999961853027</v>
      </c>
      <c r="C4" s="22"/>
      <c r="D4" s="92">
        <v>1</v>
      </c>
      <c r="E4" s="22">
        <v>121.26000213623047</v>
      </c>
      <c r="F4" s="22">
        <v>0.20499999821186066</v>
      </c>
      <c r="G4" s="18">
        <v>1</v>
      </c>
      <c r="H4" s="22">
        <v>123.52999877929688</v>
      </c>
      <c r="I4" s="22"/>
      <c r="J4" s="92">
        <v>1</v>
      </c>
    </row>
    <row r="5" spans="1:10" x14ac:dyDescent="0.3">
      <c r="A5" s="1">
        <v>44225</v>
      </c>
      <c r="B5" s="22">
        <v>10.680000305175781</v>
      </c>
      <c r="C5" s="22"/>
      <c r="D5" s="92">
        <v>1</v>
      </c>
      <c r="E5" s="22">
        <v>131.96000671386719</v>
      </c>
      <c r="F5" s="22"/>
      <c r="G5" s="18">
        <v>1</v>
      </c>
      <c r="H5" s="22">
        <v>128.21000671386719</v>
      </c>
      <c r="I5" s="22">
        <v>0.79070001840591431</v>
      </c>
      <c r="J5" s="92">
        <v>1</v>
      </c>
    </row>
    <row r="6" spans="1:10" x14ac:dyDescent="0.3">
      <c r="A6" s="1">
        <v>44196</v>
      </c>
      <c r="B6" s="22">
        <v>10.800000190734863</v>
      </c>
      <c r="C6" s="22">
        <v>9.9999997764825821E-3</v>
      </c>
      <c r="D6" s="92">
        <v>1</v>
      </c>
      <c r="E6" s="22">
        <v>132.69000244140625</v>
      </c>
      <c r="F6" s="22"/>
      <c r="G6" s="18">
        <v>1</v>
      </c>
      <c r="H6" s="22">
        <v>139.13999938964844</v>
      </c>
      <c r="I6" s="22"/>
      <c r="J6" s="92">
        <v>1</v>
      </c>
    </row>
    <row r="7" spans="1:10" x14ac:dyDescent="0.3">
      <c r="H7" s="22"/>
    </row>
    <row r="10" spans="1:10" x14ac:dyDescent="0.3">
      <c r="F10" s="1"/>
    </row>
    <row r="11" spans="1:10" x14ac:dyDescent="0.3">
      <c r="F11" s="1"/>
    </row>
    <row r="12" spans="1:10" x14ac:dyDescent="0.3">
      <c r="F12" s="1"/>
    </row>
    <row r="13" spans="1:10" x14ac:dyDescent="0.3">
      <c r="F13" s="1"/>
    </row>
    <row r="16" spans="1:10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</sheetData>
  <sortState xmlns:xlrd2="http://schemas.microsoft.com/office/spreadsheetml/2017/richdata2" ref="A3:J6">
    <sortCondition descending="1" ref="A3:A6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47C8-B3DA-496C-9F1F-BCDD03A13737}">
  <dimension ref="A1:O21"/>
  <sheetViews>
    <sheetView workbookViewId="0">
      <selection activeCell="K7" sqref="K7"/>
    </sheetView>
  </sheetViews>
  <sheetFormatPr defaultRowHeight="14.4" x14ac:dyDescent="0.3"/>
  <cols>
    <col min="1" max="1" width="10.5546875" bestFit="1" customWidth="1"/>
    <col min="11" max="11" width="10.5546875" bestFit="1" customWidth="1"/>
  </cols>
  <sheetData>
    <row r="1" spans="1:15" x14ac:dyDescent="0.3">
      <c r="A1" t="s">
        <v>1</v>
      </c>
      <c r="B1" s="93" t="s">
        <v>11</v>
      </c>
      <c r="C1" s="36" t="s">
        <v>12</v>
      </c>
      <c r="D1" s="94" t="s">
        <v>13</v>
      </c>
      <c r="E1" t="s">
        <v>14</v>
      </c>
      <c r="F1" s="95" t="s">
        <v>24</v>
      </c>
      <c r="G1" s="95" t="s">
        <v>25</v>
      </c>
      <c r="H1" s="95" t="s">
        <v>26</v>
      </c>
      <c r="I1" s="95" t="s">
        <v>27</v>
      </c>
      <c r="J1" s="95" t="s">
        <v>28</v>
      </c>
      <c r="K1" s="95" t="s">
        <v>29</v>
      </c>
      <c r="L1" s="95" t="s">
        <v>30</v>
      </c>
      <c r="M1" s="95" t="s">
        <v>31</v>
      </c>
      <c r="N1" s="95" t="s">
        <v>32</v>
      </c>
      <c r="O1" s="95" t="s">
        <v>33</v>
      </c>
    </row>
    <row r="2" spans="1:15" x14ac:dyDescent="0.3">
      <c r="A2" s="1">
        <f>NewPriceData!A3</f>
        <v>44286</v>
      </c>
      <c r="B2" s="3">
        <f>LN((NewPriceData!B3+NewPriceData!C3)/NewPriceData!D3)-LN((NewPriceData!B4)/NewPriceData!D4)</f>
        <v>4.6737489586056835E-2</v>
      </c>
      <c r="C2" s="3">
        <f>LN((NewPriceData!E3+NewPriceData!F3)/NewPriceData!G3)-LN((NewPriceData!E4)/NewPriceData!G4)</f>
        <v>7.3127919350675086E-3</v>
      </c>
      <c r="D2" s="3">
        <f>LN((NewPriceData!H3+NewPriceData!I3)/NewPriceData!J3)-LN((NewPriceData!H4)/NewPriceData!J4)</f>
        <v>9.1970815919178328E-2</v>
      </c>
      <c r="E2" s="3">
        <v>3.060506E-2</v>
      </c>
      <c r="F2" s="3">
        <f>((0.4*$B2)+(0*$C2)+(0.6*$D2))</f>
        <v>7.3877485385929725E-2</v>
      </c>
      <c r="G2" s="3">
        <f>((0.5*$B2)+(0.5*$C2)+(0*$D2))</f>
        <v>2.7025140760562172E-2</v>
      </c>
      <c r="H2" s="3">
        <f>((0*$B2)+(0.45*$C2)+(0.55*$D2))</f>
        <v>5.3874705126328463E-2</v>
      </c>
      <c r="I2" s="3" cm="1">
        <f t="array" ref="I2">((Third*$B2)+(Third*$C2)+(Third*$D2))</f>
        <v>4.8673699146767557E-2</v>
      </c>
      <c r="J2" s="3">
        <f>((0.5*$B2)+(0.25*$C2)+(0.25*$D2))</f>
        <v>4.8189646756589877E-2</v>
      </c>
      <c r="K2" s="3">
        <f>((0.25*$B2)+(0.5*$C2)+(0.25*$D2))</f>
        <v>3.8333472343842545E-2</v>
      </c>
      <c r="L2" s="3">
        <f>((0.25*$B2)+(0.25*$C2)+(0.5*$D2))</f>
        <v>5.949797833987025E-2</v>
      </c>
      <c r="M2" s="3">
        <f>((0.1*$B2)+(0.2*$C2)+(0.7*$D2))</f>
        <v>7.0515878489044004E-2</v>
      </c>
      <c r="N2" s="3">
        <f>((0.2*$B2)+(0.1*$C2)+(0.7*$D2))</f>
        <v>7.4458348254142936E-2</v>
      </c>
      <c r="O2" s="3">
        <f>((0.7*$B2)+(0.2*$C2)+(0.1*$D2))</f>
        <v>4.3375882689171114E-2</v>
      </c>
    </row>
    <row r="3" spans="1:15" x14ac:dyDescent="0.3">
      <c r="A3" s="1">
        <f>NewPriceData!A4</f>
        <v>44253</v>
      </c>
      <c r="B3" s="3">
        <f>LN((NewPriceData!B4+NewPriceData!C4)/NewPriceData!D4)-LN((NewPriceData!B5)/NewPriceData!D5)</f>
        <v>0.16055067005619161</v>
      </c>
      <c r="C3" s="3">
        <f>LN((NewPriceData!E4+NewPriceData!F4)/NewPriceData!G4)-LN((NewPriceData!E5)/NewPriceData!G5)</f>
        <v>-8.2872724227891936E-2</v>
      </c>
      <c r="D3" s="3">
        <f>LN((NewPriceData!H4+NewPriceData!I4)/NewPriceData!J4)-LN((NewPriceData!H5)/NewPriceData!J5)</f>
        <v>-3.7185565263895271E-2</v>
      </c>
      <c r="E3" s="3">
        <v>2.919033E-2</v>
      </c>
      <c r="F3" s="3">
        <f t="shared" ref="F3:F4" si="0">((0.4*$B3)+(0*$C3)+(0.6*$D3))</f>
        <v>4.190892886413948E-2</v>
      </c>
      <c r="G3" s="3">
        <f t="shared" ref="G3:G4" si="1">((0.5*$B3)+(0.5*$C3)+(0*$D3))</f>
        <v>3.8838972914149839E-2</v>
      </c>
      <c r="H3" s="3">
        <f t="shared" ref="H3:H4" si="2">((0*$B3)+(0.45*$C3)+(0.55*$D3))</f>
        <v>-5.7744786797693771E-2</v>
      </c>
      <c r="I3" s="3" cm="1">
        <f t="array" ref="I3">((Third*$B3)+(Third*$C3)+(Third*$D3))</f>
        <v>1.34974601881348E-2</v>
      </c>
      <c r="J3" s="3">
        <f t="shared" ref="J3:J4" si="3">((0.5*$B3)+(0.25*$C3)+(0.25*$D3))</f>
        <v>5.0260762655149005E-2</v>
      </c>
      <c r="K3" s="3">
        <f t="shared" ref="K3:K4" si="4">((0.25*$B3)+(0.5*$C3)+(0.25*$D3))</f>
        <v>-1.0595085915871882E-2</v>
      </c>
      <c r="L3" s="3">
        <f t="shared" ref="L3:L4" si="5">((0.25*$B3)+(0.25*$C3)+(0.5*$D3))</f>
        <v>8.2670382512728402E-4</v>
      </c>
      <c r="M3" s="3">
        <f t="shared" ref="M3:M4" si="6">((0.1*$B3)+(0.2*$C3)+(0.7*$D3))</f>
        <v>-2.6549373524685917E-2</v>
      </c>
      <c r="N3" s="3">
        <f t="shared" ref="N3:N4" si="7">((0.2*$B3)+(0.1*$C3)+(0.7*$D3))</f>
        <v>-2.2070340962775624E-3</v>
      </c>
      <c r="O3" s="3">
        <f t="shared" ref="O3:O4" si="8">((0.7*$B3)+(0.2*$C3)+(0.1*$D3))</f>
        <v>9.2092367667366198E-2</v>
      </c>
    </row>
    <row r="4" spans="1:15" x14ac:dyDescent="0.3">
      <c r="A4" s="1">
        <f>NewPriceData!A5</f>
        <v>44225</v>
      </c>
      <c r="B4" s="3">
        <f>LN((NewPriceData!B5+NewPriceData!C5)/NewPriceData!D5)-LN((NewPriceData!B6)/NewPriceData!D6)</f>
        <v>-1.1173289684249355E-2</v>
      </c>
      <c r="C4" s="3">
        <f>LN((NewPriceData!E5+NewPriceData!F5)/NewPriceData!G5)-LN((NewPriceData!E6)/NewPriceData!G6)</f>
        <v>-5.516701709241012E-3</v>
      </c>
      <c r="D4" s="3">
        <f>LN((NewPriceData!H5+NewPriceData!I5)/NewPriceData!J5)-LN((NewPriceData!H6)/NewPriceData!J6)</f>
        <v>-7.5662733217477296E-2</v>
      </c>
      <c r="E4" s="3">
        <v>-6.4605840000000006E-4</v>
      </c>
      <c r="F4" s="3">
        <f t="shared" si="0"/>
        <v>-4.9866955804186118E-2</v>
      </c>
      <c r="G4" s="3">
        <f t="shared" si="1"/>
        <v>-8.3449956967451833E-3</v>
      </c>
      <c r="H4" s="3">
        <f t="shared" si="2"/>
        <v>-4.4097019038770974E-2</v>
      </c>
      <c r="I4" s="3" cm="1">
        <f t="array" ref="I4">((Third*$B4)+(Third*$C4)+(Third*$D4))</f>
        <v>-3.0784241536989221E-2</v>
      </c>
      <c r="J4" s="3">
        <f t="shared" si="3"/>
        <v>-2.5881503573804254E-2</v>
      </c>
      <c r="K4" s="3">
        <f t="shared" si="4"/>
        <v>-2.4467356580052169E-2</v>
      </c>
      <c r="L4" s="3">
        <f t="shared" si="5"/>
        <v>-4.200386445711124E-2</v>
      </c>
      <c r="M4" s="3">
        <f t="shared" si="6"/>
        <v>-5.5184582562507238E-2</v>
      </c>
      <c r="N4" s="3">
        <f t="shared" si="7"/>
        <v>-5.5750241360008078E-2</v>
      </c>
      <c r="O4" s="3">
        <f t="shared" si="8"/>
        <v>-1.6490916442570482E-2</v>
      </c>
    </row>
    <row r="5" spans="1:15" x14ac:dyDescent="0.3">
      <c r="A5" s="96" t="s">
        <v>49</v>
      </c>
      <c r="B5" s="97">
        <f>AVERAGE(B2:B4)</f>
        <v>6.5371623319333036E-2</v>
      </c>
      <c r="C5" s="97">
        <f t="shared" ref="C5:O5" si="9">AVERAGE(C2:C4)</f>
        <v>-2.7025544667355145E-2</v>
      </c>
      <c r="D5" s="97">
        <f t="shared" si="9"/>
        <v>-6.9591608540647458E-3</v>
      </c>
      <c r="E5" s="97">
        <f t="shared" si="9"/>
        <v>1.9716443866666666E-2</v>
      </c>
      <c r="F5" s="97">
        <f t="shared" si="9"/>
        <v>2.1973152815294366E-2</v>
      </c>
      <c r="G5" s="97">
        <f t="shared" si="9"/>
        <v>1.9173039325988944E-2</v>
      </c>
      <c r="H5" s="97">
        <f>AVERAGE(H2:H4)</f>
        <v>-1.5989033570045427E-2</v>
      </c>
      <c r="I5" s="97">
        <f t="shared" si="9"/>
        <v>1.0462305932637713E-2</v>
      </c>
      <c r="J5" s="97">
        <f t="shared" si="9"/>
        <v>2.4189635279311544E-2</v>
      </c>
      <c r="K5" s="97">
        <f t="shared" si="9"/>
        <v>1.0903432826394981E-3</v>
      </c>
      <c r="L5" s="97">
        <f t="shared" si="9"/>
        <v>6.1069392359620984E-3</v>
      </c>
      <c r="M5" s="97">
        <f t="shared" si="9"/>
        <v>-3.7393591993830516E-3</v>
      </c>
      <c r="N5" s="97">
        <f t="shared" si="9"/>
        <v>5.5003575992857642E-3</v>
      </c>
      <c r="O5" s="97">
        <f t="shared" si="9"/>
        <v>3.965911130465561E-2</v>
      </c>
    </row>
    <row r="6" spans="1:15" x14ac:dyDescent="0.3">
      <c r="A6" s="96" t="s">
        <v>17</v>
      </c>
      <c r="B6" s="65">
        <f>_xlfn.STDEV.P(B2:B4)</f>
        <v>7.1333502144160205E-2</v>
      </c>
      <c r="C6" s="65">
        <f t="shared" ref="C6:O6" si="10">_xlfn.STDEV.P(C2:C4)</f>
        <v>3.9835742538934946E-2</v>
      </c>
      <c r="D6" s="65">
        <f t="shared" si="10"/>
        <v>7.1696017284541225E-2</v>
      </c>
      <c r="E6" s="65">
        <f t="shared" si="10"/>
        <v>1.4410042543615867E-2</v>
      </c>
      <c r="F6" s="65">
        <f t="shared" si="10"/>
        <v>5.2448374975562331E-2</v>
      </c>
      <c r="G6" s="65">
        <f>_xlfn.STDEV.P(G2:G4)</f>
        <v>2.0047000543266677E-2</v>
      </c>
      <c r="H6" s="65">
        <f t="shared" si="10"/>
        <v>4.9714329789822043E-2</v>
      </c>
      <c r="I6" s="65">
        <f t="shared" si="10"/>
        <v>3.2509487901655719E-2</v>
      </c>
      <c r="J6" s="65">
        <f>_xlfn.STDEV.P(J2:J4)</f>
        <v>3.541573651925857E-2</v>
      </c>
      <c r="K6" s="65">
        <f t="shared" si="10"/>
        <v>2.693693833192802E-2</v>
      </c>
      <c r="L6" s="65">
        <f t="shared" si="10"/>
        <v>4.160582240737596E-2</v>
      </c>
      <c r="M6" s="65">
        <f t="shared" si="10"/>
        <v>5.3792031890008453E-2</v>
      </c>
      <c r="N6" s="65">
        <f t="shared" si="10"/>
        <v>5.3436080927828949E-2</v>
      </c>
      <c r="O6" s="65">
        <f t="shared" si="10"/>
        <v>4.4406780181772333E-2</v>
      </c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39</vt:i4>
      </vt:variant>
    </vt:vector>
  </HeadingPairs>
  <TitlesOfParts>
    <vt:vector size="49" baseType="lpstr">
      <vt:lpstr>PriceData</vt:lpstr>
      <vt:lpstr>ReturnData</vt:lpstr>
      <vt:lpstr>PG</vt:lpstr>
      <vt:lpstr>Portfolio Returns</vt:lpstr>
      <vt:lpstr>Frontier</vt:lpstr>
      <vt:lpstr>Regressions</vt:lpstr>
      <vt:lpstr>Beta</vt:lpstr>
      <vt:lpstr>SML</vt:lpstr>
      <vt:lpstr>NewPriceData</vt:lpstr>
      <vt:lpstr>NewReturnData</vt:lpstr>
      <vt:lpstr>AAPLDiv</vt:lpstr>
      <vt:lpstr>AAPLDivData</vt:lpstr>
      <vt:lpstr>AAPLFact</vt:lpstr>
      <vt:lpstr>AAPLFactData</vt:lpstr>
      <vt:lpstr>AAPLPrice</vt:lpstr>
      <vt:lpstr>AAPLPriceData</vt:lpstr>
      <vt:lpstr>AAPLReturns</vt:lpstr>
      <vt:lpstr>CovarianceMatrix</vt:lpstr>
      <vt:lpstr>Date</vt:lpstr>
      <vt:lpstr>Dates</vt:lpstr>
      <vt:lpstr>GEDiv</vt:lpstr>
      <vt:lpstr>GEDivData</vt:lpstr>
      <vt:lpstr>GEFact</vt:lpstr>
      <vt:lpstr>GEFactorData</vt:lpstr>
      <vt:lpstr>GEPrice</vt:lpstr>
      <vt:lpstr>GEPrices</vt:lpstr>
      <vt:lpstr>GEReturns</vt:lpstr>
      <vt:lpstr>IndexReturns</vt:lpstr>
      <vt:lpstr>P10Returns</vt:lpstr>
      <vt:lpstr>P1Returns</vt:lpstr>
      <vt:lpstr>P2Returns</vt:lpstr>
      <vt:lpstr>P3Returns</vt:lpstr>
      <vt:lpstr>P4Returns</vt:lpstr>
      <vt:lpstr>P5Returns</vt:lpstr>
      <vt:lpstr>P6Returns</vt:lpstr>
      <vt:lpstr>P7Returns</vt:lpstr>
      <vt:lpstr>P8Returns</vt:lpstr>
      <vt:lpstr>P9Returns</vt:lpstr>
      <vt:lpstr>PFReturns</vt:lpstr>
      <vt:lpstr>PFWeights</vt:lpstr>
      <vt:lpstr>PGAverageReturn</vt:lpstr>
      <vt:lpstr>PGDeviationsSquared</vt:lpstr>
      <vt:lpstr>PGDiv</vt:lpstr>
      <vt:lpstr>PGFact</vt:lpstr>
      <vt:lpstr>PGPrice</vt:lpstr>
      <vt:lpstr>PGPriceData</vt:lpstr>
      <vt:lpstr>PGReturns</vt:lpstr>
      <vt:lpstr>PortfolioReturns</vt:lpstr>
      <vt:lpstr>TrialWeight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Follett</dc:creator>
  <cp:lastModifiedBy>Stuart Follett</cp:lastModifiedBy>
  <cp:lastPrinted>2021-09-06T06:57:01Z</cp:lastPrinted>
  <dcterms:created xsi:type="dcterms:W3CDTF">2021-09-06T06:56:18Z</dcterms:created>
  <dcterms:modified xsi:type="dcterms:W3CDTF">2021-09-28T14:42:47Z</dcterms:modified>
</cp:coreProperties>
</file>