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00" yWindow="420" windowWidth="24300" windowHeight="151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1" l="1"/>
  <c r="O19" i="1"/>
  <c r="N19" i="1"/>
  <c r="M19" i="1"/>
  <c r="L19" i="1"/>
  <c r="H14" i="1"/>
  <c r="F15" i="1"/>
  <c r="F14" i="1"/>
  <c r="N7" i="1"/>
  <c r="N6" i="1"/>
  <c r="N5" i="1"/>
  <c r="N4" i="1"/>
  <c r="L4" i="1"/>
  <c r="O4" i="1"/>
  <c r="O2" i="1"/>
  <c r="M2" i="1"/>
  <c r="L2" i="1"/>
  <c r="L26" i="1"/>
  <c r="F2" i="1"/>
  <c r="F4" i="1"/>
  <c r="F5" i="1"/>
  <c r="F6" i="1"/>
  <c r="F7" i="1"/>
  <c r="F8" i="1"/>
  <c r="N28" i="1"/>
  <c r="G2" i="1"/>
  <c r="C2" i="1"/>
  <c r="K2" i="1"/>
  <c r="K3" i="1"/>
  <c r="G4" i="1"/>
  <c r="C4" i="1"/>
  <c r="K4" i="1"/>
  <c r="G5" i="1"/>
  <c r="K5" i="1"/>
  <c r="G6" i="1"/>
  <c r="C6" i="1"/>
  <c r="K6" i="1"/>
  <c r="G7" i="1"/>
  <c r="C7" i="1"/>
  <c r="K7" i="1"/>
  <c r="K8" i="1"/>
  <c r="O28" i="1"/>
  <c r="L20" i="1"/>
  <c r="B14" i="1"/>
  <c r="G14" i="1"/>
  <c r="I14" i="1"/>
  <c r="B15" i="1"/>
  <c r="G15" i="1"/>
  <c r="I15" i="1"/>
  <c r="M20" i="1"/>
  <c r="B2" i="1"/>
  <c r="I2" i="1"/>
  <c r="I3" i="1"/>
  <c r="B4" i="1"/>
  <c r="I4" i="1"/>
  <c r="I5" i="1"/>
  <c r="I6" i="1"/>
  <c r="B7" i="1"/>
  <c r="I7" i="1"/>
  <c r="I8" i="1"/>
  <c r="M21" i="1"/>
  <c r="N27" i="1"/>
  <c r="C15" i="1"/>
  <c r="K15" i="1"/>
  <c r="O27" i="1"/>
  <c r="N26" i="1"/>
  <c r="C14" i="1"/>
  <c r="K14" i="1"/>
  <c r="O26" i="1"/>
  <c r="L28" i="1"/>
  <c r="L27" i="1"/>
  <c r="M28" i="1"/>
  <c r="M27" i="1"/>
  <c r="M26" i="1"/>
  <c r="G9" i="1"/>
  <c r="O29" i="1"/>
  <c r="O30" i="1"/>
  <c r="O31" i="1"/>
  <c r="M29" i="1"/>
  <c r="M30" i="1"/>
  <c r="M31" i="1"/>
  <c r="N21" i="1"/>
  <c r="O21" i="1"/>
  <c r="N20" i="1"/>
  <c r="O20" i="1"/>
  <c r="O22" i="1"/>
  <c r="O23" i="1"/>
  <c r="O24" i="1"/>
  <c r="M22" i="1"/>
  <c r="M23" i="1"/>
  <c r="M24" i="1"/>
  <c r="H2" i="1"/>
  <c r="J15" i="1"/>
  <c r="J14" i="1"/>
  <c r="H15" i="1"/>
  <c r="C16" i="1"/>
  <c r="B16" i="1"/>
  <c r="N2" i="1"/>
  <c r="J2" i="1"/>
  <c r="H4" i="1"/>
  <c r="J4" i="1"/>
  <c r="M4" i="1"/>
  <c r="H3" i="1"/>
  <c r="M3" i="1"/>
  <c r="H5" i="1"/>
  <c r="L5" i="1"/>
  <c r="M5" i="1"/>
  <c r="L6" i="1"/>
  <c r="H6" i="1"/>
  <c r="M6" i="1"/>
  <c r="L7" i="1"/>
  <c r="H7" i="1"/>
  <c r="M7" i="1"/>
  <c r="M8" i="1"/>
  <c r="J3" i="1"/>
  <c r="O3" i="1"/>
  <c r="J5" i="1"/>
  <c r="O5" i="1"/>
  <c r="J6" i="1"/>
  <c r="O6" i="1"/>
  <c r="J7" i="1"/>
  <c r="O7" i="1"/>
  <c r="O8" i="1"/>
  <c r="O10" i="1"/>
  <c r="M10" i="1"/>
  <c r="L10" i="1"/>
  <c r="I10" i="1"/>
  <c r="J8" i="1"/>
  <c r="J10" i="1"/>
  <c r="K10" i="1"/>
  <c r="H8" i="1"/>
  <c r="H10" i="1"/>
</calcChain>
</file>

<file path=xl/sharedStrings.xml><?xml version="1.0" encoding="utf-8"?>
<sst xmlns="http://schemas.openxmlformats.org/spreadsheetml/2006/main" count="60" uniqueCount="50">
  <si>
    <t>Metridia longa</t>
  </si>
  <si>
    <t>Nauplii</t>
  </si>
  <si>
    <t>Calanus</t>
  </si>
  <si>
    <t>ESAT/LW</t>
  </si>
  <si>
    <t>WEST/UP</t>
  </si>
  <si>
    <t>Cycloipoida</t>
  </si>
  <si>
    <t>Microcalanus</t>
  </si>
  <si>
    <t>Paraeuchaeta</t>
  </si>
  <si>
    <t>Pseudocalanus sp</t>
  </si>
  <si>
    <t>Min_size</t>
  </si>
  <si>
    <t>Max_size</t>
  </si>
  <si>
    <t>Bodymass_max</t>
  </si>
  <si>
    <t>Bodymass_min(ugC)</t>
  </si>
  <si>
    <t>Biomass_min</t>
  </si>
  <si>
    <t>Biomass_max</t>
  </si>
  <si>
    <t>Biomass_max_EAST</t>
  </si>
  <si>
    <t>Biomass_min_EAST</t>
  </si>
  <si>
    <t>Biomass_max_WEST</t>
  </si>
  <si>
    <t>Biomass_min_WEST</t>
  </si>
  <si>
    <t>Total(ugC.m-2)</t>
  </si>
  <si>
    <t>Growth_min EAST(d-1)</t>
  </si>
  <si>
    <t>Growth_min EAST(ugC.d-1)</t>
  </si>
  <si>
    <t>Total(gC.m-2.m-1)</t>
  </si>
  <si>
    <t>Growth_min_WEST(d-1)</t>
  </si>
  <si>
    <t>Growth_min_WEST(ugC.d-1)</t>
  </si>
  <si>
    <t>MIC</t>
  </si>
  <si>
    <t>Flagellates</t>
  </si>
  <si>
    <t>Ciliates</t>
  </si>
  <si>
    <t>SUM_MIC</t>
  </si>
  <si>
    <t>pg.cell-1</t>
  </si>
  <si>
    <t>pg.cell-2</t>
  </si>
  <si>
    <t>Mesozooplankton/Microzooplankton upper respi</t>
  </si>
  <si>
    <r>
      <t>14W</t>
    </r>
    <r>
      <rPr>
        <vertAlign val="superscript"/>
        <sz val="12"/>
        <color theme="1"/>
        <rFont val="Calibri"/>
        <scheme val="minor"/>
      </rPr>
      <t>-0.25</t>
    </r>
    <r>
      <rPr>
        <sz val="12"/>
        <color theme="1"/>
        <rFont val="Calibri"/>
        <family val="2"/>
        <scheme val="minor"/>
      </rPr>
      <t>*e</t>
    </r>
    <r>
      <rPr>
        <vertAlign val="superscript"/>
        <sz val="12"/>
        <color theme="1"/>
        <rFont val="Calibri"/>
        <scheme val="minor"/>
      </rPr>
      <t>0.0693*(T-20)</t>
    </r>
    <r>
      <rPr>
        <sz val="12"/>
        <color theme="1"/>
        <rFont val="Calibri"/>
        <family val="2"/>
        <scheme val="minor"/>
      </rPr>
      <t>*biomass</t>
    </r>
  </si>
  <si>
    <t>Meloney and Field, 1989  table4</t>
  </si>
  <si>
    <t>Mesozooplankton/Microzooplankton upper ingestion</t>
  </si>
  <si>
    <r>
      <t>63W</t>
    </r>
    <r>
      <rPr>
        <vertAlign val="superscript"/>
        <sz val="12"/>
        <color theme="1"/>
        <rFont val="Calibri"/>
        <scheme val="minor"/>
      </rPr>
      <t>-0.25</t>
    </r>
    <r>
      <rPr>
        <sz val="12"/>
        <color theme="1"/>
        <rFont val="Calibri"/>
        <family val="2"/>
        <scheme val="minor"/>
      </rPr>
      <t>*e</t>
    </r>
    <r>
      <rPr>
        <vertAlign val="superscript"/>
        <sz val="12"/>
        <color theme="1"/>
        <rFont val="Calibri"/>
        <scheme val="minor"/>
      </rPr>
      <t>0.0693*(T-20)</t>
    </r>
    <r>
      <rPr>
        <sz val="12"/>
        <color theme="1"/>
        <rFont val="Calibri"/>
        <family val="2"/>
        <scheme val="minor"/>
      </rPr>
      <t>*biomass</t>
    </r>
  </si>
  <si>
    <t>W en pgC</t>
  </si>
  <si>
    <t>HNF</t>
  </si>
  <si>
    <t>CIL</t>
  </si>
  <si>
    <t>NAUP</t>
  </si>
  <si>
    <t>total per day</t>
  </si>
  <si>
    <t>total per month</t>
  </si>
  <si>
    <t>RESPI upper_EAST</t>
  </si>
  <si>
    <t>RESPI upper_WEST</t>
  </si>
  <si>
    <t>INGES upper_WEST</t>
  </si>
  <si>
    <t>INGES upper_EAST</t>
  </si>
  <si>
    <t>biovol min</t>
  </si>
  <si>
    <t>biovol max</t>
  </si>
  <si>
    <t>gC.m-2.m-1</t>
  </si>
  <si>
    <t>Carbon content in pgC per cell according to Menden &amp; Deuer,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</si>
</sst>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 applyFill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11" fontId="0" fillId="2" borderId="0" xfId="0" applyNumberFormat="1" applyFill="1"/>
    <xf numFmtId="11" fontId="0" fillId="0" borderId="0" xfId="0" applyNumberFormat="1"/>
    <xf numFmtId="0" fontId="0" fillId="0" borderId="0" xfId="0" applyFill="1"/>
    <xf numFmtId="0" fontId="4" fillId="3" borderId="0" xfId="0" applyFont="1" applyFill="1" applyAlignment="1">
      <alignment horizontal="center"/>
    </xf>
    <xf numFmtId="11" fontId="4" fillId="3" borderId="0" xfId="0" applyNumberFormat="1" applyFont="1" applyFill="1"/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J1" workbookViewId="0">
      <selection activeCell="D32" sqref="D32"/>
    </sheetView>
  </sheetViews>
  <sheetFormatPr baseColWidth="10" defaultRowHeight="15" x14ac:dyDescent="0"/>
  <cols>
    <col min="1" max="1" width="15.6640625" bestFit="1" customWidth="1"/>
    <col min="2" max="2" width="12.1640625" style="3" bestFit="1" customWidth="1"/>
    <col min="3" max="3" width="11.1640625" bestFit="1" customWidth="1"/>
    <col min="4" max="4" width="11.83203125" customWidth="1"/>
    <col min="5" max="5" width="13.5" customWidth="1"/>
    <col min="6" max="6" width="17.83203125" bestFit="1" customWidth="1"/>
    <col min="7" max="7" width="16.33203125" bestFit="1" customWidth="1"/>
    <col min="8" max="8" width="17.1640625" style="3" bestFit="1" customWidth="1"/>
    <col min="9" max="9" width="17.33203125" style="3" bestFit="1" customWidth="1"/>
    <col min="10" max="10" width="17.6640625" bestFit="1" customWidth="1"/>
    <col min="11" max="11" width="18" bestFit="1" customWidth="1"/>
    <col min="12" max="12" width="19.83203125" style="3" bestFit="1" customWidth="1"/>
    <col min="13" max="13" width="23.5" style="3" bestFit="1" customWidth="1"/>
    <col min="14" max="14" width="21" bestFit="1" customWidth="1"/>
    <col min="15" max="15" width="24.6640625" bestFit="1" customWidth="1"/>
  </cols>
  <sheetData>
    <row r="1" spans="1:15">
      <c r="A1" t="s">
        <v>1</v>
      </c>
      <c r="B1" s="3" t="s">
        <v>3</v>
      </c>
      <c r="C1" t="s">
        <v>4</v>
      </c>
      <c r="D1" t="s">
        <v>9</v>
      </c>
      <c r="E1" t="s">
        <v>10</v>
      </c>
      <c r="F1" t="s">
        <v>12</v>
      </c>
      <c r="G1" t="s">
        <v>11</v>
      </c>
      <c r="H1" s="3" t="s">
        <v>16</v>
      </c>
      <c r="I1" s="3" t="s">
        <v>15</v>
      </c>
      <c r="J1" t="s">
        <v>18</v>
      </c>
      <c r="K1" t="s">
        <v>17</v>
      </c>
      <c r="L1" s="3" t="s">
        <v>20</v>
      </c>
      <c r="M1" s="3" t="s">
        <v>21</v>
      </c>
      <c r="N1" t="s">
        <v>23</v>
      </c>
      <c r="O1" t="s">
        <v>24</v>
      </c>
    </row>
    <row r="2" spans="1:15">
      <c r="A2" t="s">
        <v>2</v>
      </c>
      <c r="B2" s="3">
        <f>SUM(13608.70748,160)</f>
        <v>13768.707479999999</v>
      </c>
      <c r="C2">
        <f>SUM(4096.66667,483.55556)</f>
        <v>4580.2222299999994</v>
      </c>
      <c r="D2">
        <v>200</v>
      </c>
      <c r="E2">
        <v>500</v>
      </c>
      <c r="F2">
        <f>4.29*10^-6*(D2)^2.05</f>
        <v>0.22364993860862137</v>
      </c>
      <c r="G2">
        <f>4.29*10^-6*(E2)^2.05</f>
        <v>1.4633418767697175</v>
      </c>
      <c r="H2" s="3">
        <f>F2*$B$2</f>
        <v>3079.3705826220657</v>
      </c>
      <c r="I2" s="3">
        <f>G2*$B$2</f>
        <v>20148.326244476448</v>
      </c>
      <c r="J2">
        <f>F2*$C$2</f>
        <v>1024.3664205533428</v>
      </c>
      <c r="K2">
        <f>G2*$C$2</f>
        <v>6702.4309940705798</v>
      </c>
      <c r="L2" s="3">
        <f>10^(-0.0143*(-1.17)+((-0.363)*LOG10($G2))+0.135*(LOG10(0.98))-0.105)</f>
        <v>0.70880373019234899</v>
      </c>
      <c r="M2" s="3">
        <f>L2*H2</f>
        <v>2182.6693556071073</v>
      </c>
      <c r="N2">
        <f>10^(-0.0143*(-1.17)+((-0.363)*LOG10($G2))+0.135*(LOG10(1.255))-0.105)</f>
        <v>0.73287073062423314</v>
      </c>
      <c r="O2">
        <f>N2*J2</f>
        <v>750.72816705785874</v>
      </c>
    </row>
    <row r="3" spans="1:15">
      <c r="A3" t="s">
        <v>5</v>
      </c>
      <c r="B3" s="3">
        <v>533.33333000000005</v>
      </c>
      <c r="C3">
        <v>0</v>
      </c>
      <c r="H3" s="3">
        <f>F3*$B$3</f>
        <v>0</v>
      </c>
      <c r="I3" s="3">
        <f>G3*$B$3</f>
        <v>0</v>
      </c>
      <c r="J3">
        <f>F3*$C$3</f>
        <v>0</v>
      </c>
      <c r="K3">
        <f>G3*$C$3</f>
        <v>0</v>
      </c>
      <c r="M3" s="3">
        <f t="shared" ref="M3:M7" si="0">L3*H3</f>
        <v>0</v>
      </c>
      <c r="O3">
        <f t="shared" ref="O3:O7" si="1">N3*J3</f>
        <v>0</v>
      </c>
    </row>
    <row r="4" spans="1:15">
      <c r="A4" t="s">
        <v>0</v>
      </c>
      <c r="B4" s="3">
        <f>SUM(1520.7619)</f>
        <v>1520.7619</v>
      </c>
      <c r="C4">
        <f>SUM(448.33333,568.88889)</f>
        <v>1017.2222199999999</v>
      </c>
      <c r="D4">
        <v>220</v>
      </c>
      <c r="E4">
        <v>350</v>
      </c>
      <c r="F4">
        <f>3.18*10^-9*(D4)^3.31</f>
        <v>0.18023793106037098</v>
      </c>
      <c r="G4">
        <f>3.18*10^-9*(E4)^3.31</f>
        <v>0.83809325756558861</v>
      </c>
      <c r="H4" s="3">
        <f>F4*$B$4</f>
        <v>274.0989784914388</v>
      </c>
      <c r="I4" s="3">
        <f>G4*$B$4</f>
        <v>1274.5402947526338</v>
      </c>
      <c r="J4">
        <f>F4*$C$4</f>
        <v>183.34202836143749</v>
      </c>
      <c r="K4">
        <f>G4*$C$4</f>
        <v>852.52708402789972</v>
      </c>
      <c r="L4" s="3">
        <f>10^(-0.0143*(-1.17)+((-0.363)*LOG10($G4))+0.135*(LOG10(0.98))-0.105)</f>
        <v>0.86774355823700511</v>
      </c>
      <c r="M4" s="3">
        <f>L4*H4</f>
        <v>237.84762290528943</v>
      </c>
      <c r="N4">
        <f>10^(-0.0143*(-1.17)+((-0.363)*LOG10($G4))+0.135*(LOG10(1.255))-0.105)</f>
        <v>0.89720726405749707</v>
      </c>
      <c r="O4">
        <f>N4*J4</f>
        <v>164.49579965291736</v>
      </c>
    </row>
    <row r="5" spans="1:15">
      <c r="A5" t="s">
        <v>6</v>
      </c>
      <c r="B5" s="3">
        <v>0</v>
      </c>
      <c r="C5">
        <v>640</v>
      </c>
      <c r="D5">
        <v>100</v>
      </c>
      <c r="E5">
        <v>220</v>
      </c>
      <c r="F5">
        <f>(10^(2.515*LOG10(D5*10^-3)+0.975))*0.447</f>
        <v>1.2891620818975923E-2</v>
      </c>
      <c r="G5">
        <f>(10^(2.515*LOG10(E5*10^-3)+0.975))*0.447</f>
        <v>9.3648443908493445E-2</v>
      </c>
      <c r="H5" s="3">
        <f>F5*$B$5</f>
        <v>0</v>
      </c>
      <c r="I5" s="3">
        <f>G5*$B$5</f>
        <v>0</v>
      </c>
      <c r="J5">
        <f>F5*$C$5</f>
        <v>8.2506373241445914</v>
      </c>
      <c r="K5">
        <f>G5*$C$5</f>
        <v>59.935004101435808</v>
      </c>
      <c r="L5" s="3">
        <f>10^(-0.0143*(-1.17)+((-0.363)*LOG10($F5))+0.135*(LOG10(0.856))-0.105)*(H5)</f>
        <v>0</v>
      </c>
      <c r="M5" s="3">
        <f t="shared" si="0"/>
        <v>0</v>
      </c>
      <c r="N5">
        <f>10^(-0.0143*(-1.17)+((-0.363)*LOG10($G5))+0.135*(LOG10(1.255))-0.105)</f>
        <v>1.9878938848722554</v>
      </c>
      <c r="O5">
        <f t="shared" si="1"/>
        <v>16.401391482965821</v>
      </c>
    </row>
    <row r="6" spans="1:15">
      <c r="A6" t="s">
        <v>7</v>
      </c>
      <c r="B6" s="3">
        <v>711.11111000000005</v>
      </c>
      <c r="C6">
        <f>SUM(59.25926,
653.33333)</f>
        <v>712.59259000000009</v>
      </c>
      <c r="D6">
        <v>350</v>
      </c>
      <c r="E6">
        <v>650</v>
      </c>
      <c r="F6">
        <f>4.29*10^-6*(D6)^2.05</f>
        <v>0.7043634031632181</v>
      </c>
      <c r="G6">
        <f>4.29*10^-6*(E6)^2.05</f>
        <v>2.5057034635846578</v>
      </c>
      <c r="H6" s="3">
        <f>F6*$B$6</f>
        <v>500.88064146677357</v>
      </c>
      <c r="I6" s="3">
        <f>G6*$B$6</f>
        <v>1781.8335713205306</v>
      </c>
      <c r="J6">
        <f>F6*$C$6</f>
        <v>501.92414176129182</v>
      </c>
      <c r="K6">
        <f>G6*$C$6</f>
        <v>1785.5457208877622</v>
      </c>
      <c r="L6" s="5">
        <f>10^(0.0182*(-1.17)+((0.193)*LOG10($G6))+0.195*(LOG10(0.98))-1.591)</f>
        <v>2.9039458360336272E-2</v>
      </c>
      <c r="M6" s="3">
        <f t="shared" si="0"/>
        <v>14.545302531372892</v>
      </c>
      <c r="N6" s="1">
        <f>10^(0.0182*(-1.17)+((0.193)*LOG10($G6))+0.195*(LOG10(1.255))-1.591)</f>
        <v>3.0474385249034303E-2</v>
      </c>
      <c r="O6">
        <f t="shared" si="1"/>
        <v>15.295829661824515</v>
      </c>
    </row>
    <row r="7" spans="1:15">
      <c r="A7" t="s">
        <v>8</v>
      </c>
      <c r="B7" s="3">
        <f>SUM(90.66667,
7390.47619)</f>
        <v>7481.1428599999999</v>
      </c>
      <c r="C7">
        <f>SUM(1066.66667,113.77778,
1567.61905)</f>
        <v>2748.0635000000002</v>
      </c>
      <c r="D7">
        <v>120</v>
      </c>
      <c r="E7">
        <v>260</v>
      </c>
      <c r="F7">
        <f>(10^(2.515*LOG10(D7*10^-3)+0.975))*0.447</f>
        <v>2.0391461651489667E-2</v>
      </c>
      <c r="G7">
        <f>(10^(2.515*LOG10(E7*10^-3)+0.975))*0.447</f>
        <v>0.14254943269319181</v>
      </c>
      <c r="H7" s="3">
        <f>F7*$B$7</f>
        <v>152.55143773900573</v>
      </c>
      <c r="I7" s="3">
        <f>G7*$B$7</f>
        <v>1066.4326705897224</v>
      </c>
      <c r="J7">
        <f>F7*$C$7</f>
        <v>56.037031476108481</v>
      </c>
      <c r="K7">
        <f>G7*$C$7</f>
        <v>391.73489292986716</v>
      </c>
      <c r="L7" s="5">
        <f>10^(0.0182*(-1.17)+((0.193)*LOG10($G7))+0.195*(LOG10(0.98))-1.591)</f>
        <v>1.6699767506640494E-2</v>
      </c>
      <c r="M7" s="3">
        <f t="shared" si="0"/>
        <v>2.5475735430451385</v>
      </c>
      <c r="N7" s="1">
        <f>10^(0.0182*(-1.17)+((0.193)*LOG10($G7))+0.195*(LOG10(1.255))-1.591)</f>
        <v>1.75249531947804E-2</v>
      </c>
      <c r="O7">
        <f t="shared" si="1"/>
        <v>0.98204635379323713</v>
      </c>
    </row>
    <row r="8" spans="1:15">
      <c r="F8">
        <f>AVERAGE(F2:F7)</f>
        <v>0.22830687106053524</v>
      </c>
      <c r="G8" s="2" t="s">
        <v>19</v>
      </c>
      <c r="H8" s="4">
        <f>SUM(H2:H7)</f>
        <v>4006.9016403192841</v>
      </c>
      <c r="I8" s="4">
        <f t="shared" ref="I8:K8" si="2">SUM(I2:I7)</f>
        <v>24271.132781139335</v>
      </c>
      <c r="J8" s="2">
        <f t="shared" si="2"/>
        <v>1773.9202594763253</v>
      </c>
      <c r="K8" s="2">
        <f t="shared" si="2"/>
        <v>9792.1736960175458</v>
      </c>
      <c r="L8" s="4"/>
      <c r="M8" s="4">
        <f>SUM(M2:M7)</f>
        <v>2437.6098545868144</v>
      </c>
      <c r="O8" s="2">
        <f>SUM(O2:O7)</f>
        <v>947.90323420935965</v>
      </c>
    </row>
    <row r="9" spans="1:15">
      <c r="B9" s="3" t="s">
        <v>3</v>
      </c>
      <c r="C9" t="s">
        <v>4</v>
      </c>
      <c r="G9" s="2">
        <f>AVERAGE(G2:G7)</f>
        <v>1.0086672949043298</v>
      </c>
      <c r="H9" s="4"/>
      <c r="I9" s="4"/>
      <c r="J9" s="2"/>
      <c r="K9" s="2"/>
      <c r="L9" s="4"/>
      <c r="M9" s="4"/>
      <c r="O9" s="2"/>
    </row>
    <row r="10" spans="1:15">
      <c r="A10" t="s">
        <v>13</v>
      </c>
      <c r="G10" s="2" t="s">
        <v>22</v>
      </c>
      <c r="H10" s="4">
        <f>H8*10^-6</f>
        <v>4.0069016403192839E-3</v>
      </c>
      <c r="I10" s="4">
        <f t="shared" ref="I10:K10" si="3">I8*10^-6</f>
        <v>2.4271132781139335E-2</v>
      </c>
      <c r="J10" s="2">
        <f t="shared" si="3"/>
        <v>1.7739202594763252E-3</v>
      </c>
      <c r="K10" s="2">
        <f t="shared" si="3"/>
        <v>9.7921736960175452E-3</v>
      </c>
      <c r="L10" s="4">
        <f>L9*10^-6</f>
        <v>0</v>
      </c>
      <c r="M10" s="4">
        <f>M8*10^-6*30</f>
        <v>7.3128295637604437E-2</v>
      </c>
      <c r="O10" s="2">
        <f>O8*10^-6*30</f>
        <v>2.8437097026280788E-2</v>
      </c>
    </row>
    <row r="11" spans="1:15">
      <c r="A11" t="s">
        <v>14</v>
      </c>
    </row>
    <row r="12" spans="1:15">
      <c r="F12" t="s">
        <v>49</v>
      </c>
    </row>
    <row r="13" spans="1:15">
      <c r="A13" t="s">
        <v>25</v>
      </c>
      <c r="D13" t="s">
        <v>46</v>
      </c>
      <c r="E13" t="s">
        <v>47</v>
      </c>
      <c r="F13" t="s">
        <v>29</v>
      </c>
      <c r="G13" t="s">
        <v>30</v>
      </c>
    </row>
    <row r="14" spans="1:15">
      <c r="A14" t="s">
        <v>26</v>
      </c>
      <c r="B14" s="5">
        <f>41.7*10^6+5.26*10^8</f>
        <v>567700000</v>
      </c>
      <c r="C14" s="6">
        <f>3.015*10^7+4.25*10^8</f>
        <v>455150000</v>
      </c>
      <c r="D14">
        <v>3.29</v>
      </c>
      <c r="E14">
        <v>16.100000000000001</v>
      </c>
      <c r="F14" s="6">
        <f>0.216*(D14)^0.939</f>
        <v>0.66084665994447833</v>
      </c>
      <c r="G14" s="6">
        <f>0.216*(E14)^0.939</f>
        <v>2.9353726859543534</v>
      </c>
      <c r="H14" s="5">
        <f>$B$14*F14</f>
        <v>375162648.85048038</v>
      </c>
      <c r="I14" s="5">
        <f>$B$14*G14</f>
        <v>1666411073.8162863</v>
      </c>
      <c r="J14" s="6">
        <f>$C$14*F14</f>
        <v>300784357.27372932</v>
      </c>
      <c r="K14" s="6">
        <f>$C$14*G14</f>
        <v>1336034878.0121241</v>
      </c>
      <c r="M14" s="5"/>
    </row>
    <row r="15" spans="1:15">
      <c r="A15" t="s">
        <v>27</v>
      </c>
      <c r="B15" s="5">
        <f>8.41*10^8</f>
        <v>841000000</v>
      </c>
      <c r="C15" s="6">
        <f>6.39*10^8</f>
        <v>639000000</v>
      </c>
      <c r="D15">
        <v>19.2</v>
      </c>
      <c r="E15">
        <v>1419</v>
      </c>
      <c r="F15" s="6">
        <f>0.216*(D15)^0.939</f>
        <v>3.463168358856954</v>
      </c>
      <c r="G15" s="6">
        <f>0.216*(E15)^0.939</f>
        <v>196.86350834305782</v>
      </c>
      <c r="H15" s="5">
        <f>$B$15*F15</f>
        <v>2912524589.7986984</v>
      </c>
      <c r="I15" s="5">
        <f>$B$15*G15</f>
        <v>165562210516.51163</v>
      </c>
      <c r="J15" s="6">
        <f>$C$15*F15</f>
        <v>2212964581.3095937</v>
      </c>
      <c r="K15" s="6">
        <f>$C$15*G15</f>
        <v>125795781831.21394</v>
      </c>
    </row>
    <row r="16" spans="1:15">
      <c r="A16" t="s">
        <v>28</v>
      </c>
      <c r="B16" s="5">
        <f>SUM(B14:B15)</f>
        <v>1408700000</v>
      </c>
      <c r="C16" s="1">
        <f>SUM(C14:C15)</f>
        <v>1094150000</v>
      </c>
    </row>
    <row r="17" spans="1:15">
      <c r="N17" s="7"/>
      <c r="O17" s="7"/>
    </row>
    <row r="18" spans="1:15">
      <c r="L18" s="3" t="s">
        <v>42</v>
      </c>
      <c r="N18" s="7" t="s">
        <v>43</v>
      </c>
      <c r="O18" s="7"/>
    </row>
    <row r="19" spans="1:15">
      <c r="A19" s="8" t="s">
        <v>31</v>
      </c>
      <c r="B19" s="8"/>
      <c r="C19" s="8"/>
      <c r="D19" s="8"/>
      <c r="K19" t="s">
        <v>37</v>
      </c>
      <c r="L19" s="3">
        <f>14*(F14)^-0.25*EXP(0.0693*(-1.17-20))</f>
        <v>3.5806154233719343</v>
      </c>
      <c r="M19" s="5">
        <f>L19*I14</f>
        <v>5966777192.5843821</v>
      </c>
      <c r="N19" s="7">
        <f>14*(F14)^-0.25*EXP(0.0693*(-1.17-20))</f>
        <v>3.5806154233719343</v>
      </c>
      <c r="O19" s="1">
        <f>N19*K14</f>
        <v>4783827090.3730526</v>
      </c>
    </row>
    <row r="20" spans="1:15" ht="16">
      <c r="A20" t="s">
        <v>32</v>
      </c>
      <c r="B20"/>
      <c r="D20" t="s">
        <v>33</v>
      </c>
      <c r="K20" t="s">
        <v>38</v>
      </c>
      <c r="L20" s="3">
        <f>14*(F15)^-0.25*EXP(0.0693*(-1.17-20))</f>
        <v>2.3665432814856615</v>
      </c>
      <c r="M20" s="5">
        <f>L20*I15</f>
        <v>391810136965.76532</v>
      </c>
      <c r="N20" s="7">
        <f>14*(F15)^-0.25*EXP(0.0693*(-1.17-20))</f>
        <v>2.3665432814856615</v>
      </c>
      <c r="O20" s="1">
        <f>N20*K15</f>
        <v>297701162331.89539</v>
      </c>
    </row>
    <row r="21" spans="1:15">
      <c r="A21" s="8" t="s">
        <v>34</v>
      </c>
      <c r="B21" s="8"/>
      <c r="C21" s="8"/>
      <c r="D21" s="8"/>
      <c r="K21" t="s">
        <v>39</v>
      </c>
      <c r="L21" s="3">
        <f>14*(F8*10^6)^-0.25*EXP(0.0693*(-1.17-20))</f>
        <v>0.14769068587181572</v>
      </c>
      <c r="M21" s="3">
        <f>L21*I8</f>
        <v>3584.6202473323783</v>
      </c>
      <c r="N21" s="7">
        <f>14*(F8*10^6)^-0.25*EXP(0.0693*(-1.17-20))</f>
        <v>0.14769068587181572</v>
      </c>
      <c r="O21" s="7">
        <f>N21*K8</f>
        <v>1446.212849340784</v>
      </c>
    </row>
    <row r="22" spans="1:15" ht="16">
      <c r="A22" t="s">
        <v>35</v>
      </c>
      <c r="B22"/>
      <c r="D22" t="s">
        <v>33</v>
      </c>
      <c r="L22" s="3" t="s">
        <v>40</v>
      </c>
      <c r="M22" s="5">
        <f>SUM(M19:M21)</f>
        <v>397776917742.96997</v>
      </c>
      <c r="N22" s="7" t="s">
        <v>40</v>
      </c>
      <c r="O22" s="1">
        <f>SUM(O19:O21)</f>
        <v>302484990868.48126</v>
      </c>
    </row>
    <row r="23" spans="1:15">
      <c r="L23" s="3" t="s">
        <v>41</v>
      </c>
      <c r="M23" s="5">
        <f>M22*30</f>
        <v>11933307532289.1</v>
      </c>
      <c r="N23" s="7" t="s">
        <v>41</v>
      </c>
      <c r="O23" s="1">
        <f>O22*30</f>
        <v>9074549726054.4375</v>
      </c>
    </row>
    <row r="24" spans="1:15">
      <c r="A24" t="s">
        <v>36</v>
      </c>
      <c r="M24" s="9">
        <f>M23*10^-12</f>
        <v>11.933307532289099</v>
      </c>
      <c r="N24" s="7" t="s">
        <v>48</v>
      </c>
      <c r="O24" s="9">
        <f>O23*10^-12</f>
        <v>9.0745497260544372</v>
      </c>
    </row>
    <row r="25" spans="1:15">
      <c r="L25" s="3" t="s">
        <v>45</v>
      </c>
      <c r="N25" s="7" t="s">
        <v>44</v>
      </c>
      <c r="O25" s="7"/>
    </row>
    <row r="26" spans="1:15">
      <c r="L26" s="3">
        <f>63*(F14)^-0.25*EXP(0.0693*(-1.17-20))</f>
        <v>16.112769405173704</v>
      </c>
      <c r="M26" s="5">
        <f>L26*I14</f>
        <v>26850497366.629719</v>
      </c>
      <c r="N26" s="7">
        <f>63*(F14)^-0.25*EXP(0.0693*(-1.17-20))</f>
        <v>16.112769405173704</v>
      </c>
      <c r="O26" s="1">
        <f>N26*K14</f>
        <v>21527221906.678734</v>
      </c>
    </row>
    <row r="27" spans="1:15">
      <c r="L27" s="3">
        <f>63*(F15)^-0.25*EXP(0.0693*(-1.17-20))</f>
        <v>10.649444766685475</v>
      </c>
      <c r="M27" s="5">
        <f>L27*I15</f>
        <v>1763145616345.9436</v>
      </c>
      <c r="N27" s="7">
        <f>63*(F15)^-0.25*EXP(0.0693*(-1.17-20))</f>
        <v>10.649444766685475</v>
      </c>
      <c r="O27" s="1">
        <f>N27*K15</f>
        <v>1339655230493.5291</v>
      </c>
    </row>
    <row r="28" spans="1:15">
      <c r="L28" s="3">
        <f>63*(F8*10^6)^-0.25*EXP(0.0693*(-1.17-20))</f>
        <v>0.66460808642317082</v>
      </c>
      <c r="M28" s="3">
        <f>L28*I8</f>
        <v>16130.791112995705</v>
      </c>
      <c r="N28" s="7">
        <f>63*(F8*10^6)^-0.25*EXP(0.0693*(-1.17-20))</f>
        <v>0.66460808642317082</v>
      </c>
      <c r="O28" s="7">
        <f>N28*K8</f>
        <v>6507.9578220335288</v>
      </c>
    </row>
    <row r="29" spans="1:15">
      <c r="L29" s="3" t="s">
        <v>40</v>
      </c>
      <c r="M29" s="5">
        <f>SUM(M26:M28)</f>
        <v>1789996129843.3643</v>
      </c>
      <c r="N29" s="7" t="s">
        <v>40</v>
      </c>
      <c r="O29" s="1">
        <f>SUM(O26:O28)</f>
        <v>1361182458908.1655</v>
      </c>
    </row>
    <row r="30" spans="1:15">
      <c r="L30" s="3" t="s">
        <v>41</v>
      </c>
      <c r="M30" s="5">
        <f>M29*30</f>
        <v>53699883895300.93</v>
      </c>
      <c r="N30" s="7" t="s">
        <v>41</v>
      </c>
      <c r="O30" s="1">
        <f>O29*30</f>
        <v>40835473767244.969</v>
      </c>
    </row>
    <row r="31" spans="1:15">
      <c r="M31" s="9">
        <f>M30*10^-12</f>
        <v>53.699883895300928</v>
      </c>
      <c r="N31" s="7" t="s">
        <v>48</v>
      </c>
      <c r="O31" s="9">
        <f>O30*10^-12</f>
        <v>40.83547376724497</v>
      </c>
    </row>
  </sheetData>
  <mergeCells count="2">
    <mergeCell ref="A19:D19"/>
    <mergeCell ref="A21:D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TAKUVIK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 Saint-Béat</dc:creator>
  <cp:lastModifiedBy>Blanche Saint-Béat</cp:lastModifiedBy>
  <dcterms:created xsi:type="dcterms:W3CDTF">2017-11-14T16:53:00Z</dcterms:created>
  <dcterms:modified xsi:type="dcterms:W3CDTF">2018-04-06T17:13:47Z</dcterms:modified>
</cp:coreProperties>
</file>