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ra\Google Drive\PostDoc-QC\Data gathering\Datasets\"/>
    </mc:Choice>
  </mc:AlternateContent>
  <xr:revisionPtr revIDLastSave="0" documentId="13_ncr:1_{7C724A76-225C-4A76-A65B-6D716C39A97A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Respiration_zoo" sheetId="1" r:id="rId1"/>
    <sheet name="Ingestion_zoo" sheetId="2" r:id="rId2"/>
    <sheet name="Prod_zoo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4" i="3" l="1"/>
  <c r="P92" i="3"/>
  <c r="T9" i="3"/>
  <c r="V7" i="2"/>
  <c r="V3" i="2"/>
  <c r="Y7" i="3"/>
  <c r="Z3" i="3"/>
  <c r="Y3" i="3"/>
  <c r="X3" i="2"/>
  <c r="O2" i="2"/>
  <c r="O92" i="2"/>
  <c r="Q2" i="1"/>
  <c r="H15" i="1"/>
  <c r="G15" i="1"/>
  <c r="H14" i="1"/>
  <c r="G14" i="1"/>
  <c r="H13" i="1"/>
  <c r="G13" i="1"/>
  <c r="H12" i="1"/>
  <c r="G12" i="1"/>
  <c r="H11" i="1"/>
  <c r="G11" i="1"/>
  <c r="H29" i="1"/>
  <c r="G29" i="1"/>
  <c r="H28" i="1"/>
  <c r="G28" i="1"/>
  <c r="H27" i="1"/>
  <c r="G27" i="1"/>
  <c r="H26" i="1"/>
  <c r="G26" i="1"/>
  <c r="H40" i="1"/>
  <c r="G40" i="1"/>
  <c r="H39" i="1"/>
  <c r="G39" i="1"/>
  <c r="H38" i="1"/>
  <c r="G38" i="1"/>
  <c r="H37" i="1"/>
  <c r="G37" i="1"/>
  <c r="H36" i="1"/>
  <c r="G36" i="1"/>
  <c r="H35" i="1"/>
  <c r="G35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F79" i="1"/>
  <c r="H79" i="1"/>
  <c r="E79" i="1"/>
  <c r="G79" i="1"/>
  <c r="F78" i="1"/>
  <c r="H78" i="1"/>
  <c r="E78" i="1"/>
  <c r="G78" i="1"/>
  <c r="F77" i="1"/>
  <c r="H77" i="1"/>
  <c r="E77" i="1"/>
  <c r="G77" i="1"/>
  <c r="F76" i="1"/>
  <c r="H76" i="1"/>
  <c r="E76" i="1"/>
  <c r="G76" i="1"/>
  <c r="F75" i="1"/>
  <c r="H75" i="1"/>
  <c r="E75" i="1"/>
  <c r="G75" i="1"/>
  <c r="H74" i="1"/>
  <c r="G74" i="1"/>
  <c r="H73" i="1"/>
  <c r="G73" i="1"/>
  <c r="F70" i="1"/>
  <c r="H70" i="1"/>
  <c r="E70" i="1"/>
  <c r="G70" i="1"/>
  <c r="F69" i="1"/>
  <c r="H69" i="1"/>
  <c r="E69" i="1"/>
  <c r="G69" i="1"/>
  <c r="F68" i="1"/>
  <c r="H68" i="1"/>
  <c r="E68" i="1"/>
  <c r="G68" i="1"/>
  <c r="H67" i="1"/>
  <c r="G67" i="1"/>
  <c r="F66" i="1"/>
  <c r="H66" i="1"/>
  <c r="E66" i="1"/>
  <c r="G66" i="1"/>
  <c r="H10" i="1"/>
  <c r="G10" i="1"/>
  <c r="G82" i="1"/>
  <c r="H82" i="1"/>
  <c r="G83" i="1"/>
  <c r="H83" i="1"/>
  <c r="G84" i="1"/>
  <c r="H84" i="1"/>
  <c r="G85" i="1"/>
  <c r="H85" i="1"/>
  <c r="G86" i="1"/>
  <c r="H86" i="1"/>
  <c r="E52" i="1"/>
  <c r="G52" i="1"/>
  <c r="F52" i="1"/>
  <c r="H52" i="1"/>
  <c r="E53" i="1"/>
  <c r="G53" i="1"/>
  <c r="H53" i="1"/>
  <c r="G54" i="1"/>
  <c r="H54" i="1"/>
  <c r="G55" i="1"/>
  <c r="H55" i="1"/>
  <c r="G32" i="1"/>
  <c r="H32" i="1"/>
  <c r="G33" i="1"/>
  <c r="H33" i="1"/>
  <c r="G18" i="1"/>
  <c r="H18" i="1"/>
  <c r="G19" i="1"/>
  <c r="H19" i="1"/>
  <c r="G20" i="1"/>
  <c r="H20" i="1"/>
  <c r="G21" i="1"/>
  <c r="H21" i="1"/>
  <c r="G22" i="1"/>
  <c r="H22" i="1"/>
  <c r="H161" i="1"/>
  <c r="G161" i="1"/>
  <c r="H89" i="1"/>
  <c r="G89" i="1"/>
  <c r="H81" i="1"/>
  <c r="G81" i="1"/>
  <c r="H65" i="1"/>
  <c r="G65" i="1"/>
  <c r="F51" i="1"/>
  <c r="H51" i="1"/>
  <c r="E51" i="1"/>
  <c r="G51" i="1"/>
  <c r="H31" i="1"/>
  <c r="G31" i="1"/>
  <c r="H17" i="1"/>
  <c r="G17" i="1"/>
  <c r="G5" i="1"/>
  <c r="H5" i="1"/>
  <c r="G6" i="1"/>
  <c r="H6" i="1"/>
  <c r="G7" i="1"/>
  <c r="H7" i="1"/>
  <c r="G8" i="1"/>
  <c r="H8" i="1"/>
  <c r="H4" i="1"/>
  <c r="G4" i="1"/>
  <c r="G186" i="1"/>
  <c r="H186" i="1"/>
  <c r="G187" i="1"/>
  <c r="H187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69" i="1"/>
  <c r="H169" i="1"/>
  <c r="E170" i="1"/>
  <c r="G170" i="1"/>
  <c r="F170" i="1"/>
  <c r="H170" i="1"/>
  <c r="E171" i="1"/>
  <c r="G171" i="1"/>
  <c r="F171" i="1"/>
  <c r="H171" i="1"/>
  <c r="E172" i="1"/>
  <c r="G172" i="1"/>
  <c r="F172" i="1"/>
  <c r="H172" i="1"/>
  <c r="E173" i="1"/>
  <c r="G173" i="1"/>
  <c r="F173" i="1"/>
  <c r="H173" i="1"/>
  <c r="E174" i="1"/>
  <c r="G174" i="1"/>
  <c r="F174" i="1"/>
  <c r="H174" i="1"/>
  <c r="G163" i="1"/>
  <c r="H163" i="1"/>
  <c r="E164" i="1"/>
  <c r="G164" i="1"/>
  <c r="F164" i="1"/>
  <c r="H164" i="1"/>
  <c r="E165" i="1"/>
  <c r="G165" i="1"/>
  <c r="F165" i="1"/>
  <c r="H165" i="1"/>
  <c r="E166" i="1"/>
  <c r="G166" i="1"/>
  <c r="F166" i="1"/>
  <c r="H166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E146" i="1"/>
  <c r="G146" i="1"/>
  <c r="F146" i="1"/>
  <c r="H146" i="1"/>
  <c r="E147" i="1"/>
  <c r="G147" i="1"/>
  <c r="F147" i="1"/>
  <c r="H147" i="1"/>
  <c r="E148" i="1"/>
  <c r="G148" i="1"/>
  <c r="F148" i="1"/>
  <c r="H148" i="1"/>
  <c r="E149" i="1"/>
  <c r="G149" i="1"/>
  <c r="H149" i="1"/>
  <c r="G150" i="1"/>
  <c r="H150" i="1"/>
  <c r="G151" i="1"/>
  <c r="H151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H130" i="1"/>
  <c r="H131" i="1"/>
  <c r="H132" i="1"/>
  <c r="H133" i="1"/>
  <c r="H134" i="1"/>
  <c r="G130" i="1"/>
  <c r="G131" i="1"/>
  <c r="G132" i="1"/>
  <c r="G133" i="1"/>
  <c r="G134" i="1"/>
  <c r="H125" i="1"/>
  <c r="H126" i="1"/>
  <c r="H127" i="1"/>
  <c r="G125" i="1"/>
  <c r="G126" i="1"/>
  <c r="G127" i="1"/>
  <c r="H120" i="1"/>
  <c r="H121" i="1"/>
  <c r="H122" i="1"/>
  <c r="G120" i="1"/>
  <c r="G121" i="1"/>
  <c r="G122" i="1"/>
  <c r="H185" i="1"/>
  <c r="H176" i="1"/>
  <c r="H168" i="1"/>
  <c r="F162" i="1"/>
  <c r="H162" i="1"/>
  <c r="H153" i="1"/>
  <c r="H145" i="1"/>
  <c r="H137" i="1"/>
  <c r="H129" i="1"/>
  <c r="H124" i="1"/>
  <c r="H119" i="1"/>
  <c r="G185" i="1"/>
  <c r="G176" i="1"/>
  <c r="G168" i="1"/>
  <c r="E162" i="1"/>
  <c r="G162" i="1"/>
  <c r="G153" i="1"/>
  <c r="G145" i="1"/>
  <c r="G137" i="1"/>
  <c r="G129" i="1"/>
  <c r="G124" i="1"/>
  <c r="G119" i="1"/>
  <c r="H110" i="1"/>
  <c r="H111" i="1"/>
  <c r="H112" i="1"/>
  <c r="H113" i="1"/>
  <c r="H114" i="1"/>
  <c r="H115" i="1"/>
  <c r="H109" i="1"/>
  <c r="G110" i="1"/>
  <c r="G111" i="1"/>
  <c r="G112" i="1"/>
  <c r="G113" i="1"/>
  <c r="G114" i="1"/>
  <c r="G115" i="1"/>
  <c r="G109" i="1"/>
  <c r="H102" i="1"/>
  <c r="H103" i="1"/>
  <c r="H104" i="1"/>
  <c r="H105" i="1"/>
  <c r="H106" i="1"/>
  <c r="H107" i="1"/>
  <c r="H101" i="1"/>
  <c r="G102" i="1"/>
  <c r="G103" i="1"/>
  <c r="G104" i="1"/>
  <c r="G105" i="1"/>
  <c r="G106" i="1"/>
  <c r="G107" i="1"/>
  <c r="G101" i="1"/>
  <c r="H95" i="1"/>
  <c r="H96" i="1"/>
  <c r="H97" i="1"/>
  <c r="H98" i="1"/>
  <c r="H99" i="1"/>
  <c r="H94" i="1"/>
  <c r="G95" i="1"/>
  <c r="G96" i="1"/>
  <c r="G97" i="1"/>
  <c r="G98" i="1"/>
  <c r="G99" i="1"/>
  <c r="G94" i="1"/>
  <c r="G184" i="1"/>
  <c r="H184" i="1"/>
  <c r="H136" i="1"/>
  <c r="G136" i="1"/>
  <c r="G118" i="1"/>
  <c r="H118" i="1"/>
  <c r="F117" i="1"/>
  <c r="H117" i="1"/>
  <c r="E117" i="1"/>
  <c r="G117" i="1"/>
  <c r="H93" i="1"/>
  <c r="H92" i="1"/>
  <c r="G93" i="1"/>
  <c r="G92" i="1"/>
  <c r="H88" i="1"/>
  <c r="G88" i="1"/>
  <c r="H42" i="1"/>
  <c r="G42" i="1"/>
  <c r="H25" i="1"/>
  <c r="G25" i="1"/>
  <c r="F24" i="1"/>
  <c r="H24" i="1"/>
  <c r="E24" i="1"/>
  <c r="G24" i="1"/>
  <c r="H3" i="1"/>
  <c r="H2" i="1"/>
  <c r="G3" i="1"/>
  <c r="G2" i="1"/>
  <c r="G4" i="3"/>
  <c r="I2" i="1"/>
  <c r="D2" i="1"/>
  <c r="J2" i="1"/>
  <c r="M2" i="1"/>
  <c r="H4" i="3"/>
  <c r="Q4" i="3"/>
  <c r="D4" i="3"/>
  <c r="J4" i="3"/>
  <c r="S4" i="3"/>
  <c r="H5" i="3"/>
  <c r="Q5" i="3"/>
  <c r="G5" i="3"/>
  <c r="D5" i="3"/>
  <c r="J5" i="3"/>
  <c r="S5" i="3"/>
  <c r="H6" i="3"/>
  <c r="Q6" i="3"/>
  <c r="G6" i="3"/>
  <c r="D6" i="3"/>
  <c r="J6" i="3"/>
  <c r="S6" i="3"/>
  <c r="H7" i="3"/>
  <c r="Q7" i="3"/>
  <c r="G7" i="3"/>
  <c r="D7" i="3"/>
  <c r="J7" i="3"/>
  <c r="S7" i="3"/>
  <c r="H8" i="3"/>
  <c r="Q8" i="3"/>
  <c r="G8" i="3"/>
  <c r="D8" i="3"/>
  <c r="J8" i="3"/>
  <c r="S8" i="3"/>
  <c r="U9" i="3"/>
  <c r="H10" i="3"/>
  <c r="Q10" i="3"/>
  <c r="G10" i="3"/>
  <c r="D10" i="3"/>
  <c r="J10" i="3"/>
  <c r="S10" i="3"/>
  <c r="H11" i="3"/>
  <c r="Q11" i="3"/>
  <c r="G11" i="3"/>
  <c r="D11" i="3"/>
  <c r="J11" i="3"/>
  <c r="S11" i="3"/>
  <c r="H12" i="3"/>
  <c r="Q12" i="3"/>
  <c r="G12" i="3"/>
  <c r="D12" i="3"/>
  <c r="J12" i="3"/>
  <c r="S12" i="3"/>
  <c r="H13" i="3"/>
  <c r="Q13" i="3"/>
  <c r="G13" i="3"/>
  <c r="D13" i="3"/>
  <c r="J13" i="3"/>
  <c r="S13" i="3"/>
  <c r="H14" i="3"/>
  <c r="Q14" i="3"/>
  <c r="G14" i="3"/>
  <c r="J14" i="3"/>
  <c r="S14" i="3"/>
  <c r="H15" i="3"/>
  <c r="Q15" i="3"/>
  <c r="G15" i="3"/>
  <c r="J15" i="3"/>
  <c r="S15" i="3"/>
  <c r="U16" i="3"/>
  <c r="H17" i="3"/>
  <c r="Q17" i="3"/>
  <c r="G17" i="3"/>
  <c r="D17" i="3"/>
  <c r="J17" i="3"/>
  <c r="S17" i="3"/>
  <c r="H18" i="3"/>
  <c r="Q18" i="3"/>
  <c r="G18" i="3"/>
  <c r="D18" i="3"/>
  <c r="J18" i="3"/>
  <c r="S18" i="3"/>
  <c r="H19" i="3"/>
  <c r="Q19" i="3"/>
  <c r="G19" i="3"/>
  <c r="D19" i="3"/>
  <c r="J19" i="3"/>
  <c r="S19" i="3"/>
  <c r="H20" i="3"/>
  <c r="Q20" i="3"/>
  <c r="G20" i="3"/>
  <c r="D20" i="3"/>
  <c r="J20" i="3"/>
  <c r="S20" i="3"/>
  <c r="H21" i="3"/>
  <c r="Q21" i="3"/>
  <c r="G21" i="3"/>
  <c r="D21" i="3"/>
  <c r="J21" i="3"/>
  <c r="S21" i="3"/>
  <c r="H22" i="3"/>
  <c r="Q22" i="3"/>
  <c r="G22" i="3"/>
  <c r="D22" i="3"/>
  <c r="J22" i="3"/>
  <c r="S22" i="3"/>
  <c r="U23" i="3"/>
  <c r="Y23" i="3"/>
  <c r="P18" i="3"/>
  <c r="P19" i="3"/>
  <c r="P20" i="3"/>
  <c r="P21" i="3"/>
  <c r="P17" i="3"/>
  <c r="P11" i="3"/>
  <c r="P12" i="3"/>
  <c r="P13" i="3"/>
  <c r="P14" i="3"/>
  <c r="P10" i="3"/>
  <c r="P5" i="3"/>
  <c r="P6" i="3"/>
  <c r="P4" i="3"/>
  <c r="H94" i="3"/>
  <c r="Q94" i="3"/>
  <c r="H95" i="3"/>
  <c r="Q95" i="3"/>
  <c r="H96" i="3"/>
  <c r="Q96" i="3"/>
  <c r="H97" i="3"/>
  <c r="Q97" i="3"/>
  <c r="G95" i="3"/>
  <c r="P95" i="3"/>
  <c r="G96" i="3"/>
  <c r="P96" i="3"/>
  <c r="G97" i="3"/>
  <c r="P97" i="3"/>
  <c r="G94" i="3"/>
  <c r="X14" i="3"/>
  <c r="G182" i="3"/>
  <c r="P182" i="3"/>
  <c r="H182" i="3"/>
  <c r="Q182" i="3"/>
  <c r="H181" i="3"/>
  <c r="Q181" i="3"/>
  <c r="G181" i="3"/>
  <c r="P181" i="3"/>
  <c r="H121" i="3"/>
  <c r="Q121" i="3"/>
  <c r="H122" i="3"/>
  <c r="Q122" i="3"/>
  <c r="G122" i="3"/>
  <c r="P122" i="3"/>
  <c r="G121" i="3"/>
  <c r="P121" i="3"/>
  <c r="G114" i="3"/>
  <c r="P114" i="3"/>
  <c r="H177" i="2"/>
  <c r="G177" i="2"/>
  <c r="D177" i="2"/>
  <c r="J177" i="2"/>
  <c r="P177" i="2"/>
  <c r="H178" i="2"/>
  <c r="G178" i="2"/>
  <c r="D178" i="2"/>
  <c r="J178" i="2"/>
  <c r="P178" i="2"/>
  <c r="H179" i="2"/>
  <c r="G179" i="2"/>
  <c r="D179" i="2"/>
  <c r="J179" i="2"/>
  <c r="P179" i="2"/>
  <c r="H180" i="2"/>
  <c r="G180" i="2"/>
  <c r="D180" i="2"/>
  <c r="J180" i="2"/>
  <c r="P180" i="2"/>
  <c r="H181" i="2"/>
  <c r="G181" i="2"/>
  <c r="D181" i="2"/>
  <c r="J181" i="2"/>
  <c r="P181" i="2"/>
  <c r="H182" i="2"/>
  <c r="G182" i="2"/>
  <c r="D182" i="2"/>
  <c r="J182" i="2"/>
  <c r="P182" i="2"/>
  <c r="K177" i="2"/>
  <c r="O177" i="2"/>
  <c r="K178" i="2"/>
  <c r="O178" i="2"/>
  <c r="K179" i="2"/>
  <c r="O179" i="2"/>
  <c r="K180" i="2"/>
  <c r="O180" i="2"/>
  <c r="K181" i="2"/>
  <c r="O181" i="2"/>
  <c r="K182" i="2"/>
  <c r="O182" i="2"/>
  <c r="H177" i="3"/>
  <c r="Q177" i="3"/>
  <c r="H178" i="3"/>
  <c r="Q178" i="3"/>
  <c r="H179" i="3"/>
  <c r="Q179" i="3"/>
  <c r="H180" i="3"/>
  <c r="Q180" i="3"/>
  <c r="H176" i="3"/>
  <c r="Q176" i="3"/>
  <c r="H119" i="3"/>
  <c r="Q119" i="3"/>
  <c r="H120" i="3"/>
  <c r="Q120" i="3"/>
  <c r="G120" i="3"/>
  <c r="P120" i="3"/>
  <c r="G119" i="3"/>
  <c r="P119" i="3"/>
  <c r="H168" i="2"/>
  <c r="D168" i="2"/>
  <c r="K168" i="2"/>
  <c r="H169" i="2"/>
  <c r="D169" i="2"/>
  <c r="K169" i="2"/>
  <c r="F170" i="2"/>
  <c r="H170" i="2"/>
  <c r="D170" i="2"/>
  <c r="K170" i="2"/>
  <c r="F171" i="2"/>
  <c r="H171" i="2"/>
  <c r="D171" i="2"/>
  <c r="K171" i="2"/>
  <c r="F172" i="2"/>
  <c r="H172" i="2"/>
  <c r="D172" i="2"/>
  <c r="K172" i="2"/>
  <c r="F173" i="2"/>
  <c r="H173" i="2"/>
  <c r="D173" i="2"/>
  <c r="K173" i="2"/>
  <c r="F174" i="2"/>
  <c r="H174" i="2"/>
  <c r="D174" i="2"/>
  <c r="K174" i="2"/>
  <c r="G169" i="2"/>
  <c r="J169" i="2"/>
  <c r="E170" i="2"/>
  <c r="G170" i="2"/>
  <c r="J170" i="2"/>
  <c r="E171" i="2"/>
  <c r="G171" i="2"/>
  <c r="J171" i="2"/>
  <c r="E172" i="2"/>
  <c r="G172" i="2"/>
  <c r="J172" i="2"/>
  <c r="E173" i="2"/>
  <c r="G173" i="2"/>
  <c r="J173" i="2"/>
  <c r="E174" i="2"/>
  <c r="G174" i="2"/>
  <c r="J174" i="2"/>
  <c r="G168" i="2"/>
  <c r="J168" i="2"/>
  <c r="H176" i="2"/>
  <c r="G176" i="2"/>
  <c r="D176" i="2"/>
  <c r="J176" i="2"/>
  <c r="P176" i="2"/>
  <c r="R183" i="2"/>
  <c r="K176" i="2"/>
  <c r="O176" i="2"/>
  <c r="Q183" i="2"/>
  <c r="P169" i="2"/>
  <c r="P170" i="2"/>
  <c r="P171" i="2"/>
  <c r="P172" i="2"/>
  <c r="P173" i="2"/>
  <c r="P174" i="2"/>
  <c r="P168" i="2"/>
  <c r="R175" i="2"/>
  <c r="O168" i="2"/>
  <c r="O169" i="2"/>
  <c r="O170" i="2"/>
  <c r="O171" i="2"/>
  <c r="O172" i="2"/>
  <c r="O173" i="2"/>
  <c r="O174" i="2"/>
  <c r="Q175" i="2"/>
  <c r="H119" i="2"/>
  <c r="G119" i="2"/>
  <c r="D119" i="2"/>
  <c r="J119" i="2"/>
  <c r="P119" i="2"/>
  <c r="H120" i="2"/>
  <c r="G120" i="2"/>
  <c r="D120" i="2"/>
  <c r="J120" i="2"/>
  <c r="P120" i="2"/>
  <c r="H121" i="2"/>
  <c r="G121" i="2"/>
  <c r="D121" i="2"/>
  <c r="J121" i="2"/>
  <c r="P121" i="2"/>
  <c r="H122" i="2"/>
  <c r="G122" i="2"/>
  <c r="D122" i="2"/>
  <c r="J122" i="2"/>
  <c r="P122" i="2"/>
  <c r="R123" i="2"/>
  <c r="K119" i="2"/>
  <c r="O119" i="2"/>
  <c r="K120" i="2"/>
  <c r="O120" i="2"/>
  <c r="K121" i="2"/>
  <c r="O121" i="2"/>
  <c r="K122" i="2"/>
  <c r="O122" i="2"/>
  <c r="Q123" i="2"/>
  <c r="H168" i="3"/>
  <c r="Q168" i="3"/>
  <c r="G168" i="3"/>
  <c r="D168" i="3"/>
  <c r="J168" i="3"/>
  <c r="S168" i="3"/>
  <c r="H169" i="3"/>
  <c r="Q169" i="3"/>
  <c r="G169" i="3"/>
  <c r="D169" i="3"/>
  <c r="J169" i="3"/>
  <c r="S169" i="3"/>
  <c r="F170" i="3"/>
  <c r="H170" i="3"/>
  <c r="Q170" i="3"/>
  <c r="E170" i="3"/>
  <c r="G170" i="3"/>
  <c r="D170" i="3"/>
  <c r="J170" i="3"/>
  <c r="S170" i="3"/>
  <c r="F171" i="3"/>
  <c r="H171" i="3"/>
  <c r="Q171" i="3"/>
  <c r="E171" i="3"/>
  <c r="G171" i="3"/>
  <c r="D171" i="3"/>
  <c r="J171" i="3"/>
  <c r="S171" i="3"/>
  <c r="F172" i="3"/>
  <c r="H172" i="3"/>
  <c r="Q172" i="3"/>
  <c r="E172" i="3"/>
  <c r="G172" i="3"/>
  <c r="D172" i="3"/>
  <c r="J172" i="3"/>
  <c r="S172" i="3"/>
  <c r="F173" i="3"/>
  <c r="H173" i="3"/>
  <c r="Q173" i="3"/>
  <c r="E173" i="3"/>
  <c r="G173" i="3"/>
  <c r="D173" i="3"/>
  <c r="J173" i="3"/>
  <c r="S173" i="3"/>
  <c r="F174" i="3"/>
  <c r="H174" i="3"/>
  <c r="Q174" i="3"/>
  <c r="E174" i="3"/>
  <c r="G174" i="3"/>
  <c r="D174" i="3"/>
  <c r="J174" i="3"/>
  <c r="S174" i="3"/>
  <c r="U175" i="3"/>
  <c r="P168" i="3"/>
  <c r="K168" i="3"/>
  <c r="R168" i="3"/>
  <c r="P169" i="3"/>
  <c r="K169" i="3"/>
  <c r="R169" i="3"/>
  <c r="P170" i="3"/>
  <c r="K170" i="3"/>
  <c r="R170" i="3"/>
  <c r="P171" i="3"/>
  <c r="K171" i="3"/>
  <c r="R171" i="3"/>
  <c r="P172" i="3"/>
  <c r="K172" i="3"/>
  <c r="R172" i="3"/>
  <c r="P173" i="3"/>
  <c r="K173" i="3"/>
  <c r="R173" i="3"/>
  <c r="P174" i="3"/>
  <c r="K174" i="3"/>
  <c r="R174" i="3"/>
  <c r="T175" i="3"/>
  <c r="G176" i="3"/>
  <c r="D176" i="3"/>
  <c r="J176" i="3"/>
  <c r="S176" i="3"/>
  <c r="G177" i="3"/>
  <c r="D177" i="3"/>
  <c r="J177" i="3"/>
  <c r="S177" i="3"/>
  <c r="G178" i="3"/>
  <c r="D178" i="3"/>
  <c r="J178" i="3"/>
  <c r="S178" i="3"/>
  <c r="G179" i="3"/>
  <c r="D179" i="3"/>
  <c r="J179" i="3"/>
  <c r="S179" i="3"/>
  <c r="G180" i="3"/>
  <c r="D180" i="3"/>
  <c r="J180" i="3"/>
  <c r="S180" i="3"/>
  <c r="D181" i="3"/>
  <c r="J181" i="3"/>
  <c r="S181" i="3"/>
  <c r="D182" i="3"/>
  <c r="J182" i="3"/>
  <c r="S182" i="3"/>
  <c r="U183" i="3"/>
  <c r="K181" i="3"/>
  <c r="R181" i="3"/>
  <c r="K182" i="3"/>
  <c r="R182" i="3"/>
  <c r="P176" i="3"/>
  <c r="K176" i="3"/>
  <c r="R176" i="3"/>
  <c r="P177" i="3"/>
  <c r="K177" i="3"/>
  <c r="R177" i="3"/>
  <c r="P178" i="3"/>
  <c r="K178" i="3"/>
  <c r="R178" i="3"/>
  <c r="P179" i="3"/>
  <c r="K179" i="3"/>
  <c r="R179" i="3"/>
  <c r="P180" i="3"/>
  <c r="K180" i="3"/>
  <c r="R180" i="3"/>
  <c r="T183" i="3"/>
  <c r="Y123" i="3"/>
  <c r="Z123" i="3"/>
  <c r="D119" i="3"/>
  <c r="K119" i="3"/>
  <c r="R119" i="3"/>
  <c r="H26" i="3"/>
  <c r="Q26" i="3"/>
  <c r="J119" i="3"/>
  <c r="S119" i="3"/>
  <c r="D120" i="3"/>
  <c r="J120" i="3"/>
  <c r="S120" i="3"/>
  <c r="D121" i="3"/>
  <c r="J121" i="3"/>
  <c r="S121" i="3"/>
  <c r="D122" i="3"/>
  <c r="J122" i="3"/>
  <c r="S122" i="3"/>
  <c r="U123" i="3"/>
  <c r="G26" i="3"/>
  <c r="D26" i="3"/>
  <c r="J26" i="3"/>
  <c r="S26" i="3"/>
  <c r="H27" i="3"/>
  <c r="Q27" i="3"/>
  <c r="G27" i="3"/>
  <c r="D27" i="3"/>
  <c r="J27" i="3"/>
  <c r="S27" i="3"/>
  <c r="H28" i="3"/>
  <c r="Q28" i="3"/>
  <c r="G28" i="3"/>
  <c r="D28" i="3"/>
  <c r="J28" i="3"/>
  <c r="S28" i="3"/>
  <c r="H29" i="3"/>
  <c r="Q29" i="3"/>
  <c r="G29" i="3"/>
  <c r="D29" i="3"/>
  <c r="J29" i="3"/>
  <c r="S29" i="3"/>
  <c r="U30" i="3"/>
  <c r="U176" i="2"/>
  <c r="U177" i="2"/>
  <c r="U175" i="2"/>
  <c r="K120" i="3"/>
  <c r="R120" i="3"/>
  <c r="K121" i="3"/>
  <c r="R121" i="3"/>
  <c r="K122" i="3"/>
  <c r="R122" i="3"/>
  <c r="T123" i="3"/>
  <c r="H2" i="2"/>
  <c r="G2" i="2"/>
  <c r="D2" i="2"/>
  <c r="J2" i="2"/>
  <c r="P2" i="2"/>
  <c r="R2" i="2"/>
  <c r="H25" i="2"/>
  <c r="G25" i="2"/>
  <c r="D25" i="2"/>
  <c r="J25" i="2"/>
  <c r="P25" i="2"/>
  <c r="R25" i="2"/>
  <c r="H26" i="2"/>
  <c r="G26" i="2"/>
  <c r="D26" i="2"/>
  <c r="J26" i="2"/>
  <c r="P26" i="2"/>
  <c r="H27" i="2"/>
  <c r="G27" i="2"/>
  <c r="D27" i="2"/>
  <c r="J27" i="2"/>
  <c r="P27" i="2"/>
  <c r="H28" i="2"/>
  <c r="G28" i="2"/>
  <c r="D28" i="2"/>
  <c r="J28" i="2"/>
  <c r="P28" i="2"/>
  <c r="H29" i="2"/>
  <c r="G29" i="2"/>
  <c r="D29" i="2"/>
  <c r="J29" i="2"/>
  <c r="P29" i="2"/>
  <c r="R30" i="2"/>
  <c r="H31" i="2"/>
  <c r="G31" i="2"/>
  <c r="D31" i="2"/>
  <c r="J31" i="2"/>
  <c r="P31" i="2"/>
  <c r="H32" i="2"/>
  <c r="G32" i="2"/>
  <c r="D32" i="2"/>
  <c r="J32" i="2"/>
  <c r="P32" i="2"/>
  <c r="H33" i="2"/>
  <c r="G33" i="2"/>
  <c r="D33" i="2"/>
  <c r="J33" i="2"/>
  <c r="P33" i="2"/>
  <c r="R34" i="2"/>
  <c r="F68" i="2"/>
  <c r="H68" i="2"/>
  <c r="E68" i="2"/>
  <c r="G68" i="2"/>
  <c r="D68" i="2"/>
  <c r="J68" i="2"/>
  <c r="P68" i="2"/>
  <c r="F69" i="2"/>
  <c r="H69" i="2"/>
  <c r="E69" i="2"/>
  <c r="G69" i="2"/>
  <c r="D69" i="2"/>
  <c r="J69" i="2"/>
  <c r="P69" i="2"/>
  <c r="F70" i="2"/>
  <c r="H70" i="2"/>
  <c r="E70" i="2"/>
  <c r="G70" i="2"/>
  <c r="D70" i="2"/>
  <c r="J70" i="2"/>
  <c r="P70" i="2"/>
  <c r="R71" i="2"/>
  <c r="W3" i="2"/>
  <c r="H92" i="2"/>
  <c r="G92" i="2"/>
  <c r="D92" i="2"/>
  <c r="J92" i="2"/>
  <c r="P92" i="2"/>
  <c r="R92" i="2"/>
  <c r="H118" i="2"/>
  <c r="G118" i="2"/>
  <c r="D118" i="2"/>
  <c r="J118" i="2"/>
  <c r="P118" i="2"/>
  <c r="R118" i="2"/>
  <c r="H124" i="2"/>
  <c r="G124" i="2"/>
  <c r="J124" i="2"/>
  <c r="P124" i="2"/>
  <c r="H125" i="2"/>
  <c r="G125" i="2"/>
  <c r="J125" i="2"/>
  <c r="P125" i="2"/>
  <c r="H126" i="2"/>
  <c r="G126" i="2"/>
  <c r="J126" i="2"/>
  <c r="P126" i="2"/>
  <c r="H127" i="2"/>
  <c r="G127" i="2"/>
  <c r="J127" i="2"/>
  <c r="P127" i="2"/>
  <c r="R128" i="2"/>
  <c r="F162" i="2"/>
  <c r="H162" i="2"/>
  <c r="E162" i="2"/>
  <c r="G162" i="2"/>
  <c r="D162" i="2"/>
  <c r="J162" i="2"/>
  <c r="P162" i="2"/>
  <c r="H163" i="2"/>
  <c r="G163" i="2"/>
  <c r="D163" i="2"/>
  <c r="J163" i="2"/>
  <c r="P163" i="2"/>
  <c r="F164" i="2"/>
  <c r="H164" i="2"/>
  <c r="E164" i="2"/>
  <c r="G164" i="2"/>
  <c r="D164" i="2"/>
  <c r="J164" i="2"/>
  <c r="P164" i="2"/>
  <c r="F165" i="2"/>
  <c r="H165" i="2"/>
  <c r="E165" i="2"/>
  <c r="G165" i="2"/>
  <c r="D165" i="2"/>
  <c r="J165" i="2"/>
  <c r="P165" i="2"/>
  <c r="F166" i="2"/>
  <c r="H166" i="2"/>
  <c r="E166" i="2"/>
  <c r="G166" i="2"/>
  <c r="D166" i="2"/>
  <c r="J166" i="2"/>
  <c r="P166" i="2"/>
  <c r="R167" i="2"/>
  <c r="H184" i="2"/>
  <c r="G184" i="2"/>
  <c r="D184" i="2"/>
  <c r="J184" i="2"/>
  <c r="P184" i="2"/>
  <c r="R184" i="2"/>
  <c r="W7" i="2"/>
  <c r="J42" i="1"/>
  <c r="M42" i="1"/>
  <c r="I42" i="1"/>
  <c r="Q42" i="1"/>
  <c r="S42" i="1"/>
  <c r="I3" i="1"/>
  <c r="J3" i="1"/>
  <c r="M3" i="1"/>
  <c r="Q3" i="1"/>
  <c r="S3" i="1"/>
  <c r="I24" i="1"/>
  <c r="J24" i="1"/>
  <c r="D24" i="1"/>
  <c r="M24" i="1"/>
  <c r="Q24" i="1"/>
  <c r="S24" i="1"/>
  <c r="I35" i="1"/>
  <c r="J35" i="1"/>
  <c r="D35" i="1"/>
  <c r="M35" i="1"/>
  <c r="Q35" i="1"/>
  <c r="I36" i="1"/>
  <c r="J36" i="1"/>
  <c r="D36" i="1"/>
  <c r="M36" i="1"/>
  <c r="Q36" i="1"/>
  <c r="I37" i="1"/>
  <c r="J37" i="1"/>
  <c r="D37" i="1"/>
  <c r="M37" i="1"/>
  <c r="Q37" i="1"/>
  <c r="I38" i="1"/>
  <c r="J38" i="1"/>
  <c r="D38" i="1"/>
  <c r="M38" i="1"/>
  <c r="Q38" i="1"/>
  <c r="I39" i="1"/>
  <c r="J39" i="1"/>
  <c r="D39" i="1"/>
  <c r="M39" i="1"/>
  <c r="Q39" i="1"/>
  <c r="I40" i="1"/>
  <c r="J40" i="1"/>
  <c r="D40" i="1"/>
  <c r="M40" i="1"/>
  <c r="Q40" i="1"/>
  <c r="S41" i="1"/>
  <c r="I43" i="1"/>
  <c r="J43" i="1"/>
  <c r="D43" i="1"/>
  <c r="M43" i="1"/>
  <c r="Q43" i="1"/>
  <c r="I44" i="1"/>
  <c r="J44" i="1"/>
  <c r="D44" i="1"/>
  <c r="M44" i="1"/>
  <c r="Q44" i="1"/>
  <c r="I45" i="1"/>
  <c r="J45" i="1"/>
  <c r="D45" i="1"/>
  <c r="M45" i="1"/>
  <c r="Q45" i="1"/>
  <c r="I46" i="1"/>
  <c r="J46" i="1"/>
  <c r="D46" i="1"/>
  <c r="M46" i="1"/>
  <c r="Q46" i="1"/>
  <c r="I47" i="1"/>
  <c r="J47" i="1"/>
  <c r="D47" i="1"/>
  <c r="M47" i="1"/>
  <c r="Q47" i="1"/>
  <c r="I48" i="1"/>
  <c r="J48" i="1"/>
  <c r="D48" i="1"/>
  <c r="M48" i="1"/>
  <c r="Q48" i="1"/>
  <c r="I49" i="1"/>
  <c r="J49" i="1"/>
  <c r="D49" i="1"/>
  <c r="M49" i="1"/>
  <c r="Q49" i="1"/>
  <c r="S50" i="1"/>
  <c r="I51" i="1"/>
  <c r="J51" i="1"/>
  <c r="D51" i="1"/>
  <c r="M51" i="1"/>
  <c r="Q51" i="1"/>
  <c r="I52" i="1"/>
  <c r="J52" i="1"/>
  <c r="D52" i="1"/>
  <c r="M52" i="1"/>
  <c r="Q52" i="1"/>
  <c r="I53" i="1"/>
  <c r="J53" i="1"/>
  <c r="D53" i="1"/>
  <c r="M53" i="1"/>
  <c r="Q53" i="1"/>
  <c r="I54" i="1"/>
  <c r="J54" i="1"/>
  <c r="D54" i="1"/>
  <c r="M54" i="1"/>
  <c r="Q54" i="1"/>
  <c r="I55" i="1"/>
  <c r="J55" i="1"/>
  <c r="D55" i="1"/>
  <c r="M55" i="1"/>
  <c r="Q55" i="1"/>
  <c r="S56" i="1"/>
  <c r="I57" i="1"/>
  <c r="J57" i="1"/>
  <c r="D57" i="1"/>
  <c r="M57" i="1"/>
  <c r="Q57" i="1"/>
  <c r="I58" i="1"/>
  <c r="J58" i="1"/>
  <c r="D58" i="1"/>
  <c r="M58" i="1"/>
  <c r="Q58" i="1"/>
  <c r="I59" i="1"/>
  <c r="J59" i="1"/>
  <c r="D59" i="1"/>
  <c r="M59" i="1"/>
  <c r="Q59" i="1"/>
  <c r="I60" i="1"/>
  <c r="J60" i="1"/>
  <c r="M60" i="1"/>
  <c r="Q60" i="1"/>
  <c r="I61" i="1"/>
  <c r="J61" i="1"/>
  <c r="D61" i="1"/>
  <c r="M61" i="1"/>
  <c r="Q61" i="1"/>
  <c r="I62" i="1"/>
  <c r="J62" i="1"/>
  <c r="D62" i="1"/>
  <c r="M62" i="1"/>
  <c r="Q62" i="1"/>
  <c r="I63" i="1"/>
  <c r="J63" i="1"/>
  <c r="D63" i="1"/>
  <c r="M63" i="1"/>
  <c r="Q63" i="1"/>
  <c r="S64" i="1"/>
  <c r="I72" i="1"/>
  <c r="Q72" i="1"/>
  <c r="S72" i="1"/>
  <c r="I73" i="1"/>
  <c r="J73" i="1"/>
  <c r="D73" i="1"/>
  <c r="M73" i="1"/>
  <c r="Q73" i="1"/>
  <c r="I74" i="1"/>
  <c r="J74" i="1"/>
  <c r="D74" i="1"/>
  <c r="M74" i="1"/>
  <c r="Q74" i="1"/>
  <c r="I75" i="1"/>
  <c r="J75" i="1"/>
  <c r="M75" i="1"/>
  <c r="Q75" i="1"/>
  <c r="I76" i="1"/>
  <c r="J76" i="1"/>
  <c r="D76" i="1"/>
  <c r="M76" i="1"/>
  <c r="Q76" i="1"/>
  <c r="I77" i="1"/>
  <c r="J77" i="1"/>
  <c r="D77" i="1"/>
  <c r="M77" i="1"/>
  <c r="Q77" i="1"/>
  <c r="I78" i="1"/>
  <c r="J78" i="1"/>
  <c r="D78" i="1"/>
  <c r="M78" i="1"/>
  <c r="Q78" i="1"/>
  <c r="I79" i="1"/>
  <c r="J79" i="1"/>
  <c r="M79" i="1"/>
  <c r="Q79" i="1"/>
  <c r="S80" i="1"/>
  <c r="I81" i="1"/>
  <c r="J81" i="1"/>
  <c r="M81" i="1"/>
  <c r="Q81" i="1"/>
  <c r="I82" i="1"/>
  <c r="J82" i="1"/>
  <c r="M82" i="1"/>
  <c r="Q82" i="1"/>
  <c r="I83" i="1"/>
  <c r="J83" i="1"/>
  <c r="M83" i="1"/>
  <c r="Q83" i="1"/>
  <c r="I84" i="1"/>
  <c r="J84" i="1"/>
  <c r="M84" i="1"/>
  <c r="Q84" i="1"/>
  <c r="I85" i="1"/>
  <c r="J85" i="1"/>
  <c r="D85" i="1"/>
  <c r="M85" i="1"/>
  <c r="Q85" i="1"/>
  <c r="I86" i="1"/>
  <c r="J86" i="1"/>
  <c r="M86" i="1"/>
  <c r="Q86" i="1"/>
  <c r="S87" i="1"/>
  <c r="I89" i="1"/>
  <c r="J89" i="1"/>
  <c r="D89" i="1"/>
  <c r="M89" i="1"/>
  <c r="Q89" i="1"/>
  <c r="I90" i="1"/>
  <c r="J90" i="1"/>
  <c r="D90" i="1"/>
  <c r="M90" i="1"/>
  <c r="Q90" i="1"/>
  <c r="S91" i="1"/>
  <c r="X5" i="1"/>
  <c r="J136" i="1"/>
  <c r="I136" i="1"/>
  <c r="L136" i="1"/>
  <c r="R136" i="1"/>
  <c r="T136" i="1"/>
  <c r="J93" i="1"/>
  <c r="I93" i="1"/>
  <c r="D93" i="1"/>
  <c r="L93" i="1"/>
  <c r="R93" i="1"/>
  <c r="T93" i="1"/>
  <c r="J117" i="1"/>
  <c r="I117" i="1"/>
  <c r="D117" i="1"/>
  <c r="L117" i="1"/>
  <c r="R117" i="1"/>
  <c r="T117" i="1"/>
  <c r="J129" i="1"/>
  <c r="I129" i="1"/>
  <c r="D129" i="1"/>
  <c r="L129" i="1"/>
  <c r="R129" i="1"/>
  <c r="J130" i="1"/>
  <c r="I130" i="1"/>
  <c r="D130" i="1"/>
  <c r="L130" i="1"/>
  <c r="R130" i="1"/>
  <c r="J131" i="1"/>
  <c r="I131" i="1"/>
  <c r="D131" i="1"/>
  <c r="L131" i="1"/>
  <c r="R131" i="1"/>
  <c r="J132" i="1"/>
  <c r="I132" i="1"/>
  <c r="L132" i="1"/>
  <c r="R132" i="1"/>
  <c r="J133" i="1"/>
  <c r="I133" i="1"/>
  <c r="L133" i="1"/>
  <c r="R133" i="1"/>
  <c r="J134" i="1"/>
  <c r="I134" i="1"/>
  <c r="D134" i="1"/>
  <c r="L134" i="1"/>
  <c r="R134" i="1"/>
  <c r="T135" i="1"/>
  <c r="J137" i="1"/>
  <c r="I137" i="1"/>
  <c r="D137" i="1"/>
  <c r="L137" i="1"/>
  <c r="R137" i="1"/>
  <c r="J138" i="1"/>
  <c r="I138" i="1"/>
  <c r="D138" i="1"/>
  <c r="L138" i="1"/>
  <c r="R138" i="1"/>
  <c r="J139" i="1"/>
  <c r="I139" i="1"/>
  <c r="D139" i="1"/>
  <c r="L139" i="1"/>
  <c r="R139" i="1"/>
  <c r="J140" i="1"/>
  <c r="I140" i="1"/>
  <c r="D140" i="1"/>
  <c r="L140" i="1"/>
  <c r="R140" i="1"/>
  <c r="J141" i="1"/>
  <c r="I141" i="1"/>
  <c r="D141" i="1"/>
  <c r="L141" i="1"/>
  <c r="R141" i="1"/>
  <c r="J142" i="1"/>
  <c r="I142" i="1"/>
  <c r="D142" i="1"/>
  <c r="L142" i="1"/>
  <c r="R142" i="1"/>
  <c r="J143" i="1"/>
  <c r="I143" i="1"/>
  <c r="D143" i="1"/>
  <c r="L143" i="1"/>
  <c r="R143" i="1"/>
  <c r="T144" i="1"/>
  <c r="J145" i="1"/>
  <c r="I145" i="1"/>
  <c r="D145" i="1"/>
  <c r="L145" i="1"/>
  <c r="R145" i="1"/>
  <c r="J146" i="1"/>
  <c r="I146" i="1"/>
  <c r="D146" i="1"/>
  <c r="L146" i="1"/>
  <c r="R146" i="1"/>
  <c r="J147" i="1"/>
  <c r="I147" i="1"/>
  <c r="D147" i="1"/>
  <c r="L147" i="1"/>
  <c r="R147" i="1"/>
  <c r="J148" i="1"/>
  <c r="I148" i="1"/>
  <c r="D148" i="1"/>
  <c r="L148" i="1"/>
  <c r="R148" i="1"/>
  <c r="J149" i="1"/>
  <c r="I149" i="1"/>
  <c r="D149" i="1"/>
  <c r="L149" i="1"/>
  <c r="R149" i="1"/>
  <c r="J150" i="1"/>
  <c r="I150" i="1"/>
  <c r="D150" i="1"/>
  <c r="L150" i="1"/>
  <c r="R150" i="1"/>
  <c r="J151" i="1"/>
  <c r="I151" i="1"/>
  <c r="D151" i="1"/>
  <c r="L151" i="1"/>
  <c r="R151" i="1"/>
  <c r="T152" i="1"/>
  <c r="J153" i="1"/>
  <c r="I153" i="1"/>
  <c r="D153" i="1"/>
  <c r="L153" i="1"/>
  <c r="R153" i="1"/>
  <c r="J154" i="1"/>
  <c r="I154" i="1"/>
  <c r="D154" i="1"/>
  <c r="L154" i="1"/>
  <c r="R154" i="1"/>
  <c r="J155" i="1"/>
  <c r="I155" i="1"/>
  <c r="D155" i="1"/>
  <c r="L155" i="1"/>
  <c r="R155" i="1"/>
  <c r="J156" i="1"/>
  <c r="I156" i="1"/>
  <c r="D156" i="1"/>
  <c r="L156" i="1"/>
  <c r="R156" i="1"/>
  <c r="J157" i="1"/>
  <c r="I157" i="1"/>
  <c r="D157" i="1"/>
  <c r="L157" i="1"/>
  <c r="R157" i="1"/>
  <c r="J158" i="1"/>
  <c r="I158" i="1"/>
  <c r="D158" i="1"/>
  <c r="L158" i="1"/>
  <c r="R158" i="1"/>
  <c r="J159" i="1"/>
  <c r="I159" i="1"/>
  <c r="D159" i="1"/>
  <c r="L159" i="1"/>
  <c r="R159" i="1"/>
  <c r="T160" i="1"/>
  <c r="J161" i="1"/>
  <c r="I161" i="1"/>
  <c r="D161" i="1"/>
  <c r="L161" i="1"/>
  <c r="R161" i="1"/>
  <c r="T161" i="1"/>
  <c r="J168" i="1"/>
  <c r="I168" i="1"/>
  <c r="D168" i="1"/>
  <c r="L168" i="1"/>
  <c r="R168" i="1"/>
  <c r="J169" i="1"/>
  <c r="I169" i="1"/>
  <c r="D169" i="1"/>
  <c r="L169" i="1"/>
  <c r="R169" i="1"/>
  <c r="J170" i="1"/>
  <c r="I170" i="1"/>
  <c r="D170" i="1"/>
  <c r="L170" i="1"/>
  <c r="R170" i="1"/>
  <c r="J171" i="1"/>
  <c r="I171" i="1"/>
  <c r="D171" i="1"/>
  <c r="L171" i="1"/>
  <c r="R171" i="1"/>
  <c r="J172" i="1"/>
  <c r="I172" i="1"/>
  <c r="D172" i="1"/>
  <c r="L172" i="1"/>
  <c r="R172" i="1"/>
  <c r="J173" i="1"/>
  <c r="I173" i="1"/>
  <c r="D173" i="1"/>
  <c r="L173" i="1"/>
  <c r="R173" i="1"/>
  <c r="J174" i="1"/>
  <c r="I174" i="1"/>
  <c r="D174" i="1"/>
  <c r="L174" i="1"/>
  <c r="R174" i="1"/>
  <c r="T175" i="1"/>
  <c r="J176" i="1"/>
  <c r="I176" i="1"/>
  <c r="D176" i="1"/>
  <c r="L176" i="1"/>
  <c r="R176" i="1"/>
  <c r="J177" i="1"/>
  <c r="I177" i="1"/>
  <c r="D177" i="1"/>
  <c r="L177" i="1"/>
  <c r="R177" i="1"/>
  <c r="J178" i="1"/>
  <c r="I178" i="1"/>
  <c r="D178" i="1"/>
  <c r="L178" i="1"/>
  <c r="R178" i="1"/>
  <c r="J179" i="1"/>
  <c r="I179" i="1"/>
  <c r="D179" i="1"/>
  <c r="L179" i="1"/>
  <c r="R179" i="1"/>
  <c r="J180" i="1"/>
  <c r="I180" i="1"/>
  <c r="D180" i="1"/>
  <c r="L180" i="1"/>
  <c r="R180" i="1"/>
  <c r="J181" i="1"/>
  <c r="I181" i="1"/>
  <c r="D181" i="1"/>
  <c r="L181" i="1"/>
  <c r="R181" i="1"/>
  <c r="J182" i="1"/>
  <c r="I182" i="1"/>
  <c r="D182" i="1"/>
  <c r="L182" i="1"/>
  <c r="R182" i="1"/>
  <c r="T183" i="1"/>
  <c r="J185" i="1"/>
  <c r="I185" i="1"/>
  <c r="D185" i="1"/>
  <c r="L185" i="1"/>
  <c r="R185" i="1"/>
  <c r="J186" i="1"/>
  <c r="I186" i="1"/>
  <c r="D186" i="1"/>
  <c r="L186" i="1"/>
  <c r="R186" i="1"/>
  <c r="J187" i="1"/>
  <c r="I187" i="1"/>
  <c r="D187" i="1"/>
  <c r="L187" i="1"/>
  <c r="R187" i="1"/>
  <c r="T188" i="1"/>
  <c r="Y9" i="1"/>
  <c r="M136" i="1"/>
  <c r="Q136" i="1"/>
  <c r="S136" i="1"/>
  <c r="M93" i="1"/>
  <c r="Q93" i="1"/>
  <c r="S93" i="1"/>
  <c r="M117" i="1"/>
  <c r="Q117" i="1"/>
  <c r="S117" i="1"/>
  <c r="M129" i="1"/>
  <c r="Q129" i="1"/>
  <c r="M130" i="1"/>
  <c r="Q130" i="1"/>
  <c r="M131" i="1"/>
  <c r="Q131" i="1"/>
  <c r="M132" i="1"/>
  <c r="Q132" i="1"/>
  <c r="M133" i="1"/>
  <c r="Q133" i="1"/>
  <c r="M134" i="1"/>
  <c r="Q134" i="1"/>
  <c r="S135" i="1"/>
  <c r="M137" i="1"/>
  <c r="Q137" i="1"/>
  <c r="M138" i="1"/>
  <c r="Q138" i="1"/>
  <c r="M139" i="1"/>
  <c r="Q139" i="1"/>
  <c r="M140" i="1"/>
  <c r="Q140" i="1"/>
  <c r="M141" i="1"/>
  <c r="Q141" i="1"/>
  <c r="M142" i="1"/>
  <c r="Q142" i="1"/>
  <c r="M143" i="1"/>
  <c r="Q143" i="1"/>
  <c r="S144" i="1"/>
  <c r="M145" i="1"/>
  <c r="Q145" i="1"/>
  <c r="M146" i="1"/>
  <c r="Q146" i="1"/>
  <c r="M147" i="1"/>
  <c r="Q147" i="1"/>
  <c r="M148" i="1"/>
  <c r="Q148" i="1"/>
  <c r="M149" i="1"/>
  <c r="Q149" i="1"/>
  <c r="M150" i="1"/>
  <c r="Q150" i="1"/>
  <c r="M151" i="1"/>
  <c r="Q151" i="1"/>
  <c r="S152" i="1"/>
  <c r="M153" i="1"/>
  <c r="Q153" i="1"/>
  <c r="M154" i="1"/>
  <c r="Q154" i="1"/>
  <c r="M155" i="1"/>
  <c r="Q155" i="1"/>
  <c r="M156" i="1"/>
  <c r="Q156" i="1"/>
  <c r="M157" i="1"/>
  <c r="Q157" i="1"/>
  <c r="M158" i="1"/>
  <c r="Q158" i="1"/>
  <c r="M159" i="1"/>
  <c r="Q159" i="1"/>
  <c r="S160" i="1"/>
  <c r="M161" i="1"/>
  <c r="Q161" i="1"/>
  <c r="S161" i="1"/>
  <c r="M168" i="1"/>
  <c r="Q168" i="1"/>
  <c r="M169" i="1"/>
  <c r="Q169" i="1"/>
  <c r="M170" i="1"/>
  <c r="Q170" i="1"/>
  <c r="M171" i="1"/>
  <c r="Q171" i="1"/>
  <c r="M172" i="1"/>
  <c r="Q172" i="1"/>
  <c r="M173" i="1"/>
  <c r="Q173" i="1"/>
  <c r="M174" i="1"/>
  <c r="Q174" i="1"/>
  <c r="S175" i="1"/>
  <c r="M176" i="1"/>
  <c r="Q176" i="1"/>
  <c r="M177" i="1"/>
  <c r="Q177" i="1"/>
  <c r="M178" i="1"/>
  <c r="Q178" i="1"/>
  <c r="M179" i="1"/>
  <c r="Q179" i="1"/>
  <c r="M180" i="1"/>
  <c r="Q180" i="1"/>
  <c r="M181" i="1"/>
  <c r="Q181" i="1"/>
  <c r="M182" i="1"/>
  <c r="Q182" i="1"/>
  <c r="S183" i="1"/>
  <c r="M185" i="1"/>
  <c r="Q185" i="1"/>
  <c r="M186" i="1"/>
  <c r="Q186" i="1"/>
  <c r="M187" i="1"/>
  <c r="Q187" i="1"/>
  <c r="S188" i="1"/>
  <c r="X9" i="1"/>
  <c r="J92" i="1"/>
  <c r="I92" i="1"/>
  <c r="D92" i="1"/>
  <c r="L92" i="1"/>
  <c r="R92" i="1"/>
  <c r="T92" i="1"/>
  <c r="J118" i="1"/>
  <c r="I118" i="1"/>
  <c r="D118" i="1"/>
  <c r="L118" i="1"/>
  <c r="R118" i="1"/>
  <c r="T118" i="1"/>
  <c r="J119" i="1"/>
  <c r="I119" i="1"/>
  <c r="D119" i="1"/>
  <c r="L119" i="1"/>
  <c r="R119" i="1"/>
  <c r="J120" i="1"/>
  <c r="I120" i="1"/>
  <c r="D120" i="1"/>
  <c r="L120" i="1"/>
  <c r="R120" i="1"/>
  <c r="J121" i="1"/>
  <c r="I121" i="1"/>
  <c r="D121" i="1"/>
  <c r="L121" i="1"/>
  <c r="R121" i="1"/>
  <c r="J122" i="1"/>
  <c r="I122" i="1"/>
  <c r="D122" i="1"/>
  <c r="L122" i="1"/>
  <c r="R122" i="1"/>
  <c r="T123" i="1"/>
  <c r="J124" i="1"/>
  <c r="I124" i="1"/>
  <c r="L124" i="1"/>
  <c r="R124" i="1"/>
  <c r="J125" i="1"/>
  <c r="I125" i="1"/>
  <c r="L125" i="1"/>
  <c r="R125" i="1"/>
  <c r="J126" i="1"/>
  <c r="I126" i="1"/>
  <c r="L126" i="1"/>
  <c r="R126" i="1"/>
  <c r="J127" i="1"/>
  <c r="I127" i="1"/>
  <c r="L127" i="1"/>
  <c r="R127" i="1"/>
  <c r="T128" i="1"/>
  <c r="J162" i="1"/>
  <c r="I162" i="1"/>
  <c r="D162" i="1"/>
  <c r="L162" i="1"/>
  <c r="R162" i="1"/>
  <c r="J163" i="1"/>
  <c r="I163" i="1"/>
  <c r="D163" i="1"/>
  <c r="L163" i="1"/>
  <c r="R163" i="1"/>
  <c r="J164" i="1"/>
  <c r="I164" i="1"/>
  <c r="D164" i="1"/>
  <c r="L164" i="1"/>
  <c r="R164" i="1"/>
  <c r="J165" i="1"/>
  <c r="I165" i="1"/>
  <c r="D165" i="1"/>
  <c r="L165" i="1"/>
  <c r="R165" i="1"/>
  <c r="J166" i="1"/>
  <c r="I166" i="1"/>
  <c r="D166" i="1"/>
  <c r="L166" i="1"/>
  <c r="R166" i="1"/>
  <c r="T167" i="1"/>
  <c r="J184" i="1"/>
  <c r="I184" i="1"/>
  <c r="D184" i="1"/>
  <c r="L184" i="1"/>
  <c r="R184" i="1"/>
  <c r="T184" i="1"/>
  <c r="Y7" i="1"/>
  <c r="M92" i="1"/>
  <c r="Q92" i="1"/>
  <c r="S92" i="1"/>
  <c r="M118" i="1"/>
  <c r="Q118" i="1"/>
  <c r="S118" i="1"/>
  <c r="M119" i="1"/>
  <c r="Q119" i="1"/>
  <c r="M120" i="1"/>
  <c r="Q120" i="1"/>
  <c r="M121" i="1"/>
  <c r="Q121" i="1"/>
  <c r="M122" i="1"/>
  <c r="Q122" i="1"/>
  <c r="S123" i="1"/>
  <c r="M124" i="1"/>
  <c r="Q124" i="1"/>
  <c r="M125" i="1"/>
  <c r="Q125" i="1"/>
  <c r="M126" i="1"/>
  <c r="Q126" i="1"/>
  <c r="M127" i="1"/>
  <c r="Q127" i="1"/>
  <c r="S128" i="1"/>
  <c r="M162" i="1"/>
  <c r="Q162" i="1"/>
  <c r="M163" i="1"/>
  <c r="Q163" i="1"/>
  <c r="M164" i="1"/>
  <c r="Q164" i="1"/>
  <c r="M165" i="1"/>
  <c r="Q165" i="1"/>
  <c r="M166" i="1"/>
  <c r="Q166" i="1"/>
  <c r="S167" i="1"/>
  <c r="M184" i="1"/>
  <c r="Q184" i="1"/>
  <c r="S184" i="1"/>
  <c r="X7" i="1"/>
  <c r="L42" i="1"/>
  <c r="R42" i="1"/>
  <c r="T42" i="1"/>
  <c r="D3" i="1"/>
  <c r="L3" i="1"/>
  <c r="R3" i="1"/>
  <c r="T3" i="1"/>
  <c r="L24" i="1"/>
  <c r="R24" i="1"/>
  <c r="T24" i="1"/>
  <c r="L35" i="1"/>
  <c r="R35" i="1"/>
  <c r="L36" i="1"/>
  <c r="R36" i="1"/>
  <c r="L37" i="1"/>
  <c r="R37" i="1"/>
  <c r="L38" i="1"/>
  <c r="R38" i="1"/>
  <c r="L39" i="1"/>
  <c r="R39" i="1"/>
  <c r="L40" i="1"/>
  <c r="R40" i="1"/>
  <c r="T41" i="1"/>
  <c r="L43" i="1"/>
  <c r="R43" i="1"/>
  <c r="L44" i="1"/>
  <c r="R44" i="1"/>
  <c r="L45" i="1"/>
  <c r="R45" i="1"/>
  <c r="L46" i="1"/>
  <c r="R46" i="1"/>
  <c r="L47" i="1"/>
  <c r="R47" i="1"/>
  <c r="L48" i="1"/>
  <c r="R48" i="1"/>
  <c r="L49" i="1"/>
  <c r="R49" i="1"/>
  <c r="T50" i="1"/>
  <c r="L51" i="1"/>
  <c r="R51" i="1"/>
  <c r="L52" i="1"/>
  <c r="R52" i="1"/>
  <c r="L53" i="1"/>
  <c r="R53" i="1"/>
  <c r="L54" i="1"/>
  <c r="R54" i="1"/>
  <c r="L55" i="1"/>
  <c r="R55" i="1"/>
  <c r="T56" i="1"/>
  <c r="L57" i="1"/>
  <c r="R57" i="1"/>
  <c r="L58" i="1"/>
  <c r="R58" i="1"/>
  <c r="L59" i="1"/>
  <c r="R59" i="1"/>
  <c r="L60" i="1"/>
  <c r="R60" i="1"/>
  <c r="L61" i="1"/>
  <c r="R61" i="1"/>
  <c r="L62" i="1"/>
  <c r="R62" i="1"/>
  <c r="L63" i="1"/>
  <c r="R63" i="1"/>
  <c r="T64" i="1"/>
  <c r="J72" i="1"/>
  <c r="D72" i="1"/>
  <c r="L72" i="1"/>
  <c r="R72" i="1"/>
  <c r="T72" i="1"/>
  <c r="L73" i="1"/>
  <c r="R73" i="1"/>
  <c r="L74" i="1"/>
  <c r="R74" i="1"/>
  <c r="L75" i="1"/>
  <c r="R75" i="1"/>
  <c r="L76" i="1"/>
  <c r="R76" i="1"/>
  <c r="L77" i="1"/>
  <c r="R77" i="1"/>
  <c r="L78" i="1"/>
  <c r="R78" i="1"/>
  <c r="L79" i="1"/>
  <c r="R79" i="1"/>
  <c r="T80" i="1"/>
  <c r="L81" i="1"/>
  <c r="R81" i="1"/>
  <c r="L82" i="1"/>
  <c r="R82" i="1"/>
  <c r="L83" i="1"/>
  <c r="R83" i="1"/>
  <c r="L84" i="1"/>
  <c r="R84" i="1"/>
  <c r="L85" i="1"/>
  <c r="R85" i="1"/>
  <c r="L86" i="1"/>
  <c r="R86" i="1"/>
  <c r="T87" i="1"/>
  <c r="L89" i="1"/>
  <c r="R89" i="1"/>
  <c r="L90" i="1"/>
  <c r="R90" i="1"/>
  <c r="T91" i="1"/>
  <c r="Y5" i="1"/>
  <c r="L2" i="1"/>
  <c r="R2" i="1"/>
  <c r="T2" i="1"/>
  <c r="J25" i="1"/>
  <c r="I25" i="1"/>
  <c r="D25" i="1"/>
  <c r="L25" i="1"/>
  <c r="R25" i="1"/>
  <c r="T25" i="1"/>
  <c r="J26" i="1"/>
  <c r="I26" i="1"/>
  <c r="D26" i="1"/>
  <c r="L26" i="1"/>
  <c r="R26" i="1"/>
  <c r="J27" i="1"/>
  <c r="I27" i="1"/>
  <c r="D27" i="1"/>
  <c r="L27" i="1"/>
  <c r="R27" i="1"/>
  <c r="J28" i="1"/>
  <c r="I28" i="1"/>
  <c r="D28" i="1"/>
  <c r="L28" i="1"/>
  <c r="R28" i="1"/>
  <c r="J29" i="1"/>
  <c r="I29" i="1"/>
  <c r="D29" i="1"/>
  <c r="L29" i="1"/>
  <c r="R29" i="1"/>
  <c r="T30" i="1"/>
  <c r="J31" i="1"/>
  <c r="I31" i="1"/>
  <c r="D31" i="1"/>
  <c r="L31" i="1"/>
  <c r="R31" i="1"/>
  <c r="J32" i="1"/>
  <c r="I32" i="1"/>
  <c r="D32" i="1"/>
  <c r="L32" i="1"/>
  <c r="R32" i="1"/>
  <c r="J33" i="1"/>
  <c r="I33" i="1"/>
  <c r="D33" i="1"/>
  <c r="L33" i="1"/>
  <c r="R33" i="1"/>
  <c r="T34" i="1"/>
  <c r="J68" i="1"/>
  <c r="I68" i="1"/>
  <c r="D68" i="1"/>
  <c r="L68" i="1"/>
  <c r="R68" i="1"/>
  <c r="J69" i="1"/>
  <c r="I69" i="1"/>
  <c r="D69" i="1"/>
  <c r="L69" i="1"/>
  <c r="R69" i="1"/>
  <c r="J70" i="1"/>
  <c r="I70" i="1"/>
  <c r="D70" i="1"/>
  <c r="L70" i="1"/>
  <c r="R70" i="1"/>
  <c r="T71" i="1"/>
  <c r="Y3" i="1"/>
  <c r="S2" i="1"/>
  <c r="M25" i="1"/>
  <c r="Q25" i="1"/>
  <c r="S25" i="1"/>
  <c r="M26" i="1"/>
  <c r="Q26" i="1"/>
  <c r="M27" i="1"/>
  <c r="Q27" i="1"/>
  <c r="M28" i="1"/>
  <c r="Q28" i="1"/>
  <c r="M29" i="1"/>
  <c r="Q29" i="1"/>
  <c r="S30" i="1"/>
  <c r="M31" i="1"/>
  <c r="Q31" i="1"/>
  <c r="M32" i="1"/>
  <c r="Q32" i="1"/>
  <c r="M33" i="1"/>
  <c r="Q33" i="1"/>
  <c r="S34" i="1"/>
  <c r="I66" i="1"/>
  <c r="J66" i="1"/>
  <c r="D66" i="1"/>
  <c r="M66" i="1"/>
  <c r="Q66" i="1"/>
  <c r="I67" i="1"/>
  <c r="J67" i="1"/>
  <c r="D67" i="1"/>
  <c r="M67" i="1"/>
  <c r="Q67" i="1"/>
  <c r="M68" i="1"/>
  <c r="Q68" i="1"/>
  <c r="M69" i="1"/>
  <c r="Q69" i="1"/>
  <c r="M70" i="1"/>
  <c r="Q70" i="1"/>
  <c r="S71" i="1"/>
  <c r="X3" i="1"/>
  <c r="H136" i="2"/>
  <c r="G136" i="2"/>
  <c r="J136" i="2"/>
  <c r="P136" i="2"/>
  <c r="R136" i="2"/>
  <c r="H93" i="2"/>
  <c r="G93" i="2"/>
  <c r="D93" i="2"/>
  <c r="J93" i="2"/>
  <c r="P93" i="2"/>
  <c r="R93" i="2"/>
  <c r="F117" i="2"/>
  <c r="H117" i="2"/>
  <c r="E117" i="2"/>
  <c r="G117" i="2"/>
  <c r="D117" i="2"/>
  <c r="J117" i="2"/>
  <c r="P117" i="2"/>
  <c r="R117" i="2"/>
  <c r="H129" i="2"/>
  <c r="G129" i="2"/>
  <c r="D129" i="2"/>
  <c r="J129" i="2"/>
  <c r="P129" i="2"/>
  <c r="H130" i="2"/>
  <c r="G130" i="2"/>
  <c r="D130" i="2"/>
  <c r="J130" i="2"/>
  <c r="P130" i="2"/>
  <c r="H131" i="2"/>
  <c r="G131" i="2"/>
  <c r="D131" i="2"/>
  <c r="J131" i="2"/>
  <c r="P131" i="2"/>
  <c r="H132" i="2"/>
  <c r="G132" i="2"/>
  <c r="J132" i="2"/>
  <c r="P132" i="2"/>
  <c r="H133" i="2"/>
  <c r="G133" i="2"/>
  <c r="J133" i="2"/>
  <c r="P133" i="2"/>
  <c r="H134" i="2"/>
  <c r="G134" i="2"/>
  <c r="D134" i="2"/>
  <c r="J134" i="2"/>
  <c r="P134" i="2"/>
  <c r="R135" i="2"/>
  <c r="H137" i="2"/>
  <c r="G137" i="2"/>
  <c r="D137" i="2"/>
  <c r="J137" i="2"/>
  <c r="P137" i="2"/>
  <c r="H138" i="2"/>
  <c r="G138" i="2"/>
  <c r="D138" i="2"/>
  <c r="J138" i="2"/>
  <c r="P138" i="2"/>
  <c r="H139" i="2"/>
  <c r="G139" i="2"/>
  <c r="D139" i="2"/>
  <c r="J139" i="2"/>
  <c r="P139" i="2"/>
  <c r="H140" i="2"/>
  <c r="G140" i="2"/>
  <c r="D140" i="2"/>
  <c r="J140" i="2"/>
  <c r="P140" i="2"/>
  <c r="H141" i="2"/>
  <c r="G141" i="2"/>
  <c r="D141" i="2"/>
  <c r="J141" i="2"/>
  <c r="P141" i="2"/>
  <c r="H142" i="2"/>
  <c r="G142" i="2"/>
  <c r="D142" i="2"/>
  <c r="J142" i="2"/>
  <c r="P142" i="2"/>
  <c r="H143" i="2"/>
  <c r="G143" i="2"/>
  <c r="D143" i="2"/>
  <c r="J143" i="2"/>
  <c r="P143" i="2"/>
  <c r="R144" i="2"/>
  <c r="H145" i="2"/>
  <c r="G145" i="2"/>
  <c r="D145" i="2"/>
  <c r="J145" i="2"/>
  <c r="P145" i="2"/>
  <c r="F146" i="2"/>
  <c r="H146" i="2"/>
  <c r="E146" i="2"/>
  <c r="G146" i="2"/>
  <c r="D146" i="2"/>
  <c r="J146" i="2"/>
  <c r="P146" i="2"/>
  <c r="F147" i="2"/>
  <c r="H147" i="2"/>
  <c r="E147" i="2"/>
  <c r="G147" i="2"/>
  <c r="D147" i="2"/>
  <c r="J147" i="2"/>
  <c r="P147" i="2"/>
  <c r="F148" i="2"/>
  <c r="H148" i="2"/>
  <c r="E148" i="2"/>
  <c r="G148" i="2"/>
  <c r="D148" i="2"/>
  <c r="J148" i="2"/>
  <c r="P148" i="2"/>
  <c r="H149" i="2"/>
  <c r="E149" i="2"/>
  <c r="G149" i="2"/>
  <c r="D149" i="2"/>
  <c r="J149" i="2"/>
  <c r="P149" i="2"/>
  <c r="H150" i="2"/>
  <c r="G150" i="2"/>
  <c r="D150" i="2"/>
  <c r="J150" i="2"/>
  <c r="P150" i="2"/>
  <c r="H151" i="2"/>
  <c r="G151" i="2"/>
  <c r="D151" i="2"/>
  <c r="J151" i="2"/>
  <c r="P151" i="2"/>
  <c r="R152" i="2"/>
  <c r="H153" i="2"/>
  <c r="G153" i="2"/>
  <c r="D153" i="2"/>
  <c r="J153" i="2"/>
  <c r="P153" i="2"/>
  <c r="H154" i="2"/>
  <c r="G154" i="2"/>
  <c r="D154" i="2"/>
  <c r="J154" i="2"/>
  <c r="P154" i="2"/>
  <c r="H155" i="2"/>
  <c r="G155" i="2"/>
  <c r="D155" i="2"/>
  <c r="J155" i="2"/>
  <c r="P155" i="2"/>
  <c r="H156" i="2"/>
  <c r="G156" i="2"/>
  <c r="D156" i="2"/>
  <c r="J156" i="2"/>
  <c r="P156" i="2"/>
  <c r="H157" i="2"/>
  <c r="G157" i="2"/>
  <c r="D157" i="2"/>
  <c r="J157" i="2"/>
  <c r="P157" i="2"/>
  <c r="H158" i="2"/>
  <c r="G158" i="2"/>
  <c r="D158" i="2"/>
  <c r="J158" i="2"/>
  <c r="P158" i="2"/>
  <c r="H159" i="2"/>
  <c r="G159" i="2"/>
  <c r="D159" i="2"/>
  <c r="J159" i="2"/>
  <c r="P159" i="2"/>
  <c r="R160" i="2"/>
  <c r="H161" i="2"/>
  <c r="G161" i="2"/>
  <c r="D161" i="2"/>
  <c r="J161" i="2"/>
  <c r="P161" i="2"/>
  <c r="R161" i="2"/>
  <c r="H185" i="2"/>
  <c r="G185" i="2"/>
  <c r="D185" i="2"/>
  <c r="J185" i="2"/>
  <c r="P185" i="2"/>
  <c r="H186" i="2"/>
  <c r="G186" i="2"/>
  <c r="D186" i="2"/>
  <c r="J186" i="2"/>
  <c r="P186" i="2"/>
  <c r="H187" i="2"/>
  <c r="G187" i="2"/>
  <c r="D187" i="2"/>
  <c r="J187" i="2"/>
  <c r="P187" i="2"/>
  <c r="R188" i="2"/>
  <c r="W9" i="2"/>
  <c r="K136" i="2"/>
  <c r="O136" i="2"/>
  <c r="Q136" i="2"/>
  <c r="K93" i="2"/>
  <c r="O93" i="2"/>
  <c r="Q93" i="2"/>
  <c r="K117" i="2"/>
  <c r="O117" i="2"/>
  <c r="Q117" i="2"/>
  <c r="K129" i="2"/>
  <c r="O129" i="2"/>
  <c r="K130" i="2"/>
  <c r="O130" i="2"/>
  <c r="K131" i="2"/>
  <c r="O131" i="2"/>
  <c r="K132" i="2"/>
  <c r="O132" i="2"/>
  <c r="K133" i="2"/>
  <c r="O133" i="2"/>
  <c r="K134" i="2"/>
  <c r="O134" i="2"/>
  <c r="Q135" i="2"/>
  <c r="K137" i="2"/>
  <c r="O137" i="2"/>
  <c r="K138" i="2"/>
  <c r="O138" i="2"/>
  <c r="K139" i="2"/>
  <c r="O139" i="2"/>
  <c r="K140" i="2"/>
  <c r="O140" i="2"/>
  <c r="K141" i="2"/>
  <c r="O141" i="2"/>
  <c r="K142" i="2"/>
  <c r="O142" i="2"/>
  <c r="K143" i="2"/>
  <c r="O143" i="2"/>
  <c r="Q144" i="2"/>
  <c r="K145" i="2"/>
  <c r="O145" i="2"/>
  <c r="K146" i="2"/>
  <c r="O146" i="2"/>
  <c r="K147" i="2"/>
  <c r="O147" i="2"/>
  <c r="K148" i="2"/>
  <c r="O148" i="2"/>
  <c r="K149" i="2"/>
  <c r="O149" i="2"/>
  <c r="K150" i="2"/>
  <c r="O150" i="2"/>
  <c r="K151" i="2"/>
  <c r="O151" i="2"/>
  <c r="Q152" i="2"/>
  <c r="K153" i="2"/>
  <c r="O153" i="2"/>
  <c r="K154" i="2"/>
  <c r="O154" i="2"/>
  <c r="K155" i="2"/>
  <c r="O155" i="2"/>
  <c r="K156" i="2"/>
  <c r="O156" i="2"/>
  <c r="K157" i="2"/>
  <c r="O157" i="2"/>
  <c r="K158" i="2"/>
  <c r="O158" i="2"/>
  <c r="K159" i="2"/>
  <c r="O159" i="2"/>
  <c r="Q160" i="2"/>
  <c r="K161" i="2"/>
  <c r="O161" i="2"/>
  <c r="Q161" i="2"/>
  <c r="K185" i="2"/>
  <c r="O185" i="2"/>
  <c r="K186" i="2"/>
  <c r="O186" i="2"/>
  <c r="K187" i="2"/>
  <c r="O187" i="2"/>
  <c r="Q188" i="2"/>
  <c r="V9" i="2"/>
  <c r="K92" i="2"/>
  <c r="Q92" i="2"/>
  <c r="K118" i="2"/>
  <c r="O118" i="2"/>
  <c r="Q118" i="2"/>
  <c r="K124" i="2"/>
  <c r="O124" i="2"/>
  <c r="K125" i="2"/>
  <c r="O125" i="2"/>
  <c r="K126" i="2"/>
  <c r="O126" i="2"/>
  <c r="K127" i="2"/>
  <c r="O127" i="2"/>
  <c r="Q128" i="2"/>
  <c r="K162" i="2"/>
  <c r="O162" i="2"/>
  <c r="K163" i="2"/>
  <c r="O163" i="2"/>
  <c r="K164" i="2"/>
  <c r="O164" i="2"/>
  <c r="K165" i="2"/>
  <c r="O165" i="2"/>
  <c r="K166" i="2"/>
  <c r="O166" i="2"/>
  <c r="Q167" i="2"/>
  <c r="K184" i="2"/>
  <c r="O184" i="2"/>
  <c r="Q184" i="2"/>
  <c r="G42" i="2"/>
  <c r="J42" i="2"/>
  <c r="H42" i="2"/>
  <c r="P42" i="2"/>
  <c r="R42" i="2"/>
  <c r="H3" i="2"/>
  <c r="G3" i="2"/>
  <c r="D3" i="2"/>
  <c r="J3" i="2"/>
  <c r="P3" i="2"/>
  <c r="R3" i="2"/>
  <c r="F24" i="2"/>
  <c r="H24" i="2"/>
  <c r="E24" i="2"/>
  <c r="G24" i="2"/>
  <c r="D24" i="2"/>
  <c r="J24" i="2"/>
  <c r="P24" i="2"/>
  <c r="R24" i="2"/>
  <c r="H35" i="2"/>
  <c r="G35" i="2"/>
  <c r="D35" i="2"/>
  <c r="J35" i="2"/>
  <c r="P35" i="2"/>
  <c r="H36" i="2"/>
  <c r="G36" i="2"/>
  <c r="D36" i="2"/>
  <c r="J36" i="2"/>
  <c r="P36" i="2"/>
  <c r="H37" i="2"/>
  <c r="G37" i="2"/>
  <c r="D37" i="2"/>
  <c r="J37" i="2"/>
  <c r="P37" i="2"/>
  <c r="H38" i="2"/>
  <c r="G38" i="2"/>
  <c r="D38" i="2"/>
  <c r="J38" i="2"/>
  <c r="P38" i="2"/>
  <c r="H39" i="2"/>
  <c r="G39" i="2"/>
  <c r="D39" i="2"/>
  <c r="J39" i="2"/>
  <c r="P39" i="2"/>
  <c r="H40" i="2"/>
  <c r="G40" i="2"/>
  <c r="D40" i="2"/>
  <c r="J40" i="2"/>
  <c r="P40" i="2"/>
  <c r="R41" i="2"/>
  <c r="H43" i="2"/>
  <c r="G43" i="2"/>
  <c r="D43" i="2"/>
  <c r="J43" i="2"/>
  <c r="P43" i="2"/>
  <c r="H44" i="2"/>
  <c r="G44" i="2"/>
  <c r="D44" i="2"/>
  <c r="J44" i="2"/>
  <c r="P44" i="2"/>
  <c r="H45" i="2"/>
  <c r="G45" i="2"/>
  <c r="D45" i="2"/>
  <c r="J45" i="2"/>
  <c r="P45" i="2"/>
  <c r="H46" i="2"/>
  <c r="G46" i="2"/>
  <c r="D46" i="2"/>
  <c r="J46" i="2"/>
  <c r="P46" i="2"/>
  <c r="H47" i="2"/>
  <c r="G47" i="2"/>
  <c r="D47" i="2"/>
  <c r="J47" i="2"/>
  <c r="P47" i="2"/>
  <c r="H48" i="2"/>
  <c r="G48" i="2"/>
  <c r="D48" i="2"/>
  <c r="J48" i="2"/>
  <c r="P48" i="2"/>
  <c r="H49" i="2"/>
  <c r="G49" i="2"/>
  <c r="D49" i="2"/>
  <c r="J49" i="2"/>
  <c r="P49" i="2"/>
  <c r="R50" i="2"/>
  <c r="F51" i="2"/>
  <c r="H51" i="2"/>
  <c r="E51" i="2"/>
  <c r="G51" i="2"/>
  <c r="D51" i="2"/>
  <c r="J51" i="2"/>
  <c r="P51" i="2"/>
  <c r="F52" i="2"/>
  <c r="H52" i="2"/>
  <c r="E52" i="2"/>
  <c r="G52" i="2"/>
  <c r="D52" i="2"/>
  <c r="J52" i="2"/>
  <c r="P52" i="2"/>
  <c r="H53" i="2"/>
  <c r="E53" i="2"/>
  <c r="G53" i="2"/>
  <c r="D53" i="2"/>
  <c r="J53" i="2"/>
  <c r="P53" i="2"/>
  <c r="H54" i="2"/>
  <c r="G54" i="2"/>
  <c r="D54" i="2"/>
  <c r="J54" i="2"/>
  <c r="P54" i="2"/>
  <c r="H55" i="2"/>
  <c r="G55" i="2"/>
  <c r="D55" i="2"/>
  <c r="J55" i="2"/>
  <c r="P55" i="2"/>
  <c r="R56" i="2"/>
  <c r="H57" i="2"/>
  <c r="G57" i="2"/>
  <c r="D57" i="2"/>
  <c r="J57" i="2"/>
  <c r="P57" i="2"/>
  <c r="H58" i="2"/>
  <c r="G58" i="2"/>
  <c r="D58" i="2"/>
  <c r="J58" i="2"/>
  <c r="P58" i="2"/>
  <c r="H59" i="2"/>
  <c r="G59" i="2"/>
  <c r="D59" i="2"/>
  <c r="J59" i="2"/>
  <c r="P59" i="2"/>
  <c r="H60" i="2"/>
  <c r="G60" i="2"/>
  <c r="J60" i="2"/>
  <c r="P60" i="2"/>
  <c r="H61" i="2"/>
  <c r="G61" i="2"/>
  <c r="D61" i="2"/>
  <c r="J61" i="2"/>
  <c r="P61" i="2"/>
  <c r="H62" i="2"/>
  <c r="G62" i="2"/>
  <c r="D62" i="2"/>
  <c r="J62" i="2"/>
  <c r="P62" i="2"/>
  <c r="H63" i="2"/>
  <c r="G63" i="2"/>
  <c r="D63" i="2"/>
  <c r="J63" i="2"/>
  <c r="P63" i="2"/>
  <c r="R64" i="2"/>
  <c r="H72" i="2"/>
  <c r="G72" i="2"/>
  <c r="D72" i="2"/>
  <c r="J72" i="2"/>
  <c r="P72" i="2"/>
  <c r="R72" i="2"/>
  <c r="H73" i="2"/>
  <c r="G73" i="2"/>
  <c r="D73" i="2"/>
  <c r="J73" i="2"/>
  <c r="P73" i="2"/>
  <c r="H74" i="2"/>
  <c r="G74" i="2"/>
  <c r="D74" i="2"/>
  <c r="J74" i="2"/>
  <c r="P74" i="2"/>
  <c r="F75" i="2"/>
  <c r="H75" i="2"/>
  <c r="E75" i="2"/>
  <c r="G75" i="2"/>
  <c r="J75" i="2"/>
  <c r="P75" i="2"/>
  <c r="F76" i="2"/>
  <c r="H76" i="2"/>
  <c r="E76" i="2"/>
  <c r="G76" i="2"/>
  <c r="D76" i="2"/>
  <c r="J76" i="2"/>
  <c r="P76" i="2"/>
  <c r="F77" i="2"/>
  <c r="H77" i="2"/>
  <c r="E77" i="2"/>
  <c r="G77" i="2"/>
  <c r="D77" i="2"/>
  <c r="J77" i="2"/>
  <c r="P77" i="2"/>
  <c r="F78" i="2"/>
  <c r="H78" i="2"/>
  <c r="E78" i="2"/>
  <c r="G78" i="2"/>
  <c r="D78" i="2"/>
  <c r="J78" i="2"/>
  <c r="P78" i="2"/>
  <c r="F79" i="2"/>
  <c r="H79" i="2"/>
  <c r="E79" i="2"/>
  <c r="G79" i="2"/>
  <c r="J79" i="2"/>
  <c r="P79" i="2"/>
  <c r="R80" i="2"/>
  <c r="H81" i="2"/>
  <c r="G81" i="2"/>
  <c r="J81" i="2"/>
  <c r="P81" i="2"/>
  <c r="H82" i="2"/>
  <c r="G82" i="2"/>
  <c r="J82" i="2"/>
  <c r="P82" i="2"/>
  <c r="H83" i="2"/>
  <c r="G83" i="2"/>
  <c r="J83" i="2"/>
  <c r="P83" i="2"/>
  <c r="H84" i="2"/>
  <c r="G84" i="2"/>
  <c r="J84" i="2"/>
  <c r="P84" i="2"/>
  <c r="H85" i="2"/>
  <c r="G85" i="2"/>
  <c r="D85" i="2"/>
  <c r="J85" i="2"/>
  <c r="P85" i="2"/>
  <c r="H86" i="2"/>
  <c r="G86" i="2"/>
  <c r="J86" i="2"/>
  <c r="P86" i="2"/>
  <c r="R87" i="2"/>
  <c r="H89" i="2"/>
  <c r="G89" i="2"/>
  <c r="D89" i="2"/>
  <c r="J89" i="2"/>
  <c r="P89" i="2"/>
  <c r="H90" i="2"/>
  <c r="G90" i="2"/>
  <c r="D90" i="2"/>
  <c r="J90" i="2"/>
  <c r="P90" i="2"/>
  <c r="R91" i="2"/>
  <c r="W5" i="2"/>
  <c r="K42" i="2"/>
  <c r="O42" i="2"/>
  <c r="Q42" i="2"/>
  <c r="K3" i="2"/>
  <c r="O3" i="2"/>
  <c r="Q3" i="2"/>
  <c r="K24" i="2"/>
  <c r="O24" i="2"/>
  <c r="Q24" i="2"/>
  <c r="K35" i="2"/>
  <c r="O35" i="2"/>
  <c r="K36" i="2"/>
  <c r="O36" i="2"/>
  <c r="K37" i="2"/>
  <c r="O37" i="2"/>
  <c r="K38" i="2"/>
  <c r="O38" i="2"/>
  <c r="K39" i="2"/>
  <c r="O39" i="2"/>
  <c r="K40" i="2"/>
  <c r="O40" i="2"/>
  <c r="Q41" i="2"/>
  <c r="K43" i="2"/>
  <c r="O43" i="2"/>
  <c r="K44" i="2"/>
  <c r="O44" i="2"/>
  <c r="K45" i="2"/>
  <c r="O45" i="2"/>
  <c r="K46" i="2"/>
  <c r="O46" i="2"/>
  <c r="K47" i="2"/>
  <c r="O47" i="2"/>
  <c r="K48" i="2"/>
  <c r="O48" i="2"/>
  <c r="K49" i="2"/>
  <c r="O49" i="2"/>
  <c r="Q50" i="2"/>
  <c r="K51" i="2"/>
  <c r="O51" i="2"/>
  <c r="K52" i="2"/>
  <c r="O52" i="2"/>
  <c r="K53" i="2"/>
  <c r="O53" i="2"/>
  <c r="K54" i="2"/>
  <c r="O54" i="2"/>
  <c r="K55" i="2"/>
  <c r="O55" i="2"/>
  <c r="Q56" i="2"/>
  <c r="K57" i="2"/>
  <c r="O57" i="2"/>
  <c r="K58" i="2"/>
  <c r="O58" i="2"/>
  <c r="K59" i="2"/>
  <c r="O59" i="2"/>
  <c r="K60" i="2"/>
  <c r="O60" i="2"/>
  <c r="K61" i="2"/>
  <c r="O61" i="2"/>
  <c r="K62" i="2"/>
  <c r="O62" i="2"/>
  <c r="K63" i="2"/>
  <c r="O63" i="2"/>
  <c r="Q64" i="2"/>
  <c r="O72" i="2"/>
  <c r="Q72" i="2"/>
  <c r="K73" i="2"/>
  <c r="O73" i="2"/>
  <c r="K74" i="2"/>
  <c r="O74" i="2"/>
  <c r="K75" i="2"/>
  <c r="O75" i="2"/>
  <c r="K76" i="2"/>
  <c r="O76" i="2"/>
  <c r="K77" i="2"/>
  <c r="O77" i="2"/>
  <c r="K78" i="2"/>
  <c r="O78" i="2"/>
  <c r="K79" i="2"/>
  <c r="O79" i="2"/>
  <c r="Q80" i="2"/>
  <c r="K81" i="2"/>
  <c r="O81" i="2"/>
  <c r="K82" i="2"/>
  <c r="O82" i="2"/>
  <c r="K83" i="2"/>
  <c r="O83" i="2"/>
  <c r="K84" i="2"/>
  <c r="O84" i="2"/>
  <c r="K85" i="2"/>
  <c r="O85" i="2"/>
  <c r="K86" i="2"/>
  <c r="O86" i="2"/>
  <c r="Q87" i="2"/>
  <c r="K89" i="2"/>
  <c r="O89" i="2"/>
  <c r="K90" i="2"/>
  <c r="O90" i="2"/>
  <c r="Q91" i="2"/>
  <c r="V5" i="2"/>
  <c r="K2" i="2"/>
  <c r="Q2" i="2"/>
  <c r="K25" i="2"/>
  <c r="O25" i="2"/>
  <c r="Q25" i="2"/>
  <c r="K26" i="2"/>
  <c r="O26" i="2"/>
  <c r="K27" i="2"/>
  <c r="O27" i="2"/>
  <c r="K28" i="2"/>
  <c r="O28" i="2"/>
  <c r="K29" i="2"/>
  <c r="O29" i="2"/>
  <c r="Q30" i="2"/>
  <c r="K31" i="2"/>
  <c r="O31" i="2"/>
  <c r="K32" i="2"/>
  <c r="O32" i="2"/>
  <c r="K33" i="2"/>
  <c r="O33" i="2"/>
  <c r="Q34" i="2"/>
  <c r="E66" i="2"/>
  <c r="G66" i="2"/>
  <c r="F66" i="2"/>
  <c r="H66" i="2"/>
  <c r="D66" i="2"/>
  <c r="K66" i="2"/>
  <c r="O66" i="2"/>
  <c r="G67" i="2"/>
  <c r="H67" i="2"/>
  <c r="D67" i="2"/>
  <c r="K67" i="2"/>
  <c r="O67" i="2"/>
  <c r="K68" i="2"/>
  <c r="O68" i="2"/>
  <c r="K69" i="2"/>
  <c r="O69" i="2"/>
  <c r="K70" i="2"/>
  <c r="O70" i="2"/>
  <c r="Q71" i="2"/>
  <c r="AA9" i="1"/>
  <c r="AA5" i="1"/>
  <c r="G127" i="3"/>
  <c r="P127" i="3"/>
  <c r="H127" i="3"/>
  <c r="Q127" i="3"/>
  <c r="H126" i="3"/>
  <c r="Q126" i="3"/>
  <c r="G126" i="3"/>
  <c r="P126" i="3"/>
  <c r="G124" i="3"/>
  <c r="P124" i="3"/>
  <c r="G32" i="3"/>
  <c r="P32" i="3"/>
  <c r="G125" i="3"/>
  <c r="P125" i="3"/>
  <c r="J126" i="3"/>
  <c r="S126" i="3"/>
  <c r="J127" i="3"/>
  <c r="S127" i="3"/>
  <c r="H124" i="3"/>
  <c r="Q124" i="3"/>
  <c r="J124" i="3"/>
  <c r="S124" i="3"/>
  <c r="H125" i="3"/>
  <c r="Q125" i="3"/>
  <c r="J125" i="3"/>
  <c r="S125" i="3"/>
  <c r="U128" i="3"/>
  <c r="F162" i="3"/>
  <c r="H162" i="3"/>
  <c r="Q162" i="3"/>
  <c r="E162" i="3"/>
  <c r="G162" i="3"/>
  <c r="D162" i="3"/>
  <c r="J162" i="3"/>
  <c r="S162" i="3"/>
  <c r="H163" i="3"/>
  <c r="Q163" i="3"/>
  <c r="G163" i="3"/>
  <c r="D163" i="3"/>
  <c r="J163" i="3"/>
  <c r="S163" i="3"/>
  <c r="F164" i="3"/>
  <c r="H164" i="3"/>
  <c r="Q164" i="3"/>
  <c r="E164" i="3"/>
  <c r="G164" i="3"/>
  <c r="D164" i="3"/>
  <c r="J164" i="3"/>
  <c r="S164" i="3"/>
  <c r="F165" i="3"/>
  <c r="H165" i="3"/>
  <c r="Q165" i="3"/>
  <c r="E165" i="3"/>
  <c r="G165" i="3"/>
  <c r="D165" i="3"/>
  <c r="J165" i="3"/>
  <c r="S165" i="3"/>
  <c r="F166" i="3"/>
  <c r="H166" i="3"/>
  <c r="Q166" i="3"/>
  <c r="E166" i="3"/>
  <c r="G166" i="3"/>
  <c r="D166" i="3"/>
  <c r="J166" i="3"/>
  <c r="S166" i="3"/>
  <c r="U167" i="3"/>
  <c r="H129" i="3"/>
  <c r="Q129" i="3"/>
  <c r="G129" i="3"/>
  <c r="D129" i="3"/>
  <c r="J129" i="3"/>
  <c r="S129" i="3"/>
  <c r="H130" i="3"/>
  <c r="Q130" i="3"/>
  <c r="G130" i="3"/>
  <c r="D130" i="3"/>
  <c r="J130" i="3"/>
  <c r="S130" i="3"/>
  <c r="H131" i="3"/>
  <c r="Q131" i="3"/>
  <c r="G131" i="3"/>
  <c r="D131" i="3"/>
  <c r="J131" i="3"/>
  <c r="S131" i="3"/>
  <c r="H132" i="3"/>
  <c r="Q132" i="3"/>
  <c r="G132" i="3"/>
  <c r="J132" i="3"/>
  <c r="S132" i="3"/>
  <c r="H133" i="3"/>
  <c r="Q133" i="3"/>
  <c r="G133" i="3"/>
  <c r="J133" i="3"/>
  <c r="S133" i="3"/>
  <c r="H134" i="3"/>
  <c r="Q134" i="3"/>
  <c r="G134" i="3"/>
  <c r="D134" i="3"/>
  <c r="J134" i="3"/>
  <c r="S134" i="3"/>
  <c r="U135" i="3"/>
  <c r="H137" i="3"/>
  <c r="Q137" i="3"/>
  <c r="G137" i="3"/>
  <c r="D137" i="3"/>
  <c r="J137" i="3"/>
  <c r="S137" i="3"/>
  <c r="H138" i="3"/>
  <c r="Q138" i="3"/>
  <c r="G138" i="3"/>
  <c r="D138" i="3"/>
  <c r="J138" i="3"/>
  <c r="S138" i="3"/>
  <c r="H139" i="3"/>
  <c r="Q139" i="3"/>
  <c r="G139" i="3"/>
  <c r="D139" i="3"/>
  <c r="J139" i="3"/>
  <c r="S139" i="3"/>
  <c r="H140" i="3"/>
  <c r="Q140" i="3"/>
  <c r="G140" i="3"/>
  <c r="D140" i="3"/>
  <c r="J140" i="3"/>
  <c r="S140" i="3"/>
  <c r="H141" i="3"/>
  <c r="Q141" i="3"/>
  <c r="G141" i="3"/>
  <c r="D141" i="3"/>
  <c r="J141" i="3"/>
  <c r="S141" i="3"/>
  <c r="H142" i="3"/>
  <c r="Q142" i="3"/>
  <c r="G142" i="3"/>
  <c r="D142" i="3"/>
  <c r="J142" i="3"/>
  <c r="S142" i="3"/>
  <c r="H143" i="3"/>
  <c r="Q143" i="3"/>
  <c r="G143" i="3"/>
  <c r="D143" i="3"/>
  <c r="J143" i="3"/>
  <c r="S143" i="3"/>
  <c r="U144" i="3"/>
  <c r="H145" i="3"/>
  <c r="Q145" i="3"/>
  <c r="G145" i="3"/>
  <c r="D145" i="3"/>
  <c r="J145" i="3"/>
  <c r="S145" i="3"/>
  <c r="F146" i="3"/>
  <c r="H146" i="3"/>
  <c r="Q146" i="3"/>
  <c r="E146" i="3"/>
  <c r="G146" i="3"/>
  <c r="D146" i="3"/>
  <c r="J146" i="3"/>
  <c r="S146" i="3"/>
  <c r="F147" i="3"/>
  <c r="H147" i="3"/>
  <c r="Q147" i="3"/>
  <c r="E147" i="3"/>
  <c r="G147" i="3"/>
  <c r="D147" i="3"/>
  <c r="J147" i="3"/>
  <c r="S147" i="3"/>
  <c r="F148" i="3"/>
  <c r="H148" i="3"/>
  <c r="Q148" i="3"/>
  <c r="E148" i="3"/>
  <c r="G148" i="3"/>
  <c r="D148" i="3"/>
  <c r="J148" i="3"/>
  <c r="S148" i="3"/>
  <c r="H149" i="3"/>
  <c r="Q149" i="3"/>
  <c r="E149" i="3"/>
  <c r="G149" i="3"/>
  <c r="D149" i="3"/>
  <c r="J149" i="3"/>
  <c r="S149" i="3"/>
  <c r="H150" i="3"/>
  <c r="Q150" i="3"/>
  <c r="G150" i="3"/>
  <c r="D150" i="3"/>
  <c r="J150" i="3"/>
  <c r="S150" i="3"/>
  <c r="H151" i="3"/>
  <c r="Q151" i="3"/>
  <c r="G151" i="3"/>
  <c r="D151" i="3"/>
  <c r="J151" i="3"/>
  <c r="S151" i="3"/>
  <c r="U152" i="3"/>
  <c r="H153" i="3"/>
  <c r="Q153" i="3"/>
  <c r="G153" i="3"/>
  <c r="D153" i="3"/>
  <c r="J153" i="3"/>
  <c r="S153" i="3"/>
  <c r="H154" i="3"/>
  <c r="Q154" i="3"/>
  <c r="G154" i="3"/>
  <c r="D154" i="3"/>
  <c r="J154" i="3"/>
  <c r="S154" i="3"/>
  <c r="H155" i="3"/>
  <c r="Q155" i="3"/>
  <c r="G155" i="3"/>
  <c r="D155" i="3"/>
  <c r="J155" i="3"/>
  <c r="S155" i="3"/>
  <c r="H156" i="3"/>
  <c r="Q156" i="3"/>
  <c r="G156" i="3"/>
  <c r="D156" i="3"/>
  <c r="J156" i="3"/>
  <c r="S156" i="3"/>
  <c r="H157" i="3"/>
  <c r="Q157" i="3"/>
  <c r="G157" i="3"/>
  <c r="D157" i="3"/>
  <c r="J157" i="3"/>
  <c r="S157" i="3"/>
  <c r="H158" i="3"/>
  <c r="Q158" i="3"/>
  <c r="G158" i="3"/>
  <c r="D158" i="3"/>
  <c r="J158" i="3"/>
  <c r="S158" i="3"/>
  <c r="H159" i="3"/>
  <c r="Q159" i="3"/>
  <c r="G159" i="3"/>
  <c r="D159" i="3"/>
  <c r="J159" i="3"/>
  <c r="S159" i="3"/>
  <c r="U160" i="3"/>
  <c r="H161" i="3"/>
  <c r="Q161" i="3"/>
  <c r="G161" i="3"/>
  <c r="D161" i="3"/>
  <c r="J161" i="3"/>
  <c r="S161" i="3"/>
  <c r="U161" i="3"/>
  <c r="H185" i="3"/>
  <c r="Q185" i="3"/>
  <c r="G185" i="3"/>
  <c r="D185" i="3"/>
  <c r="J185" i="3"/>
  <c r="S185" i="3"/>
  <c r="H186" i="3"/>
  <c r="Q186" i="3"/>
  <c r="G186" i="3"/>
  <c r="D186" i="3"/>
  <c r="J186" i="3"/>
  <c r="S186" i="3"/>
  <c r="H187" i="3"/>
  <c r="Q187" i="3"/>
  <c r="G187" i="3"/>
  <c r="D187" i="3"/>
  <c r="J187" i="3"/>
  <c r="S187" i="3"/>
  <c r="U188" i="3"/>
  <c r="Y9" i="3"/>
  <c r="AA9" i="3"/>
  <c r="H35" i="3"/>
  <c r="Q35" i="3"/>
  <c r="G35" i="3"/>
  <c r="D35" i="3"/>
  <c r="J35" i="3"/>
  <c r="S35" i="3"/>
  <c r="H36" i="3"/>
  <c r="Q36" i="3"/>
  <c r="G36" i="3"/>
  <c r="D36" i="3"/>
  <c r="J36" i="3"/>
  <c r="S36" i="3"/>
  <c r="H37" i="3"/>
  <c r="Q37" i="3"/>
  <c r="G37" i="3"/>
  <c r="D37" i="3"/>
  <c r="J37" i="3"/>
  <c r="S37" i="3"/>
  <c r="H38" i="3"/>
  <c r="Q38" i="3"/>
  <c r="G38" i="3"/>
  <c r="D38" i="3"/>
  <c r="J38" i="3"/>
  <c r="S38" i="3"/>
  <c r="H39" i="3"/>
  <c r="Q39" i="3"/>
  <c r="G39" i="3"/>
  <c r="D39" i="3"/>
  <c r="J39" i="3"/>
  <c r="S39" i="3"/>
  <c r="H40" i="3"/>
  <c r="Q40" i="3"/>
  <c r="G40" i="3"/>
  <c r="D40" i="3"/>
  <c r="J40" i="3"/>
  <c r="S40" i="3"/>
  <c r="U41" i="3"/>
  <c r="H43" i="3"/>
  <c r="Q43" i="3"/>
  <c r="G43" i="3"/>
  <c r="D43" i="3"/>
  <c r="J43" i="3"/>
  <c r="S43" i="3"/>
  <c r="H44" i="3"/>
  <c r="Q44" i="3"/>
  <c r="G44" i="3"/>
  <c r="D44" i="3"/>
  <c r="J44" i="3"/>
  <c r="S44" i="3"/>
  <c r="H45" i="3"/>
  <c r="Q45" i="3"/>
  <c r="G45" i="3"/>
  <c r="D45" i="3"/>
  <c r="J45" i="3"/>
  <c r="S45" i="3"/>
  <c r="H46" i="3"/>
  <c r="Q46" i="3"/>
  <c r="G46" i="3"/>
  <c r="D46" i="3"/>
  <c r="J46" i="3"/>
  <c r="S46" i="3"/>
  <c r="H47" i="3"/>
  <c r="Q47" i="3"/>
  <c r="G47" i="3"/>
  <c r="D47" i="3"/>
  <c r="J47" i="3"/>
  <c r="S47" i="3"/>
  <c r="H48" i="3"/>
  <c r="Q48" i="3"/>
  <c r="G48" i="3"/>
  <c r="D48" i="3"/>
  <c r="J48" i="3"/>
  <c r="S48" i="3"/>
  <c r="H49" i="3"/>
  <c r="Q49" i="3"/>
  <c r="G49" i="3"/>
  <c r="D49" i="3"/>
  <c r="J49" i="3"/>
  <c r="S49" i="3"/>
  <c r="U50" i="3"/>
  <c r="F51" i="3"/>
  <c r="H51" i="3"/>
  <c r="Q51" i="3"/>
  <c r="E51" i="3"/>
  <c r="G51" i="3"/>
  <c r="D51" i="3"/>
  <c r="J51" i="3"/>
  <c r="S51" i="3"/>
  <c r="F52" i="3"/>
  <c r="H52" i="3"/>
  <c r="Q52" i="3"/>
  <c r="E52" i="3"/>
  <c r="G52" i="3"/>
  <c r="D52" i="3"/>
  <c r="J52" i="3"/>
  <c r="S52" i="3"/>
  <c r="H53" i="3"/>
  <c r="Q53" i="3"/>
  <c r="E53" i="3"/>
  <c r="G53" i="3"/>
  <c r="D53" i="3"/>
  <c r="J53" i="3"/>
  <c r="S53" i="3"/>
  <c r="H54" i="3"/>
  <c r="Q54" i="3"/>
  <c r="G54" i="3"/>
  <c r="D54" i="3"/>
  <c r="J54" i="3"/>
  <c r="S54" i="3"/>
  <c r="H55" i="3"/>
  <c r="Q55" i="3"/>
  <c r="G55" i="3"/>
  <c r="D55" i="3"/>
  <c r="J55" i="3"/>
  <c r="S55" i="3"/>
  <c r="U56" i="3"/>
  <c r="H57" i="3"/>
  <c r="Q57" i="3"/>
  <c r="G57" i="3"/>
  <c r="D57" i="3"/>
  <c r="J57" i="3"/>
  <c r="S57" i="3"/>
  <c r="H58" i="3"/>
  <c r="Q58" i="3"/>
  <c r="G58" i="3"/>
  <c r="D58" i="3"/>
  <c r="J58" i="3"/>
  <c r="S58" i="3"/>
  <c r="H59" i="3"/>
  <c r="Q59" i="3"/>
  <c r="G59" i="3"/>
  <c r="D59" i="3"/>
  <c r="J59" i="3"/>
  <c r="S59" i="3"/>
  <c r="H60" i="3"/>
  <c r="Q60" i="3"/>
  <c r="G60" i="3"/>
  <c r="J60" i="3"/>
  <c r="S60" i="3"/>
  <c r="H61" i="3"/>
  <c r="Q61" i="3"/>
  <c r="G61" i="3"/>
  <c r="D61" i="3"/>
  <c r="J61" i="3"/>
  <c r="S61" i="3"/>
  <c r="H62" i="3"/>
  <c r="Q62" i="3"/>
  <c r="G62" i="3"/>
  <c r="D62" i="3"/>
  <c r="J62" i="3"/>
  <c r="S62" i="3"/>
  <c r="H63" i="3"/>
  <c r="Q63" i="3"/>
  <c r="G63" i="3"/>
  <c r="D63" i="3"/>
  <c r="J63" i="3"/>
  <c r="S63" i="3"/>
  <c r="U64" i="3"/>
  <c r="H65" i="3"/>
  <c r="Q65" i="3"/>
  <c r="U65" i="3"/>
  <c r="H73" i="3"/>
  <c r="Q73" i="3"/>
  <c r="G73" i="3"/>
  <c r="D73" i="3"/>
  <c r="J73" i="3"/>
  <c r="S73" i="3"/>
  <c r="H74" i="3"/>
  <c r="Q74" i="3"/>
  <c r="G74" i="3"/>
  <c r="D74" i="3"/>
  <c r="J74" i="3"/>
  <c r="S74" i="3"/>
  <c r="F75" i="3"/>
  <c r="H75" i="3"/>
  <c r="Q75" i="3"/>
  <c r="E75" i="3"/>
  <c r="G75" i="3"/>
  <c r="J75" i="3"/>
  <c r="S75" i="3"/>
  <c r="F76" i="3"/>
  <c r="H76" i="3"/>
  <c r="Q76" i="3"/>
  <c r="E76" i="3"/>
  <c r="G76" i="3"/>
  <c r="D76" i="3"/>
  <c r="J76" i="3"/>
  <c r="S76" i="3"/>
  <c r="F77" i="3"/>
  <c r="H77" i="3"/>
  <c r="Q77" i="3"/>
  <c r="E77" i="3"/>
  <c r="G77" i="3"/>
  <c r="D77" i="3"/>
  <c r="J77" i="3"/>
  <c r="S77" i="3"/>
  <c r="F78" i="3"/>
  <c r="H78" i="3"/>
  <c r="Q78" i="3"/>
  <c r="E78" i="3"/>
  <c r="G78" i="3"/>
  <c r="D78" i="3"/>
  <c r="J78" i="3"/>
  <c r="S78" i="3"/>
  <c r="F79" i="3"/>
  <c r="H79" i="3"/>
  <c r="Q79" i="3"/>
  <c r="E79" i="3"/>
  <c r="G79" i="3"/>
  <c r="J79" i="3"/>
  <c r="S79" i="3"/>
  <c r="U80" i="3"/>
  <c r="H81" i="3"/>
  <c r="Q81" i="3"/>
  <c r="G81" i="3"/>
  <c r="J81" i="3"/>
  <c r="S81" i="3"/>
  <c r="H82" i="3"/>
  <c r="Q82" i="3"/>
  <c r="G82" i="3"/>
  <c r="J82" i="3"/>
  <c r="S82" i="3"/>
  <c r="H83" i="3"/>
  <c r="Q83" i="3"/>
  <c r="G83" i="3"/>
  <c r="J83" i="3"/>
  <c r="S83" i="3"/>
  <c r="H84" i="3"/>
  <c r="Q84" i="3"/>
  <c r="G84" i="3"/>
  <c r="J84" i="3"/>
  <c r="S84" i="3"/>
  <c r="H85" i="3"/>
  <c r="Q85" i="3"/>
  <c r="G85" i="3"/>
  <c r="D85" i="3"/>
  <c r="J85" i="3"/>
  <c r="S85" i="3"/>
  <c r="H86" i="3"/>
  <c r="Q86" i="3"/>
  <c r="G86" i="3"/>
  <c r="J86" i="3"/>
  <c r="S86" i="3"/>
  <c r="U87" i="3"/>
  <c r="H89" i="3"/>
  <c r="Q89" i="3"/>
  <c r="G89" i="3"/>
  <c r="D89" i="3"/>
  <c r="J89" i="3"/>
  <c r="S89" i="3"/>
  <c r="H90" i="3"/>
  <c r="Q90" i="3"/>
  <c r="G90" i="3"/>
  <c r="D90" i="3"/>
  <c r="J90" i="3"/>
  <c r="S90" i="3"/>
  <c r="U91" i="3"/>
  <c r="Y5" i="3"/>
  <c r="AA5" i="3"/>
  <c r="H136" i="3"/>
  <c r="G136" i="3"/>
  <c r="D136" i="3"/>
  <c r="F117" i="3"/>
  <c r="H117" i="3"/>
  <c r="E117" i="3"/>
  <c r="G117" i="3"/>
  <c r="H93" i="3"/>
  <c r="G93" i="3"/>
  <c r="G67" i="3"/>
  <c r="H67" i="3"/>
  <c r="E68" i="3"/>
  <c r="G68" i="3"/>
  <c r="F68" i="3"/>
  <c r="H68" i="3"/>
  <c r="E69" i="3"/>
  <c r="G69" i="3"/>
  <c r="F69" i="3"/>
  <c r="H69" i="3"/>
  <c r="E70" i="3"/>
  <c r="G70" i="3"/>
  <c r="F70" i="3"/>
  <c r="H70" i="3"/>
  <c r="F66" i="3"/>
  <c r="H66" i="3"/>
  <c r="E66" i="3"/>
  <c r="G66" i="3"/>
  <c r="G65" i="3"/>
  <c r="H42" i="3"/>
  <c r="G42" i="3"/>
  <c r="H32" i="3"/>
  <c r="G33" i="3"/>
  <c r="H33" i="3"/>
  <c r="H31" i="3"/>
  <c r="G31" i="3"/>
  <c r="F24" i="3"/>
  <c r="H24" i="3"/>
  <c r="E24" i="3"/>
  <c r="G24" i="3"/>
  <c r="H3" i="3"/>
  <c r="G3" i="3"/>
  <c r="J65" i="1"/>
  <c r="I65" i="1"/>
  <c r="L175" i="2"/>
  <c r="L117" i="2"/>
  <c r="L136" i="2"/>
  <c r="L144" i="2"/>
  <c r="L152" i="2"/>
  <c r="L160" i="2"/>
  <c r="L161" i="2"/>
  <c r="L183" i="2"/>
  <c r="L185" i="2"/>
  <c r="L186" i="2"/>
  <c r="L187" i="2"/>
  <c r="L188" i="2"/>
  <c r="U13" i="2"/>
  <c r="M136" i="2"/>
  <c r="M175" i="2"/>
  <c r="M117" i="2"/>
  <c r="M144" i="2"/>
  <c r="M152" i="2"/>
  <c r="M160" i="2"/>
  <c r="M161" i="2"/>
  <c r="M183" i="2"/>
  <c r="M185" i="2"/>
  <c r="M186" i="2"/>
  <c r="M187" i="2"/>
  <c r="M188" i="2"/>
  <c r="V13" i="2"/>
  <c r="H65" i="2"/>
  <c r="G65" i="2"/>
  <c r="AA3" i="1"/>
  <c r="J4" i="1"/>
  <c r="I4" i="1"/>
  <c r="D4" i="1"/>
  <c r="L4" i="1"/>
  <c r="R4" i="1"/>
  <c r="J5" i="1"/>
  <c r="I5" i="1"/>
  <c r="D5" i="1"/>
  <c r="L5" i="1"/>
  <c r="R5" i="1"/>
  <c r="J6" i="1"/>
  <c r="I6" i="1"/>
  <c r="D6" i="1"/>
  <c r="L6" i="1"/>
  <c r="R6" i="1"/>
  <c r="J7" i="1"/>
  <c r="I7" i="1"/>
  <c r="D7" i="1"/>
  <c r="L7" i="1"/>
  <c r="R7" i="1"/>
  <c r="J8" i="1"/>
  <c r="I8" i="1"/>
  <c r="D8" i="1"/>
  <c r="L8" i="1"/>
  <c r="R8" i="1"/>
  <c r="T9" i="1"/>
  <c r="J10" i="1"/>
  <c r="I10" i="1"/>
  <c r="D10" i="1"/>
  <c r="L10" i="1"/>
  <c r="R10" i="1"/>
  <c r="J11" i="1"/>
  <c r="I11" i="1"/>
  <c r="D11" i="1"/>
  <c r="L11" i="1"/>
  <c r="R11" i="1"/>
  <c r="J12" i="1"/>
  <c r="I12" i="1"/>
  <c r="D12" i="1"/>
  <c r="L12" i="1"/>
  <c r="R12" i="1"/>
  <c r="J13" i="1"/>
  <c r="I13" i="1"/>
  <c r="D13" i="1"/>
  <c r="L13" i="1"/>
  <c r="R13" i="1"/>
  <c r="J14" i="1"/>
  <c r="I14" i="1"/>
  <c r="L14" i="1"/>
  <c r="R14" i="1"/>
  <c r="J15" i="1"/>
  <c r="I15" i="1"/>
  <c r="L15" i="1"/>
  <c r="R15" i="1"/>
  <c r="T16" i="1"/>
  <c r="J17" i="1"/>
  <c r="I17" i="1"/>
  <c r="D17" i="1"/>
  <c r="L17" i="1"/>
  <c r="R17" i="1"/>
  <c r="J18" i="1"/>
  <c r="I18" i="1"/>
  <c r="D18" i="1"/>
  <c r="L18" i="1"/>
  <c r="R18" i="1"/>
  <c r="J19" i="1"/>
  <c r="I19" i="1"/>
  <c r="D19" i="1"/>
  <c r="L19" i="1"/>
  <c r="R19" i="1"/>
  <c r="J20" i="1"/>
  <c r="I20" i="1"/>
  <c r="D20" i="1"/>
  <c r="L20" i="1"/>
  <c r="R20" i="1"/>
  <c r="J21" i="1"/>
  <c r="I21" i="1"/>
  <c r="D21" i="1"/>
  <c r="L21" i="1"/>
  <c r="R21" i="1"/>
  <c r="J22" i="1"/>
  <c r="I22" i="1"/>
  <c r="D22" i="1"/>
  <c r="L22" i="1"/>
  <c r="R22" i="1"/>
  <c r="T23" i="1"/>
  <c r="Y4" i="1"/>
  <c r="AA4" i="1"/>
  <c r="AA6" i="1"/>
  <c r="Z5" i="1"/>
  <c r="Z3" i="1"/>
  <c r="M4" i="1"/>
  <c r="Q4" i="1"/>
  <c r="M5" i="1"/>
  <c r="Q5" i="1"/>
  <c r="M6" i="1"/>
  <c r="Q6" i="1"/>
  <c r="M7" i="1"/>
  <c r="Q7" i="1"/>
  <c r="M8" i="1"/>
  <c r="Q8" i="1"/>
  <c r="S9" i="1"/>
  <c r="M10" i="1"/>
  <c r="Q10" i="1"/>
  <c r="M11" i="1"/>
  <c r="Q11" i="1"/>
  <c r="M12" i="1"/>
  <c r="Q12" i="1"/>
  <c r="M13" i="1"/>
  <c r="Q13" i="1"/>
  <c r="M14" i="1"/>
  <c r="Q14" i="1"/>
  <c r="M15" i="1"/>
  <c r="Q15" i="1"/>
  <c r="S16" i="1"/>
  <c r="M17" i="1"/>
  <c r="Q17" i="1"/>
  <c r="M18" i="1"/>
  <c r="Q18" i="1"/>
  <c r="M19" i="1"/>
  <c r="Q19" i="1"/>
  <c r="M20" i="1"/>
  <c r="Q20" i="1"/>
  <c r="M21" i="1"/>
  <c r="Q21" i="1"/>
  <c r="M22" i="1"/>
  <c r="Q22" i="1"/>
  <c r="S23" i="1"/>
  <c r="X4" i="1"/>
  <c r="Z4" i="1"/>
  <c r="Z6" i="1"/>
  <c r="D31" i="3"/>
  <c r="J31" i="3"/>
  <c r="Q31" i="3"/>
  <c r="S31" i="3"/>
  <c r="Q32" i="3"/>
  <c r="D32" i="3"/>
  <c r="J32" i="3"/>
  <c r="S32" i="3"/>
  <c r="Q33" i="3"/>
  <c r="D33" i="3"/>
  <c r="J33" i="3"/>
  <c r="S33" i="3"/>
  <c r="U34" i="3"/>
  <c r="D66" i="3"/>
  <c r="J66" i="3"/>
  <c r="Q66" i="3"/>
  <c r="S66" i="3"/>
  <c r="Q67" i="3"/>
  <c r="D67" i="3"/>
  <c r="J67" i="3"/>
  <c r="S67" i="3"/>
  <c r="Q68" i="3"/>
  <c r="D68" i="3"/>
  <c r="J68" i="3"/>
  <c r="S68" i="3"/>
  <c r="Q69" i="3"/>
  <c r="D69" i="3"/>
  <c r="J69" i="3"/>
  <c r="S69" i="3"/>
  <c r="Q70" i="3"/>
  <c r="D70" i="3"/>
  <c r="J70" i="3"/>
  <c r="S70" i="3"/>
  <c r="U71" i="3"/>
  <c r="AA3" i="3"/>
  <c r="Y4" i="3"/>
  <c r="AA4" i="3"/>
  <c r="AA6" i="3"/>
  <c r="X5" i="2"/>
  <c r="M42" i="2"/>
  <c r="M24" i="2"/>
  <c r="D65" i="2"/>
  <c r="K65" i="2"/>
  <c r="M65" i="2"/>
  <c r="M41" i="2"/>
  <c r="M50" i="2"/>
  <c r="M56" i="2"/>
  <c r="M64" i="2"/>
  <c r="M80" i="2"/>
  <c r="M87" i="2"/>
  <c r="M91" i="2"/>
  <c r="V14" i="2"/>
  <c r="L42" i="2"/>
  <c r="L24" i="2"/>
  <c r="J65" i="2"/>
  <c r="L65" i="2"/>
  <c r="L41" i="2"/>
  <c r="L50" i="2"/>
  <c r="L56" i="2"/>
  <c r="L64" i="2"/>
  <c r="L80" i="2"/>
  <c r="L87" i="2"/>
  <c r="L91" i="2"/>
  <c r="U14" i="2"/>
  <c r="Y5" i="2"/>
  <c r="Y3" i="2"/>
  <c r="H4" i="2"/>
  <c r="G4" i="2"/>
  <c r="D4" i="2"/>
  <c r="J4" i="2"/>
  <c r="P4" i="2"/>
  <c r="H5" i="2"/>
  <c r="G5" i="2"/>
  <c r="D5" i="2"/>
  <c r="J5" i="2"/>
  <c r="P5" i="2"/>
  <c r="H6" i="2"/>
  <c r="G6" i="2"/>
  <c r="D6" i="2"/>
  <c r="J6" i="2"/>
  <c r="P6" i="2"/>
  <c r="H7" i="2"/>
  <c r="G7" i="2"/>
  <c r="D7" i="2"/>
  <c r="J7" i="2"/>
  <c r="P7" i="2"/>
  <c r="H8" i="2"/>
  <c r="G8" i="2"/>
  <c r="D8" i="2"/>
  <c r="J8" i="2"/>
  <c r="P8" i="2"/>
  <c r="R9" i="2"/>
  <c r="H10" i="2"/>
  <c r="G10" i="2"/>
  <c r="D10" i="2"/>
  <c r="J10" i="2"/>
  <c r="P10" i="2"/>
  <c r="H11" i="2"/>
  <c r="G11" i="2"/>
  <c r="D11" i="2"/>
  <c r="J11" i="2"/>
  <c r="P11" i="2"/>
  <c r="H12" i="2"/>
  <c r="G12" i="2"/>
  <c r="D12" i="2"/>
  <c r="J12" i="2"/>
  <c r="P12" i="2"/>
  <c r="H13" i="2"/>
  <c r="G13" i="2"/>
  <c r="D13" i="2"/>
  <c r="J13" i="2"/>
  <c r="P13" i="2"/>
  <c r="H14" i="2"/>
  <c r="G14" i="2"/>
  <c r="J14" i="2"/>
  <c r="P14" i="2"/>
  <c r="H15" i="2"/>
  <c r="G15" i="2"/>
  <c r="J15" i="2"/>
  <c r="P15" i="2"/>
  <c r="R16" i="2"/>
  <c r="H17" i="2"/>
  <c r="G17" i="2"/>
  <c r="D17" i="2"/>
  <c r="J17" i="2"/>
  <c r="P17" i="2"/>
  <c r="H18" i="2"/>
  <c r="G18" i="2"/>
  <c r="D18" i="2"/>
  <c r="J18" i="2"/>
  <c r="P18" i="2"/>
  <c r="H19" i="2"/>
  <c r="G19" i="2"/>
  <c r="D19" i="2"/>
  <c r="J19" i="2"/>
  <c r="P19" i="2"/>
  <c r="H20" i="2"/>
  <c r="G20" i="2"/>
  <c r="D20" i="2"/>
  <c r="J20" i="2"/>
  <c r="P20" i="2"/>
  <c r="H21" i="2"/>
  <c r="G21" i="2"/>
  <c r="D21" i="2"/>
  <c r="J21" i="2"/>
  <c r="P21" i="2"/>
  <c r="H22" i="2"/>
  <c r="G22" i="2"/>
  <c r="D22" i="2"/>
  <c r="J22" i="2"/>
  <c r="P22" i="2"/>
  <c r="R23" i="2"/>
  <c r="W4" i="2"/>
  <c r="Y4" i="2"/>
  <c r="Y6" i="2"/>
  <c r="K4" i="2"/>
  <c r="O4" i="2"/>
  <c r="K5" i="2"/>
  <c r="O5" i="2"/>
  <c r="K6" i="2"/>
  <c r="O6" i="2"/>
  <c r="K7" i="2"/>
  <c r="O7" i="2"/>
  <c r="K8" i="2"/>
  <c r="O8" i="2"/>
  <c r="Q9" i="2"/>
  <c r="K10" i="2"/>
  <c r="O10" i="2"/>
  <c r="K11" i="2"/>
  <c r="O11" i="2"/>
  <c r="K12" i="2"/>
  <c r="O12" i="2"/>
  <c r="K13" i="2"/>
  <c r="O13" i="2"/>
  <c r="K14" i="2"/>
  <c r="O14" i="2"/>
  <c r="K15" i="2"/>
  <c r="O15" i="2"/>
  <c r="Q16" i="2"/>
  <c r="K17" i="2"/>
  <c r="O17" i="2"/>
  <c r="K18" i="2"/>
  <c r="O18" i="2"/>
  <c r="K19" i="2"/>
  <c r="O19" i="2"/>
  <c r="K20" i="2"/>
  <c r="O20" i="2"/>
  <c r="K21" i="2"/>
  <c r="O21" i="2"/>
  <c r="K22" i="2"/>
  <c r="O22" i="2"/>
  <c r="Q23" i="2"/>
  <c r="V4" i="2"/>
  <c r="X4" i="2"/>
  <c r="X6" i="2"/>
  <c r="P26" i="3"/>
  <c r="K26" i="3"/>
  <c r="R26" i="3"/>
  <c r="P27" i="3"/>
  <c r="K27" i="3"/>
  <c r="R27" i="3"/>
  <c r="P28" i="3"/>
  <c r="K28" i="3"/>
  <c r="R28" i="3"/>
  <c r="P29" i="3"/>
  <c r="K29" i="3"/>
  <c r="R29" i="3"/>
  <c r="T30" i="3"/>
  <c r="P31" i="3"/>
  <c r="K31" i="3"/>
  <c r="R31" i="3"/>
  <c r="K32" i="3"/>
  <c r="R32" i="3"/>
  <c r="P33" i="3"/>
  <c r="K33" i="3"/>
  <c r="R33" i="3"/>
  <c r="T34" i="3"/>
  <c r="P66" i="3"/>
  <c r="K66" i="3"/>
  <c r="R66" i="3"/>
  <c r="P67" i="3"/>
  <c r="K67" i="3"/>
  <c r="R67" i="3"/>
  <c r="P68" i="3"/>
  <c r="K68" i="3"/>
  <c r="R68" i="3"/>
  <c r="P69" i="3"/>
  <c r="K69" i="3"/>
  <c r="R69" i="3"/>
  <c r="P70" i="3"/>
  <c r="K70" i="3"/>
  <c r="R70" i="3"/>
  <c r="T71" i="3"/>
  <c r="AB3" i="3"/>
  <c r="P65" i="3"/>
  <c r="T65" i="3"/>
  <c r="P35" i="3"/>
  <c r="K35" i="3"/>
  <c r="R35" i="3"/>
  <c r="P36" i="3"/>
  <c r="K36" i="3"/>
  <c r="R36" i="3"/>
  <c r="P37" i="3"/>
  <c r="K37" i="3"/>
  <c r="R37" i="3"/>
  <c r="P38" i="3"/>
  <c r="K38" i="3"/>
  <c r="R38" i="3"/>
  <c r="P39" i="3"/>
  <c r="K39" i="3"/>
  <c r="R39" i="3"/>
  <c r="P40" i="3"/>
  <c r="K40" i="3"/>
  <c r="R40" i="3"/>
  <c r="T41" i="3"/>
  <c r="P43" i="3"/>
  <c r="K43" i="3"/>
  <c r="R43" i="3"/>
  <c r="P44" i="3"/>
  <c r="K44" i="3"/>
  <c r="R44" i="3"/>
  <c r="P45" i="3"/>
  <c r="K45" i="3"/>
  <c r="R45" i="3"/>
  <c r="P46" i="3"/>
  <c r="K46" i="3"/>
  <c r="R46" i="3"/>
  <c r="P47" i="3"/>
  <c r="K47" i="3"/>
  <c r="R47" i="3"/>
  <c r="P48" i="3"/>
  <c r="K48" i="3"/>
  <c r="R48" i="3"/>
  <c r="P49" i="3"/>
  <c r="K49" i="3"/>
  <c r="R49" i="3"/>
  <c r="T50" i="3"/>
  <c r="P51" i="3"/>
  <c r="K51" i="3"/>
  <c r="R51" i="3"/>
  <c r="P52" i="3"/>
  <c r="K52" i="3"/>
  <c r="R52" i="3"/>
  <c r="P53" i="3"/>
  <c r="K53" i="3"/>
  <c r="R53" i="3"/>
  <c r="P54" i="3"/>
  <c r="K54" i="3"/>
  <c r="R54" i="3"/>
  <c r="P55" i="3"/>
  <c r="K55" i="3"/>
  <c r="R55" i="3"/>
  <c r="T56" i="3"/>
  <c r="P57" i="3"/>
  <c r="K57" i="3"/>
  <c r="R57" i="3"/>
  <c r="P58" i="3"/>
  <c r="K58" i="3"/>
  <c r="R58" i="3"/>
  <c r="P59" i="3"/>
  <c r="K59" i="3"/>
  <c r="R59" i="3"/>
  <c r="P60" i="3"/>
  <c r="K60" i="3"/>
  <c r="R60" i="3"/>
  <c r="P61" i="3"/>
  <c r="K61" i="3"/>
  <c r="R61" i="3"/>
  <c r="P62" i="3"/>
  <c r="K62" i="3"/>
  <c r="R62" i="3"/>
  <c r="P63" i="3"/>
  <c r="K63" i="3"/>
  <c r="R63" i="3"/>
  <c r="T64" i="3"/>
  <c r="P73" i="3"/>
  <c r="K73" i="3"/>
  <c r="R73" i="3"/>
  <c r="P74" i="3"/>
  <c r="K74" i="3"/>
  <c r="R74" i="3"/>
  <c r="P75" i="3"/>
  <c r="K75" i="3"/>
  <c r="R75" i="3"/>
  <c r="P76" i="3"/>
  <c r="K76" i="3"/>
  <c r="R76" i="3"/>
  <c r="P77" i="3"/>
  <c r="K77" i="3"/>
  <c r="R77" i="3"/>
  <c r="P78" i="3"/>
  <c r="K78" i="3"/>
  <c r="R78" i="3"/>
  <c r="P79" i="3"/>
  <c r="K79" i="3"/>
  <c r="R79" i="3"/>
  <c r="T80" i="3"/>
  <c r="P81" i="3"/>
  <c r="K81" i="3"/>
  <c r="R81" i="3"/>
  <c r="P82" i="3"/>
  <c r="K82" i="3"/>
  <c r="R82" i="3"/>
  <c r="P83" i="3"/>
  <c r="K83" i="3"/>
  <c r="R83" i="3"/>
  <c r="P84" i="3"/>
  <c r="K84" i="3"/>
  <c r="R84" i="3"/>
  <c r="P85" i="3"/>
  <c r="K85" i="3"/>
  <c r="R85" i="3"/>
  <c r="P86" i="3"/>
  <c r="K86" i="3"/>
  <c r="R86" i="3"/>
  <c r="T87" i="3"/>
  <c r="P89" i="3"/>
  <c r="K89" i="3"/>
  <c r="R89" i="3"/>
  <c r="P90" i="3"/>
  <c r="K90" i="3"/>
  <c r="R90" i="3"/>
  <c r="T91" i="3"/>
  <c r="Z5" i="3"/>
  <c r="AB5" i="3"/>
  <c r="K4" i="3"/>
  <c r="R4" i="3"/>
  <c r="K5" i="3"/>
  <c r="R5" i="3"/>
  <c r="K6" i="3"/>
  <c r="R6" i="3"/>
  <c r="P7" i="3"/>
  <c r="K7" i="3"/>
  <c r="R7" i="3"/>
  <c r="P8" i="3"/>
  <c r="K8" i="3"/>
  <c r="R8" i="3"/>
  <c r="K10" i="3"/>
  <c r="R10" i="3"/>
  <c r="K11" i="3"/>
  <c r="R11" i="3"/>
  <c r="K12" i="3"/>
  <c r="R12" i="3"/>
  <c r="K13" i="3"/>
  <c r="R13" i="3"/>
  <c r="K14" i="3"/>
  <c r="R14" i="3"/>
  <c r="P15" i="3"/>
  <c r="K15" i="3"/>
  <c r="R15" i="3"/>
  <c r="T16" i="3"/>
  <c r="K17" i="3"/>
  <c r="R17" i="3"/>
  <c r="K18" i="3"/>
  <c r="R18" i="3"/>
  <c r="K19" i="3"/>
  <c r="R19" i="3"/>
  <c r="K20" i="3"/>
  <c r="R20" i="3"/>
  <c r="K21" i="3"/>
  <c r="R21" i="3"/>
  <c r="P22" i="3"/>
  <c r="K22" i="3"/>
  <c r="R22" i="3"/>
  <c r="T23" i="3"/>
  <c r="Z4" i="3"/>
  <c r="AB4" i="3"/>
  <c r="AB6" i="3"/>
  <c r="K124" i="3"/>
  <c r="R124" i="3"/>
  <c r="K125" i="3"/>
  <c r="R125" i="3"/>
  <c r="K126" i="3"/>
  <c r="R126" i="3"/>
  <c r="K127" i="3"/>
  <c r="R127" i="3"/>
  <c r="T128" i="3"/>
  <c r="P162" i="3"/>
  <c r="K162" i="3"/>
  <c r="R162" i="3"/>
  <c r="P163" i="3"/>
  <c r="K163" i="3"/>
  <c r="R163" i="3"/>
  <c r="P164" i="3"/>
  <c r="K164" i="3"/>
  <c r="R164" i="3"/>
  <c r="P165" i="3"/>
  <c r="K165" i="3"/>
  <c r="R165" i="3"/>
  <c r="P166" i="3"/>
  <c r="K166" i="3"/>
  <c r="R166" i="3"/>
  <c r="T167" i="3"/>
  <c r="Z7" i="3"/>
  <c r="AB7" i="3"/>
  <c r="P161" i="3"/>
  <c r="K161" i="3"/>
  <c r="R161" i="3"/>
  <c r="T161" i="3"/>
  <c r="P129" i="3"/>
  <c r="K129" i="3"/>
  <c r="R129" i="3"/>
  <c r="P130" i="3"/>
  <c r="K130" i="3"/>
  <c r="R130" i="3"/>
  <c r="P131" i="3"/>
  <c r="K131" i="3"/>
  <c r="R131" i="3"/>
  <c r="P132" i="3"/>
  <c r="K132" i="3"/>
  <c r="R132" i="3"/>
  <c r="P133" i="3"/>
  <c r="K133" i="3"/>
  <c r="R133" i="3"/>
  <c r="P134" i="3"/>
  <c r="K134" i="3"/>
  <c r="R134" i="3"/>
  <c r="T135" i="3"/>
  <c r="P137" i="3"/>
  <c r="K137" i="3"/>
  <c r="R137" i="3"/>
  <c r="P138" i="3"/>
  <c r="K138" i="3"/>
  <c r="R138" i="3"/>
  <c r="P139" i="3"/>
  <c r="K139" i="3"/>
  <c r="R139" i="3"/>
  <c r="P140" i="3"/>
  <c r="K140" i="3"/>
  <c r="R140" i="3"/>
  <c r="P141" i="3"/>
  <c r="K141" i="3"/>
  <c r="R141" i="3"/>
  <c r="P142" i="3"/>
  <c r="K142" i="3"/>
  <c r="R142" i="3"/>
  <c r="P143" i="3"/>
  <c r="K143" i="3"/>
  <c r="R143" i="3"/>
  <c r="T144" i="3"/>
  <c r="P145" i="3"/>
  <c r="K145" i="3"/>
  <c r="R145" i="3"/>
  <c r="P146" i="3"/>
  <c r="K146" i="3"/>
  <c r="R146" i="3"/>
  <c r="P147" i="3"/>
  <c r="K147" i="3"/>
  <c r="R147" i="3"/>
  <c r="P148" i="3"/>
  <c r="K148" i="3"/>
  <c r="R148" i="3"/>
  <c r="P149" i="3"/>
  <c r="K149" i="3"/>
  <c r="R149" i="3"/>
  <c r="P150" i="3"/>
  <c r="K150" i="3"/>
  <c r="R150" i="3"/>
  <c r="P151" i="3"/>
  <c r="K151" i="3"/>
  <c r="R151" i="3"/>
  <c r="T152" i="3"/>
  <c r="P153" i="3"/>
  <c r="K153" i="3"/>
  <c r="R153" i="3"/>
  <c r="P154" i="3"/>
  <c r="K154" i="3"/>
  <c r="R154" i="3"/>
  <c r="P155" i="3"/>
  <c r="K155" i="3"/>
  <c r="R155" i="3"/>
  <c r="P156" i="3"/>
  <c r="K156" i="3"/>
  <c r="R156" i="3"/>
  <c r="P157" i="3"/>
  <c r="K157" i="3"/>
  <c r="R157" i="3"/>
  <c r="P158" i="3"/>
  <c r="K158" i="3"/>
  <c r="R158" i="3"/>
  <c r="P159" i="3"/>
  <c r="K159" i="3"/>
  <c r="R159" i="3"/>
  <c r="T160" i="3"/>
  <c r="P185" i="3"/>
  <c r="K185" i="3"/>
  <c r="R185" i="3"/>
  <c r="P186" i="3"/>
  <c r="K186" i="3"/>
  <c r="R186" i="3"/>
  <c r="P187" i="3"/>
  <c r="K187" i="3"/>
  <c r="R187" i="3"/>
  <c r="T188" i="3"/>
  <c r="Z9" i="3"/>
  <c r="AB9" i="3"/>
  <c r="K94" i="3"/>
  <c r="R94" i="3"/>
  <c r="D95" i="3"/>
  <c r="K95" i="3"/>
  <c r="R95" i="3"/>
  <c r="D96" i="3"/>
  <c r="K96" i="3"/>
  <c r="R96" i="3"/>
  <c r="D97" i="3"/>
  <c r="K97" i="3"/>
  <c r="R97" i="3"/>
  <c r="H98" i="3"/>
  <c r="D98" i="3"/>
  <c r="K98" i="3"/>
  <c r="G98" i="3"/>
  <c r="P98" i="3"/>
  <c r="R98" i="3"/>
  <c r="H99" i="3"/>
  <c r="K99" i="3"/>
  <c r="G99" i="3"/>
  <c r="P99" i="3"/>
  <c r="R99" i="3"/>
  <c r="T100" i="3"/>
  <c r="G101" i="3"/>
  <c r="P101" i="3"/>
  <c r="H101" i="3"/>
  <c r="D101" i="3"/>
  <c r="K101" i="3"/>
  <c r="R101" i="3"/>
  <c r="G102" i="3"/>
  <c r="P102" i="3"/>
  <c r="H102" i="3"/>
  <c r="D102" i="3"/>
  <c r="K102" i="3"/>
  <c r="R102" i="3"/>
  <c r="G103" i="3"/>
  <c r="P103" i="3"/>
  <c r="H103" i="3"/>
  <c r="D103" i="3"/>
  <c r="K103" i="3"/>
  <c r="R103" i="3"/>
  <c r="G104" i="3"/>
  <c r="P104" i="3"/>
  <c r="H104" i="3"/>
  <c r="D104" i="3"/>
  <c r="K104" i="3"/>
  <c r="R104" i="3"/>
  <c r="G105" i="3"/>
  <c r="P105" i="3"/>
  <c r="H105" i="3"/>
  <c r="D105" i="3"/>
  <c r="K105" i="3"/>
  <c r="R105" i="3"/>
  <c r="G106" i="3"/>
  <c r="P106" i="3"/>
  <c r="H106" i="3"/>
  <c r="K106" i="3"/>
  <c r="R106" i="3"/>
  <c r="G107" i="3"/>
  <c r="P107" i="3"/>
  <c r="H107" i="3"/>
  <c r="K107" i="3"/>
  <c r="R107" i="3"/>
  <c r="T108" i="3"/>
  <c r="G109" i="3"/>
  <c r="P109" i="3"/>
  <c r="H109" i="3"/>
  <c r="K109" i="3"/>
  <c r="R109" i="3"/>
  <c r="G110" i="3"/>
  <c r="P110" i="3"/>
  <c r="H110" i="3"/>
  <c r="D110" i="3"/>
  <c r="K110" i="3"/>
  <c r="R110" i="3"/>
  <c r="G111" i="3"/>
  <c r="P111" i="3"/>
  <c r="H111" i="3"/>
  <c r="D111" i="3"/>
  <c r="K111" i="3"/>
  <c r="R111" i="3"/>
  <c r="G112" i="3"/>
  <c r="P112" i="3"/>
  <c r="H112" i="3"/>
  <c r="K112" i="3"/>
  <c r="R112" i="3"/>
  <c r="G113" i="3"/>
  <c r="P113" i="3"/>
  <c r="H113" i="3"/>
  <c r="K113" i="3"/>
  <c r="R113" i="3"/>
  <c r="H114" i="3"/>
  <c r="K114" i="3"/>
  <c r="R114" i="3"/>
  <c r="G115" i="3"/>
  <c r="P115" i="3"/>
  <c r="H115" i="3"/>
  <c r="K115" i="3"/>
  <c r="R115" i="3"/>
  <c r="T116" i="3"/>
  <c r="Z8" i="3"/>
  <c r="AB8" i="3"/>
  <c r="AB10" i="3"/>
  <c r="AA7" i="3"/>
  <c r="J94" i="3"/>
  <c r="S94" i="3"/>
  <c r="J95" i="3"/>
  <c r="S95" i="3"/>
  <c r="J96" i="3"/>
  <c r="S96" i="3"/>
  <c r="J97" i="3"/>
  <c r="S97" i="3"/>
  <c r="J98" i="3"/>
  <c r="Q98" i="3"/>
  <c r="S98" i="3"/>
  <c r="J99" i="3"/>
  <c r="Q99" i="3"/>
  <c r="S99" i="3"/>
  <c r="U100" i="3"/>
  <c r="Q101" i="3"/>
  <c r="J101" i="3"/>
  <c r="S101" i="3"/>
  <c r="Q102" i="3"/>
  <c r="J102" i="3"/>
  <c r="S102" i="3"/>
  <c r="Q103" i="3"/>
  <c r="J103" i="3"/>
  <c r="S103" i="3"/>
  <c r="Q104" i="3"/>
  <c r="J104" i="3"/>
  <c r="S104" i="3"/>
  <c r="Q105" i="3"/>
  <c r="J105" i="3"/>
  <c r="S105" i="3"/>
  <c r="Q106" i="3"/>
  <c r="J106" i="3"/>
  <c r="S106" i="3"/>
  <c r="Q107" i="3"/>
  <c r="J107" i="3"/>
  <c r="S107" i="3"/>
  <c r="U108" i="3"/>
  <c r="Q109" i="3"/>
  <c r="J109" i="3"/>
  <c r="S109" i="3"/>
  <c r="Q110" i="3"/>
  <c r="J110" i="3"/>
  <c r="S110" i="3"/>
  <c r="Q111" i="3"/>
  <c r="J111" i="3"/>
  <c r="S111" i="3"/>
  <c r="Q112" i="3"/>
  <c r="J112" i="3"/>
  <c r="S112" i="3"/>
  <c r="Q113" i="3"/>
  <c r="J113" i="3"/>
  <c r="S113" i="3"/>
  <c r="Q114" i="3"/>
  <c r="J114" i="3"/>
  <c r="S114" i="3"/>
  <c r="Q115" i="3"/>
  <c r="J115" i="3"/>
  <c r="S115" i="3"/>
  <c r="U116" i="3"/>
  <c r="Y8" i="3"/>
  <c r="AA8" i="3"/>
  <c r="AA10" i="3"/>
  <c r="Y9" i="2"/>
  <c r="Y7" i="2"/>
  <c r="H94" i="2"/>
  <c r="G94" i="2"/>
  <c r="J94" i="2"/>
  <c r="P94" i="2"/>
  <c r="H95" i="2"/>
  <c r="G95" i="2"/>
  <c r="D95" i="2"/>
  <c r="J95" i="2"/>
  <c r="P95" i="2"/>
  <c r="H96" i="2"/>
  <c r="G96" i="2"/>
  <c r="D96" i="2"/>
  <c r="J96" i="2"/>
  <c r="P96" i="2"/>
  <c r="H97" i="2"/>
  <c r="G97" i="2"/>
  <c r="D97" i="2"/>
  <c r="J97" i="2"/>
  <c r="P97" i="2"/>
  <c r="H98" i="2"/>
  <c r="G98" i="2"/>
  <c r="D98" i="2"/>
  <c r="J98" i="2"/>
  <c r="P98" i="2"/>
  <c r="H99" i="2"/>
  <c r="G99" i="2"/>
  <c r="J99" i="2"/>
  <c r="P99" i="2"/>
  <c r="R100" i="2"/>
  <c r="H101" i="2"/>
  <c r="G101" i="2"/>
  <c r="D101" i="2"/>
  <c r="J101" i="2"/>
  <c r="P101" i="2"/>
  <c r="H102" i="2"/>
  <c r="G102" i="2"/>
  <c r="D102" i="2"/>
  <c r="J102" i="2"/>
  <c r="P102" i="2"/>
  <c r="H103" i="2"/>
  <c r="G103" i="2"/>
  <c r="D103" i="2"/>
  <c r="J103" i="2"/>
  <c r="P103" i="2"/>
  <c r="H104" i="2"/>
  <c r="G104" i="2"/>
  <c r="D104" i="2"/>
  <c r="J104" i="2"/>
  <c r="P104" i="2"/>
  <c r="H105" i="2"/>
  <c r="G105" i="2"/>
  <c r="D105" i="2"/>
  <c r="J105" i="2"/>
  <c r="P105" i="2"/>
  <c r="H106" i="2"/>
  <c r="G106" i="2"/>
  <c r="J106" i="2"/>
  <c r="P106" i="2"/>
  <c r="H107" i="2"/>
  <c r="G107" i="2"/>
  <c r="J107" i="2"/>
  <c r="P107" i="2"/>
  <c r="R108" i="2"/>
  <c r="H109" i="2"/>
  <c r="G109" i="2"/>
  <c r="J109" i="2"/>
  <c r="P109" i="2"/>
  <c r="H110" i="2"/>
  <c r="G110" i="2"/>
  <c r="D110" i="2"/>
  <c r="J110" i="2"/>
  <c r="P110" i="2"/>
  <c r="H111" i="2"/>
  <c r="G111" i="2"/>
  <c r="D111" i="2"/>
  <c r="J111" i="2"/>
  <c r="P111" i="2"/>
  <c r="H112" i="2"/>
  <c r="G112" i="2"/>
  <c r="J112" i="2"/>
  <c r="P112" i="2"/>
  <c r="H113" i="2"/>
  <c r="G113" i="2"/>
  <c r="J113" i="2"/>
  <c r="P113" i="2"/>
  <c r="H114" i="2"/>
  <c r="G114" i="2"/>
  <c r="J114" i="2"/>
  <c r="P114" i="2"/>
  <c r="H115" i="2"/>
  <c r="G115" i="2"/>
  <c r="J115" i="2"/>
  <c r="P115" i="2"/>
  <c r="R116" i="2"/>
  <c r="W8" i="2"/>
  <c r="Y8" i="2"/>
  <c r="Y10" i="2"/>
  <c r="X9" i="2"/>
  <c r="X7" i="2"/>
  <c r="K94" i="2"/>
  <c r="O94" i="2"/>
  <c r="K95" i="2"/>
  <c r="O95" i="2"/>
  <c r="K96" i="2"/>
  <c r="O96" i="2"/>
  <c r="K97" i="2"/>
  <c r="O97" i="2"/>
  <c r="K98" i="2"/>
  <c r="O98" i="2"/>
  <c r="K99" i="2"/>
  <c r="O99" i="2"/>
  <c r="Q100" i="2"/>
  <c r="K101" i="2"/>
  <c r="O101" i="2"/>
  <c r="K102" i="2"/>
  <c r="O102" i="2"/>
  <c r="K103" i="2"/>
  <c r="O103" i="2"/>
  <c r="K104" i="2"/>
  <c r="O104" i="2"/>
  <c r="K105" i="2"/>
  <c r="O105" i="2"/>
  <c r="K106" i="2"/>
  <c r="O106" i="2"/>
  <c r="K107" i="2"/>
  <c r="O107" i="2"/>
  <c r="Q108" i="2"/>
  <c r="K109" i="2"/>
  <c r="O109" i="2"/>
  <c r="K110" i="2"/>
  <c r="O110" i="2"/>
  <c r="K111" i="2"/>
  <c r="O111" i="2"/>
  <c r="K112" i="2"/>
  <c r="O112" i="2"/>
  <c r="K113" i="2"/>
  <c r="O113" i="2"/>
  <c r="K114" i="2"/>
  <c r="O114" i="2"/>
  <c r="K115" i="2"/>
  <c r="O115" i="2"/>
  <c r="Q116" i="2"/>
  <c r="V8" i="2"/>
  <c r="X8" i="2"/>
  <c r="X10" i="2"/>
  <c r="AA7" i="1"/>
  <c r="J94" i="1"/>
  <c r="I94" i="1"/>
  <c r="L94" i="1"/>
  <c r="R94" i="1"/>
  <c r="J95" i="1"/>
  <c r="I95" i="1"/>
  <c r="D95" i="1"/>
  <c r="L95" i="1"/>
  <c r="R95" i="1"/>
  <c r="J96" i="1"/>
  <c r="I96" i="1"/>
  <c r="D96" i="1"/>
  <c r="L96" i="1"/>
  <c r="R96" i="1"/>
  <c r="J97" i="1"/>
  <c r="I97" i="1"/>
  <c r="D97" i="1"/>
  <c r="L97" i="1"/>
  <c r="R97" i="1"/>
  <c r="J98" i="1"/>
  <c r="I98" i="1"/>
  <c r="D98" i="1"/>
  <c r="L98" i="1"/>
  <c r="R98" i="1"/>
  <c r="J99" i="1"/>
  <c r="I99" i="1"/>
  <c r="L99" i="1"/>
  <c r="R99" i="1"/>
  <c r="T100" i="1"/>
  <c r="J101" i="1"/>
  <c r="I101" i="1"/>
  <c r="D101" i="1"/>
  <c r="L101" i="1"/>
  <c r="R101" i="1"/>
  <c r="J102" i="1"/>
  <c r="I102" i="1"/>
  <c r="D102" i="1"/>
  <c r="L102" i="1"/>
  <c r="R102" i="1"/>
  <c r="J103" i="1"/>
  <c r="I103" i="1"/>
  <c r="D103" i="1"/>
  <c r="L103" i="1"/>
  <c r="R103" i="1"/>
  <c r="J104" i="1"/>
  <c r="I104" i="1"/>
  <c r="D104" i="1"/>
  <c r="L104" i="1"/>
  <c r="R104" i="1"/>
  <c r="J105" i="1"/>
  <c r="I105" i="1"/>
  <c r="D105" i="1"/>
  <c r="L105" i="1"/>
  <c r="R105" i="1"/>
  <c r="J106" i="1"/>
  <c r="I106" i="1"/>
  <c r="L106" i="1"/>
  <c r="R106" i="1"/>
  <c r="J107" i="1"/>
  <c r="I107" i="1"/>
  <c r="L107" i="1"/>
  <c r="R107" i="1"/>
  <c r="T108" i="1"/>
  <c r="J109" i="1"/>
  <c r="I109" i="1"/>
  <c r="L109" i="1"/>
  <c r="R109" i="1"/>
  <c r="J110" i="1"/>
  <c r="I110" i="1"/>
  <c r="D110" i="1"/>
  <c r="L110" i="1"/>
  <c r="R110" i="1"/>
  <c r="J111" i="1"/>
  <c r="I111" i="1"/>
  <c r="D111" i="1"/>
  <c r="L111" i="1"/>
  <c r="R111" i="1"/>
  <c r="J112" i="1"/>
  <c r="I112" i="1"/>
  <c r="L112" i="1"/>
  <c r="R112" i="1"/>
  <c r="J113" i="1"/>
  <c r="I113" i="1"/>
  <c r="L113" i="1"/>
  <c r="R113" i="1"/>
  <c r="J114" i="1"/>
  <c r="I114" i="1"/>
  <c r="L114" i="1"/>
  <c r="R114" i="1"/>
  <c r="J115" i="1"/>
  <c r="I115" i="1"/>
  <c r="L115" i="1"/>
  <c r="R115" i="1"/>
  <c r="T116" i="1"/>
  <c r="Y8" i="1"/>
  <c r="AA8" i="1"/>
  <c r="AA10" i="1"/>
  <c r="Z7" i="1"/>
  <c r="M94" i="1"/>
  <c r="Q94" i="1"/>
  <c r="M95" i="1"/>
  <c r="Q95" i="1"/>
  <c r="M96" i="1"/>
  <c r="Q96" i="1"/>
  <c r="M97" i="1"/>
  <c r="Q97" i="1"/>
  <c r="M98" i="1"/>
  <c r="Q98" i="1"/>
  <c r="M99" i="1"/>
  <c r="Q99" i="1"/>
  <c r="S100" i="1"/>
  <c r="M101" i="1"/>
  <c r="Q101" i="1"/>
  <c r="M102" i="1"/>
  <c r="Q102" i="1"/>
  <c r="M103" i="1"/>
  <c r="Q103" i="1"/>
  <c r="M104" i="1"/>
  <c r="Q104" i="1"/>
  <c r="M105" i="1"/>
  <c r="Q105" i="1"/>
  <c r="M106" i="1"/>
  <c r="Q106" i="1"/>
  <c r="M107" i="1"/>
  <c r="Q107" i="1"/>
  <c r="S108" i="1"/>
  <c r="M109" i="1"/>
  <c r="Q109" i="1"/>
  <c r="M110" i="1"/>
  <c r="Q110" i="1"/>
  <c r="M111" i="1"/>
  <c r="Q111" i="1"/>
  <c r="M112" i="1"/>
  <c r="Q112" i="1"/>
  <c r="M113" i="1"/>
  <c r="Q113" i="1"/>
  <c r="M114" i="1"/>
  <c r="Q114" i="1"/>
  <c r="M115" i="1"/>
  <c r="Q115" i="1"/>
  <c r="S116" i="1"/>
  <c r="X8" i="1"/>
  <c r="Z8" i="1"/>
  <c r="Z9" i="1"/>
  <c r="Z10" i="1"/>
  <c r="D65" i="3"/>
  <c r="J65" i="3"/>
  <c r="S65" i="3"/>
  <c r="K65" i="3"/>
  <c r="R65" i="3"/>
  <c r="Q9" i="1"/>
  <c r="R9" i="1"/>
  <c r="Q16" i="1"/>
  <c r="R16" i="1"/>
  <c r="Q23" i="1"/>
  <c r="R23" i="1"/>
  <c r="Q30" i="1"/>
  <c r="R30" i="1"/>
  <c r="Q34" i="1"/>
  <c r="R34" i="1"/>
  <c r="Q41" i="1"/>
  <c r="R41" i="1"/>
  <c r="Q50" i="1"/>
  <c r="R50" i="1"/>
  <c r="Q56" i="1"/>
  <c r="R56" i="1"/>
  <c r="Q64" i="1"/>
  <c r="R64" i="1"/>
  <c r="D65" i="1"/>
  <c r="M65" i="1"/>
  <c r="Q65" i="1"/>
  <c r="L65" i="1"/>
  <c r="R65" i="1"/>
  <c r="L66" i="1"/>
  <c r="R66" i="1"/>
  <c r="L67" i="1"/>
  <c r="R67" i="1"/>
  <c r="Q71" i="1"/>
  <c r="R71" i="1"/>
  <c r="Q80" i="1"/>
  <c r="R80" i="1"/>
  <c r="Q87" i="1"/>
  <c r="R87" i="1"/>
  <c r="I88" i="1"/>
  <c r="J88" i="1"/>
  <c r="D88" i="1"/>
  <c r="M88" i="1"/>
  <c r="Q88" i="1"/>
  <c r="L88" i="1"/>
  <c r="R88" i="1"/>
  <c r="Q91" i="1"/>
  <c r="R91" i="1"/>
  <c r="Q100" i="1"/>
  <c r="R100" i="1"/>
  <c r="Q108" i="1"/>
  <c r="R108" i="1"/>
  <c r="Q116" i="1"/>
  <c r="R116" i="1"/>
  <c r="Q123" i="1"/>
  <c r="R123" i="1"/>
  <c r="Q128" i="1"/>
  <c r="R128" i="1"/>
  <c r="Q135" i="1"/>
  <c r="R135" i="1"/>
  <c r="Q144" i="1"/>
  <c r="R144" i="1"/>
  <c r="Q152" i="1"/>
  <c r="R152" i="1"/>
  <c r="Q160" i="1"/>
  <c r="R160" i="1"/>
  <c r="Q167" i="1"/>
  <c r="R167" i="1"/>
  <c r="Q175" i="1"/>
  <c r="R175" i="1"/>
  <c r="Q183" i="1"/>
  <c r="R183" i="1"/>
  <c r="P9" i="2"/>
  <c r="P16" i="2"/>
  <c r="P23" i="2"/>
  <c r="P30" i="2"/>
  <c r="P34" i="2"/>
  <c r="P41" i="2"/>
  <c r="P50" i="2"/>
  <c r="P56" i="2"/>
  <c r="P64" i="2"/>
  <c r="P65" i="2"/>
  <c r="J66" i="2"/>
  <c r="P66" i="2"/>
  <c r="J67" i="2"/>
  <c r="P67" i="2"/>
  <c r="P71" i="2"/>
  <c r="P80" i="2"/>
  <c r="P87" i="2"/>
  <c r="H88" i="2"/>
  <c r="G88" i="2"/>
  <c r="D88" i="2"/>
  <c r="J88" i="2"/>
  <c r="P88" i="2"/>
  <c r="P91" i="2"/>
  <c r="P100" i="2"/>
  <c r="P108" i="2"/>
  <c r="P116" i="2"/>
  <c r="P123" i="2"/>
  <c r="P128" i="2"/>
  <c r="P135" i="2"/>
  <c r="P144" i="2"/>
  <c r="P152" i="2"/>
  <c r="P160" i="2"/>
  <c r="P167" i="2"/>
  <c r="P175" i="2"/>
  <c r="P183" i="2"/>
  <c r="O9" i="2"/>
  <c r="O16" i="2"/>
  <c r="O23" i="2"/>
  <c r="O30" i="2"/>
  <c r="O34" i="2"/>
  <c r="O41" i="2"/>
  <c r="O50" i="2"/>
  <c r="O56" i="2"/>
  <c r="O64" i="2"/>
  <c r="O65" i="2"/>
  <c r="O71" i="2"/>
  <c r="O80" i="2"/>
  <c r="O87" i="2"/>
  <c r="K88" i="2"/>
  <c r="O88" i="2"/>
  <c r="O91" i="2"/>
  <c r="O100" i="2"/>
  <c r="O108" i="2"/>
  <c r="O116" i="2"/>
  <c r="O123" i="2"/>
  <c r="O128" i="2"/>
  <c r="O135" i="2"/>
  <c r="O144" i="2"/>
  <c r="O152" i="2"/>
  <c r="O160" i="2"/>
  <c r="O167" i="2"/>
  <c r="O175" i="2"/>
  <c r="O183" i="2"/>
  <c r="Y17" i="3"/>
  <c r="Y18" i="3"/>
  <c r="X17" i="3"/>
  <c r="X18" i="3"/>
  <c r="Y14" i="3"/>
  <c r="Y15" i="3"/>
  <c r="X15" i="3"/>
  <c r="Y19" i="3"/>
  <c r="X19" i="3"/>
  <c r="Y16" i="3"/>
  <c r="X16" i="3"/>
  <c r="N16" i="1"/>
  <c r="H25" i="3"/>
  <c r="D25" i="3"/>
  <c r="K25" i="3"/>
  <c r="M25" i="3"/>
  <c r="D188" i="3"/>
  <c r="H184" i="3"/>
  <c r="D184" i="3"/>
  <c r="K184" i="3"/>
  <c r="G184" i="3"/>
  <c r="J184" i="3"/>
  <c r="P184" i="3"/>
  <c r="M184" i="3"/>
  <c r="L184" i="3"/>
  <c r="M183" i="3"/>
  <c r="L183" i="3"/>
  <c r="D183" i="3"/>
  <c r="M175" i="3"/>
  <c r="L175" i="3"/>
  <c r="D175" i="3"/>
  <c r="M167" i="3"/>
  <c r="L167" i="3"/>
  <c r="D167" i="3"/>
  <c r="M161" i="3"/>
  <c r="L161" i="3"/>
  <c r="M160" i="3"/>
  <c r="L160" i="3"/>
  <c r="D160" i="3"/>
  <c r="M152" i="3"/>
  <c r="L152" i="3"/>
  <c r="D152" i="3"/>
  <c r="M144" i="3"/>
  <c r="L144" i="3"/>
  <c r="D144" i="3"/>
  <c r="K136" i="3"/>
  <c r="J136" i="3"/>
  <c r="P136" i="3"/>
  <c r="M136" i="3"/>
  <c r="L136" i="3"/>
  <c r="D135" i="3"/>
  <c r="M128" i="3"/>
  <c r="L128" i="3"/>
  <c r="M123" i="3"/>
  <c r="L123" i="3"/>
  <c r="D123" i="3"/>
  <c r="H118" i="3"/>
  <c r="D118" i="3"/>
  <c r="K118" i="3"/>
  <c r="G118" i="3"/>
  <c r="J118" i="3"/>
  <c r="P118" i="3"/>
  <c r="M118" i="3"/>
  <c r="L118" i="3"/>
  <c r="D117" i="3"/>
  <c r="K117" i="3"/>
  <c r="J117" i="3"/>
  <c r="P117" i="3"/>
  <c r="M117" i="3"/>
  <c r="L117" i="3"/>
  <c r="M116" i="3"/>
  <c r="L116" i="3"/>
  <c r="D116" i="3"/>
  <c r="M108" i="3"/>
  <c r="L108" i="3"/>
  <c r="D108" i="3"/>
  <c r="M100" i="3"/>
  <c r="L100" i="3"/>
  <c r="D100" i="3"/>
  <c r="D93" i="3"/>
  <c r="K93" i="3"/>
  <c r="J93" i="3"/>
  <c r="P93" i="3"/>
  <c r="M93" i="3"/>
  <c r="L93" i="3"/>
  <c r="H92" i="3"/>
  <c r="D92" i="3"/>
  <c r="K92" i="3"/>
  <c r="G92" i="3"/>
  <c r="J92" i="3"/>
  <c r="M92" i="3"/>
  <c r="L92" i="3"/>
  <c r="M91" i="3"/>
  <c r="L91" i="3"/>
  <c r="D91" i="3"/>
  <c r="H88" i="3"/>
  <c r="D88" i="3"/>
  <c r="K88" i="3"/>
  <c r="G88" i="3"/>
  <c r="J88" i="3"/>
  <c r="P88" i="3"/>
  <c r="M88" i="3"/>
  <c r="L88" i="3"/>
  <c r="M87" i="3"/>
  <c r="L87" i="3"/>
  <c r="D87" i="3"/>
  <c r="M80" i="3"/>
  <c r="L80" i="3"/>
  <c r="D80" i="3"/>
  <c r="H72" i="3"/>
  <c r="G72" i="3"/>
  <c r="D72" i="3"/>
  <c r="J72" i="3"/>
  <c r="P72" i="3"/>
  <c r="M71" i="3"/>
  <c r="L71" i="3"/>
  <c r="D71" i="3"/>
  <c r="M65" i="3"/>
  <c r="L65" i="3"/>
  <c r="M64" i="3"/>
  <c r="L64" i="3"/>
  <c r="D64" i="3"/>
  <c r="M56" i="3"/>
  <c r="L56" i="3"/>
  <c r="D56" i="3"/>
  <c r="M50" i="3"/>
  <c r="L50" i="3"/>
  <c r="D50" i="3"/>
  <c r="K42" i="3"/>
  <c r="J42" i="3"/>
  <c r="M42" i="3"/>
  <c r="L42" i="3"/>
  <c r="M41" i="3"/>
  <c r="L41" i="3"/>
  <c r="D41" i="3"/>
  <c r="M34" i="3"/>
  <c r="L34" i="3"/>
  <c r="D34" i="3"/>
  <c r="M30" i="3"/>
  <c r="L30" i="3"/>
  <c r="D30" i="3"/>
  <c r="G25" i="3"/>
  <c r="J25" i="3"/>
  <c r="L25" i="3"/>
  <c r="D24" i="3"/>
  <c r="K24" i="3"/>
  <c r="J24" i="3"/>
  <c r="M24" i="3"/>
  <c r="L24" i="3"/>
  <c r="M23" i="3"/>
  <c r="L23" i="3"/>
  <c r="D23" i="3"/>
  <c r="M16" i="3"/>
  <c r="L16" i="3"/>
  <c r="D16" i="3"/>
  <c r="M9" i="3"/>
  <c r="L9" i="3"/>
  <c r="D9" i="3"/>
  <c r="G2" i="3"/>
  <c r="D2" i="3"/>
  <c r="J2" i="3"/>
  <c r="D3" i="3"/>
  <c r="J3" i="3"/>
  <c r="H2" i="3"/>
  <c r="K2" i="3"/>
  <c r="K3" i="3"/>
  <c r="M3" i="3"/>
  <c r="L3" i="3"/>
  <c r="M2" i="3"/>
  <c r="L2" i="3"/>
  <c r="Z4" i="2"/>
  <c r="Z5" i="2"/>
  <c r="Z7" i="2"/>
  <c r="Z8" i="2"/>
  <c r="Z9" i="2"/>
  <c r="Z3" i="2"/>
  <c r="AB4" i="1"/>
  <c r="AB5" i="1"/>
  <c r="AB7" i="1"/>
  <c r="AB8" i="1"/>
  <c r="AB9" i="1"/>
  <c r="AB3" i="1"/>
  <c r="D188" i="2"/>
  <c r="M184" i="2"/>
  <c r="L184" i="2"/>
  <c r="D183" i="2"/>
  <c r="D175" i="2"/>
  <c r="M167" i="2"/>
  <c r="L167" i="2"/>
  <c r="D167" i="2"/>
  <c r="D160" i="2"/>
  <c r="D152" i="2"/>
  <c r="D144" i="2"/>
  <c r="D135" i="2"/>
  <c r="M128" i="2"/>
  <c r="L128" i="2"/>
  <c r="M123" i="2"/>
  <c r="L123" i="2"/>
  <c r="D123" i="2"/>
  <c r="M118" i="2"/>
  <c r="L118" i="2"/>
  <c r="M116" i="2"/>
  <c r="L116" i="2"/>
  <c r="D116" i="2"/>
  <c r="M108" i="2"/>
  <c r="L108" i="2"/>
  <c r="D108" i="2"/>
  <c r="M100" i="2"/>
  <c r="L100" i="2"/>
  <c r="D100" i="2"/>
  <c r="M93" i="2"/>
  <c r="L93" i="2"/>
  <c r="M92" i="2"/>
  <c r="L92" i="2"/>
  <c r="D91" i="2"/>
  <c r="M88" i="2"/>
  <c r="L88" i="2"/>
  <c r="D87" i="2"/>
  <c r="D80" i="2"/>
  <c r="M71" i="2"/>
  <c r="L71" i="2"/>
  <c r="D71" i="2"/>
  <c r="D64" i="2"/>
  <c r="D56" i="2"/>
  <c r="D50" i="2"/>
  <c r="D41" i="2"/>
  <c r="M34" i="2"/>
  <c r="L34" i="2"/>
  <c r="D34" i="2"/>
  <c r="M30" i="2"/>
  <c r="L30" i="2"/>
  <c r="D30" i="2"/>
  <c r="L25" i="2"/>
  <c r="M23" i="2"/>
  <c r="L23" i="2"/>
  <c r="D23" i="2"/>
  <c r="M16" i="2"/>
  <c r="L16" i="2"/>
  <c r="D16" i="2"/>
  <c r="M9" i="2"/>
  <c r="L9" i="2"/>
  <c r="D9" i="2"/>
  <c r="M3" i="2"/>
  <c r="L3" i="2"/>
  <c r="M2" i="2"/>
  <c r="L2" i="2"/>
  <c r="O184" i="1"/>
  <c r="N184" i="1"/>
  <c r="O175" i="1"/>
  <c r="N175" i="1"/>
  <c r="O167" i="1"/>
  <c r="N167" i="1"/>
  <c r="N144" i="1"/>
  <c r="O136" i="1"/>
  <c r="O128" i="1"/>
  <c r="N128" i="1"/>
  <c r="N123" i="1"/>
  <c r="O123" i="1"/>
  <c r="O118" i="1"/>
  <c r="O116" i="1"/>
  <c r="N116" i="1"/>
  <c r="O108" i="1"/>
  <c r="N108" i="1"/>
  <c r="O100" i="1"/>
  <c r="N100" i="1"/>
  <c r="N92" i="1"/>
  <c r="O92" i="1"/>
  <c r="O88" i="1"/>
  <c r="N87" i="1"/>
  <c r="O87" i="1"/>
  <c r="O42" i="1"/>
  <c r="O41" i="1"/>
  <c r="N41" i="1"/>
  <c r="N34" i="1"/>
  <c r="O30" i="1"/>
  <c r="N30" i="1"/>
  <c r="N91" i="1"/>
  <c r="O2" i="1"/>
  <c r="N2" i="1"/>
  <c r="O16" i="1"/>
  <c r="O9" i="1"/>
  <c r="N9" i="1"/>
  <c r="N183" i="1"/>
  <c r="O183" i="1"/>
  <c r="O161" i="1"/>
  <c r="N161" i="1"/>
  <c r="O160" i="1"/>
  <c r="N160" i="1"/>
  <c r="O152" i="1"/>
  <c r="N152" i="1"/>
  <c r="O144" i="1"/>
  <c r="N136" i="1"/>
  <c r="N118" i="1"/>
  <c r="O117" i="1"/>
  <c r="N117" i="1"/>
  <c r="O93" i="1"/>
  <c r="N93" i="1"/>
  <c r="O56" i="1"/>
  <c r="N56" i="1"/>
  <c r="O34" i="1"/>
  <c r="D188" i="1"/>
  <c r="D183" i="1"/>
  <c r="D175" i="1"/>
  <c r="D167" i="1"/>
  <c r="D160" i="1"/>
  <c r="D152" i="1"/>
  <c r="D108" i="1"/>
  <c r="D16" i="1"/>
  <c r="N88" i="1"/>
  <c r="N42" i="1"/>
  <c r="N25" i="1"/>
  <c r="O24" i="1"/>
  <c r="N24" i="1"/>
  <c r="O3" i="1"/>
  <c r="N3" i="1"/>
  <c r="O91" i="1"/>
  <c r="O65" i="1"/>
  <c r="N65" i="1"/>
  <c r="O71" i="1"/>
  <c r="N71" i="1"/>
  <c r="O80" i="1"/>
  <c r="N80" i="1"/>
  <c r="O64" i="1"/>
  <c r="N64" i="1"/>
  <c r="O50" i="1"/>
  <c r="N50" i="1"/>
  <c r="O23" i="1"/>
  <c r="N23" i="1"/>
  <c r="D144" i="1"/>
  <c r="D135" i="1"/>
  <c r="D123" i="1"/>
  <c r="D116" i="1"/>
  <c r="D100" i="1"/>
  <c r="D87" i="1"/>
  <c r="D80" i="1"/>
  <c r="D71" i="1"/>
  <c r="D64" i="1"/>
  <c r="D91" i="1"/>
  <c r="D56" i="1"/>
  <c r="D50" i="1"/>
  <c r="D41" i="1"/>
  <c r="D34" i="1"/>
  <c r="D30" i="1"/>
  <c r="D23" i="1"/>
  <c r="D9" i="1"/>
</calcChain>
</file>

<file path=xl/sharedStrings.xml><?xml version="1.0" encoding="utf-8"?>
<sst xmlns="http://schemas.openxmlformats.org/spreadsheetml/2006/main" count="2542" uniqueCount="97">
  <si>
    <t>Species</t>
  </si>
  <si>
    <t>Stage</t>
  </si>
  <si>
    <t>Abundance</t>
  </si>
  <si>
    <t>Aglantha digitale</t>
  </si>
  <si>
    <t>NA</t>
  </si>
  <si>
    <t>Class</t>
  </si>
  <si>
    <t>LW</t>
  </si>
  <si>
    <t>Boroecia maxima</t>
  </si>
  <si>
    <t>Calanus finmarchicus</t>
  </si>
  <si>
    <t>Cii</t>
  </si>
  <si>
    <t>Ciii</t>
  </si>
  <si>
    <t>CiV</t>
  </si>
  <si>
    <t>CV</t>
  </si>
  <si>
    <t>F</t>
  </si>
  <si>
    <t>M</t>
  </si>
  <si>
    <t>Total</t>
  </si>
  <si>
    <t>Calanus glacialis</t>
  </si>
  <si>
    <t>Calanus hyperboreus</t>
  </si>
  <si>
    <t>Ci</t>
  </si>
  <si>
    <t>Discoconchoecia elegans</t>
  </si>
  <si>
    <t>Eukrohnia hamata</t>
  </si>
  <si>
    <t>Gaetanus tenuispinus</t>
  </si>
  <si>
    <t>Heterorhabdus norvegicus</t>
  </si>
  <si>
    <t>Heterostylites major</t>
  </si>
  <si>
    <t>Limacina helicina</t>
  </si>
  <si>
    <t>Metridia longa</t>
  </si>
  <si>
    <t>Microcalanus</t>
  </si>
  <si>
    <t>Oithona similis</t>
  </si>
  <si>
    <t>Oncaea notopus/parila</t>
  </si>
  <si>
    <t>Paraeuchaeta spp.</t>
  </si>
  <si>
    <t>Polychaete larva</t>
  </si>
  <si>
    <t>Pseudocalanus spp.</t>
  </si>
  <si>
    <t>Spinocalanus longicornis</t>
  </si>
  <si>
    <t>Themisto abyssorum</t>
  </si>
  <si>
    <t>Triconia borealis</t>
  </si>
  <si>
    <t>UP</t>
  </si>
  <si>
    <t>bodymass min(ugC.ind-1)</t>
  </si>
  <si>
    <t>bodymass max(ugC.ind-1)</t>
  </si>
  <si>
    <t>Biomass min(ugC)</t>
  </si>
  <si>
    <t>Biomass max (ugC)</t>
  </si>
  <si>
    <t>REF</t>
  </si>
  <si>
    <t>Forest et al., 2011</t>
  </si>
  <si>
    <t>Liu &amp; hopcroft, 2008</t>
  </si>
  <si>
    <t>Hopcroft et al., 2005</t>
  </si>
  <si>
    <t>Sabatini &amp; Kiorbe, 1994</t>
  </si>
  <si>
    <t>Size min (um)</t>
  </si>
  <si>
    <t>Mumm, 1991</t>
  </si>
  <si>
    <t>Madsen et al., 2001</t>
  </si>
  <si>
    <t>Uye, 1982</t>
  </si>
  <si>
    <t>Somme biomass per species(ugC)</t>
  </si>
  <si>
    <t>Group</t>
  </si>
  <si>
    <t>Carnivorous</t>
  </si>
  <si>
    <t>Calanus</t>
  </si>
  <si>
    <t>Omnivorous</t>
  </si>
  <si>
    <t>Omnivore</t>
  </si>
  <si>
    <r>
      <t>14W</t>
    </r>
    <r>
      <rPr>
        <vertAlign val="superscript"/>
        <sz val="12"/>
        <color theme="1"/>
        <rFont val="Calibri"/>
        <scheme val="minor"/>
      </rPr>
      <t>-0.25</t>
    </r>
    <r>
      <rPr>
        <sz val="12"/>
        <color theme="1"/>
        <rFont val="Calibri"/>
        <family val="2"/>
        <scheme val="minor"/>
      </rPr>
      <t>*e</t>
    </r>
    <r>
      <rPr>
        <vertAlign val="superscript"/>
        <sz val="12"/>
        <color theme="1"/>
        <rFont val="Calibri"/>
        <scheme val="minor"/>
      </rPr>
      <t>0.0693*(T-20)</t>
    </r>
    <r>
      <rPr>
        <sz val="12"/>
        <color theme="1"/>
        <rFont val="Calibri"/>
        <family val="2"/>
        <scheme val="minor"/>
      </rPr>
      <t>*biomass</t>
    </r>
  </si>
  <si>
    <t>Meloney and Field, 1989  table4</t>
  </si>
  <si>
    <t>Respiration per stage (pgC.d-1)</t>
  </si>
  <si>
    <t>Size max(um)</t>
  </si>
  <si>
    <t>Res_spe_min (pgC.d-1)</t>
  </si>
  <si>
    <t>Res_spe_max (pgC.d-1)</t>
  </si>
  <si>
    <t>Mumm, 991</t>
  </si>
  <si>
    <t>Ing_stage_min (pgC.d-1)</t>
  </si>
  <si>
    <t>Ing_stage_max (pgC.d-1)</t>
  </si>
  <si>
    <t>Ing_spe_max (pgC.d-1)</t>
  </si>
  <si>
    <t>Ing_spe_min (pgC.d-1)</t>
  </si>
  <si>
    <r>
      <t>63W</t>
    </r>
    <r>
      <rPr>
        <vertAlign val="superscript"/>
        <sz val="12"/>
        <color theme="1"/>
        <rFont val="Calibri"/>
        <scheme val="minor"/>
      </rPr>
      <t>-0.25</t>
    </r>
    <r>
      <rPr>
        <sz val="12"/>
        <color theme="1"/>
        <rFont val="Calibri"/>
        <family val="2"/>
        <scheme val="minor"/>
      </rPr>
      <t>*e</t>
    </r>
    <r>
      <rPr>
        <vertAlign val="superscript"/>
        <sz val="12"/>
        <color theme="1"/>
        <rFont val="Calibri"/>
        <scheme val="minor"/>
      </rPr>
      <t>0.0693*(T-20)</t>
    </r>
    <r>
      <rPr>
        <sz val="12"/>
        <color theme="1"/>
        <rFont val="Calibri"/>
        <family val="2"/>
        <scheme val="minor"/>
      </rPr>
      <t>*biomass</t>
    </r>
  </si>
  <si>
    <t>MIN</t>
  </si>
  <si>
    <t>MAX</t>
  </si>
  <si>
    <t>Res_group(pgC.m-2.d-1)</t>
  </si>
  <si>
    <t>Ingestion MAX (pgC.d-1)</t>
  </si>
  <si>
    <t>Res_group(gC.m-2.m-1)</t>
  </si>
  <si>
    <t>Ing_group(pgC.m-2.d-1)</t>
  </si>
  <si>
    <t>Ing_group(gC.m-2.m-1)</t>
  </si>
  <si>
    <t>CAR</t>
  </si>
  <si>
    <t>CAL</t>
  </si>
  <si>
    <t>OMN</t>
  </si>
  <si>
    <t>Mumm,1991</t>
  </si>
  <si>
    <t>UP/WEST</t>
  </si>
  <si>
    <t>LW/EAST</t>
  </si>
  <si>
    <t>Mean</t>
  </si>
  <si>
    <t>Repro</t>
  </si>
  <si>
    <t>Broadcaster</t>
  </si>
  <si>
    <t>sac</t>
  </si>
  <si>
    <t>broadcaster</t>
  </si>
  <si>
    <t>Growth_group(ugC.m-2.d-1)</t>
  </si>
  <si>
    <t>Growth_group(gC.m-2.m-1)</t>
  </si>
  <si>
    <t>Reserves acc</t>
  </si>
  <si>
    <t>Growth_stage_max (d-1)</t>
  </si>
  <si>
    <t>Growth_stage_min (d-1)</t>
  </si>
  <si>
    <t>Growth_spe_max (ugC.d-1)</t>
  </si>
  <si>
    <t>Growth_spe_min (ugc.d-1)</t>
  </si>
  <si>
    <t>biomass omn</t>
  </si>
  <si>
    <t>WEST</t>
  </si>
  <si>
    <t>EAST</t>
  </si>
  <si>
    <t>Size_min_mm</t>
  </si>
  <si>
    <t>Size_max_mm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</si>
</sst>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12"/>
      <color theme="1"/>
      <name val="Calibri"/>
      <scheme val="minor"/>
    </font>
    <font>
      <b/>
      <sz val="12"/>
      <color rgb="FFFF0000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  <font>
      <b/>
      <sz val="12"/>
      <color rgb="FF008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6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2" borderId="0" xfId="0" applyFill="1"/>
    <xf numFmtId="11" fontId="0" fillId="2" borderId="0" xfId="0" applyNumberFormat="1" applyFill="1"/>
    <xf numFmtId="11" fontId="0" fillId="0" borderId="0" xfId="0" applyNumberFormat="1"/>
    <xf numFmtId="11" fontId="0" fillId="0" borderId="0" xfId="0" applyNumberFormat="1" applyFill="1"/>
    <xf numFmtId="11" fontId="4" fillId="0" borderId="0" xfId="0" applyNumberFormat="1" applyFont="1"/>
    <xf numFmtId="11" fontId="4" fillId="2" borderId="0" xfId="0" applyNumberFormat="1" applyFont="1" applyFill="1"/>
    <xf numFmtId="11" fontId="4" fillId="0" borderId="0" xfId="0" applyNumberFormat="1" applyFont="1" applyFill="1"/>
    <xf numFmtId="0" fontId="5" fillId="2" borderId="0" xfId="0" applyFont="1" applyFill="1"/>
    <xf numFmtId="11" fontId="5" fillId="2" borderId="0" xfId="0" applyNumberFormat="1" applyFont="1" applyFill="1"/>
    <xf numFmtId="0" fontId="5" fillId="0" borderId="0" xfId="0" applyFont="1" applyFill="1"/>
    <xf numFmtId="11" fontId="5" fillId="0" borderId="0" xfId="0" applyNumberFormat="1" applyFont="1" applyFill="1"/>
    <xf numFmtId="11" fontId="5" fillId="2" borderId="2" xfId="0" applyNumberFormat="1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0" fillId="0" borderId="0" xfId="0" applyFill="1" applyBorder="1"/>
    <xf numFmtId="0" fontId="5" fillId="0" borderId="0" xfId="0" applyFont="1" applyFill="1" applyBorder="1"/>
    <xf numFmtId="2" fontId="0" fillId="0" borderId="0" xfId="0" applyNumberFormat="1"/>
    <xf numFmtId="2" fontId="5" fillId="2" borderId="0" xfId="0" applyNumberFormat="1" applyFont="1" applyFill="1"/>
    <xf numFmtId="2" fontId="5" fillId="0" borderId="0" xfId="0" applyNumberFormat="1" applyFont="1" applyFill="1"/>
    <xf numFmtId="2" fontId="0" fillId="2" borderId="0" xfId="0" applyNumberFormat="1" applyFill="1"/>
    <xf numFmtId="2" fontId="0" fillId="0" borderId="0" xfId="0" applyNumberFormat="1" applyFill="1"/>
    <xf numFmtId="2" fontId="0" fillId="2" borderId="0" xfId="0" applyNumberFormat="1" applyFill="1" applyAlignment="1">
      <alignment wrapText="1"/>
    </xf>
    <xf numFmtId="2" fontId="5" fillId="2" borderId="2" xfId="0" applyNumberFormat="1" applyFont="1" applyFill="1" applyBorder="1"/>
    <xf numFmtId="0" fontId="5" fillId="0" borderId="1" xfId="0" applyFont="1" applyFill="1" applyBorder="1"/>
    <xf numFmtId="2" fontId="5" fillId="0" borderId="1" xfId="0" applyNumberFormat="1" applyFont="1" applyFill="1" applyBorder="1"/>
    <xf numFmtId="11" fontId="5" fillId="0" borderId="1" xfId="0" applyNumberFormat="1" applyFont="1" applyFill="1" applyBorder="1"/>
    <xf numFmtId="11" fontId="0" fillId="2" borderId="0" xfId="0" applyNumberFormat="1" applyFont="1" applyFill="1"/>
    <xf numFmtId="11" fontId="6" fillId="3" borderId="0" xfId="0" applyNumberFormat="1" applyFont="1" applyFill="1"/>
    <xf numFmtId="11" fontId="6" fillId="0" borderId="0" xfId="0" applyNumberFormat="1" applyFont="1" applyFill="1"/>
    <xf numFmtId="0" fontId="5" fillId="4" borderId="0" xfId="0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4" fillId="4" borderId="0" xfId="0" applyNumberFormat="1" applyFont="1" applyFill="1"/>
    <xf numFmtId="0" fontId="5" fillId="4" borderId="0" xfId="0" applyFont="1" applyFill="1" applyBorder="1"/>
    <xf numFmtId="11" fontId="6" fillId="0" borderId="0" xfId="0" applyNumberFormat="1" applyFont="1"/>
    <xf numFmtId="11" fontId="5" fillId="0" borderId="0" xfId="0" applyNumberFormat="1" applyFont="1" applyFill="1" applyBorder="1"/>
    <xf numFmtId="11" fontId="0" fillId="0" borderId="0" xfId="0" applyNumberFormat="1" applyFill="1" applyBorder="1"/>
    <xf numFmtId="11" fontId="0" fillId="0" borderId="3" xfId="0" applyNumberFormat="1" applyFill="1" applyBorder="1"/>
    <xf numFmtId="11" fontId="0" fillId="0" borderId="4" xfId="0" applyNumberFormat="1" applyFill="1" applyBorder="1"/>
    <xf numFmtId="0" fontId="0" fillId="0" borderId="4" xfId="0" applyFill="1" applyBorder="1"/>
    <xf numFmtId="0" fontId="0" fillId="0" borderId="5" xfId="0" applyFill="1" applyBorder="1"/>
    <xf numFmtId="11" fontId="5" fillId="0" borderId="6" xfId="0" applyNumberFormat="1" applyFont="1" applyFill="1" applyBorder="1"/>
    <xf numFmtId="0" fontId="5" fillId="0" borderId="7" xfId="0" applyFont="1" applyFill="1" applyBorder="1"/>
    <xf numFmtId="11" fontId="5" fillId="0" borderId="7" xfId="0" applyNumberFormat="1" applyFont="1" applyFill="1" applyBorder="1"/>
    <xf numFmtId="11" fontId="5" fillId="0" borderId="6" xfId="0" applyNumberFormat="1" applyFont="1" applyFill="1" applyBorder="1" applyAlignment="1">
      <alignment horizontal="center" vertical="center"/>
    </xf>
    <xf numFmtId="11" fontId="0" fillId="0" borderId="9" xfId="0" applyNumberFormat="1" applyFill="1" applyBorder="1"/>
    <xf numFmtId="11" fontId="5" fillId="0" borderId="9" xfId="0" applyNumberFormat="1" applyFont="1" applyFill="1" applyBorder="1"/>
    <xf numFmtId="11" fontId="5" fillId="0" borderId="10" xfId="0" applyNumberFormat="1" applyFont="1" applyFill="1" applyBorder="1"/>
    <xf numFmtId="11" fontId="7" fillId="0" borderId="0" xfId="0" applyNumberFormat="1" applyFont="1"/>
    <xf numFmtId="0" fontId="8" fillId="0" borderId="0" xfId="0" applyFont="1"/>
    <xf numFmtId="2" fontId="5" fillId="0" borderId="0" xfId="0" applyNumberFormat="1" applyFont="1" applyFill="1" applyBorder="1"/>
    <xf numFmtId="0" fontId="5" fillId="2" borderId="2" xfId="0" applyFont="1" applyFill="1" applyBorder="1"/>
    <xf numFmtId="11" fontId="4" fillId="2" borderId="2" xfId="0" applyNumberFormat="1" applyFont="1" applyFill="1" applyBorder="1"/>
    <xf numFmtId="0" fontId="0" fillId="5" borderId="0" xfId="0" applyFill="1"/>
    <xf numFmtId="11" fontId="5" fillId="0" borderId="0" xfId="0" applyNumberFormat="1" applyFont="1" applyFill="1" applyAlignment="1">
      <alignment horizontal="center" vertical="center"/>
    </xf>
    <xf numFmtId="11" fontId="9" fillId="2" borderId="0" xfId="0" applyNumberFormat="1" applyFont="1" applyFill="1"/>
    <xf numFmtId="11" fontId="9" fillId="0" borderId="0" xfId="0" applyNumberFormat="1" applyFont="1" applyFill="1"/>
    <xf numFmtId="11" fontId="9" fillId="0" borderId="0" xfId="0" applyNumberFormat="1" applyFont="1" applyFill="1" applyBorder="1"/>
    <xf numFmtId="2" fontId="4" fillId="2" borderId="0" xfId="0" applyNumberFormat="1" applyFont="1" applyFill="1"/>
    <xf numFmtId="2" fontId="4" fillId="0" borderId="0" xfId="0" applyNumberFormat="1" applyFont="1" applyFill="1"/>
    <xf numFmtId="2" fontId="4" fillId="4" borderId="0" xfId="0" applyNumberFormat="1" applyFont="1" applyFill="1"/>
    <xf numFmtId="11" fontId="5" fillId="0" borderId="0" xfId="0" applyNumberFormat="1" applyFont="1" applyFill="1" applyAlignment="1">
      <alignment horizontal="center" vertical="center"/>
    </xf>
    <xf numFmtId="11" fontId="5" fillId="0" borderId="6" xfId="0" applyNumberFormat="1" applyFont="1" applyFill="1" applyBorder="1" applyAlignment="1">
      <alignment horizontal="center" vertical="center"/>
    </xf>
    <xf numFmtId="11" fontId="5" fillId="0" borderId="8" xfId="0" applyNumberFormat="1" applyFont="1" applyFill="1" applyBorder="1" applyAlignment="1">
      <alignment horizontal="center" vertical="center"/>
    </xf>
  </cellXfs>
  <cellStyles count="6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8"/>
  <sheetViews>
    <sheetView workbookViewId="0">
      <pane xSplit="1" ySplit="1" topLeftCell="F77" activePane="bottomRight" state="frozen"/>
      <selection pane="topRight" activeCell="B1" sqref="B1"/>
      <selection pane="bottomLeft" activeCell="A2" sqref="A2"/>
      <selection pane="bottomRight" activeCell="Q3" sqref="Q3"/>
    </sheetView>
  </sheetViews>
  <sheetFormatPr defaultColWidth="11.25" defaultRowHeight="15.75" x14ac:dyDescent="0.25"/>
  <cols>
    <col min="2" max="2" width="24" customWidth="1"/>
    <col min="4" max="4" width="11.75" style="18" bestFit="1" customWidth="1"/>
    <col min="5" max="5" width="15.25" style="18" customWidth="1"/>
    <col min="6" max="6" width="10.75" style="18"/>
    <col min="7" max="7" width="12.5" style="18" bestFit="1" customWidth="1"/>
    <col min="8" max="8" width="12.75" style="18" bestFit="1" customWidth="1"/>
    <col min="9" max="9" width="22.25" style="4" customWidth="1"/>
    <col min="10" max="10" width="11.25" style="4" customWidth="1"/>
    <col min="11" max="11" width="22.25" style="4" customWidth="1"/>
    <col min="12" max="12" width="16.25" style="4" customWidth="1"/>
    <col min="13" max="13" width="14.75" style="4" customWidth="1"/>
    <col min="14" max="14" width="10.75" style="6"/>
    <col min="15" max="15" width="14.25" style="6" customWidth="1"/>
    <col min="16" max="16" width="10.75" style="4"/>
    <col min="17" max="17" width="19.75" style="4" customWidth="1"/>
    <col min="18" max="18" width="19.75" style="5" customWidth="1"/>
    <col min="19" max="19" width="12.25" style="4" bestFit="1" customWidth="1"/>
    <col min="20" max="21" width="18.5" style="4" customWidth="1"/>
    <col min="22" max="22" width="11.5" style="1" customWidth="1"/>
    <col min="23" max="25" width="10.75" style="1"/>
    <col min="26" max="26" width="14.75" bestFit="1" customWidth="1"/>
  </cols>
  <sheetData>
    <row r="1" spans="1:33" ht="18" x14ac:dyDescent="0.25">
      <c r="A1" t="s">
        <v>5</v>
      </c>
      <c r="B1" t="s">
        <v>0</v>
      </c>
      <c r="C1" t="s">
        <v>1</v>
      </c>
      <c r="D1" s="18" t="s">
        <v>2</v>
      </c>
      <c r="E1" s="18" t="s">
        <v>45</v>
      </c>
      <c r="F1" s="18" t="s">
        <v>58</v>
      </c>
      <c r="G1" s="18" t="s">
        <v>95</v>
      </c>
      <c r="H1" s="18" t="s">
        <v>96</v>
      </c>
      <c r="I1" s="4" t="s">
        <v>36</v>
      </c>
      <c r="J1" s="4" t="s">
        <v>37</v>
      </c>
      <c r="K1" s="4" t="s">
        <v>40</v>
      </c>
      <c r="L1" s="4" t="s">
        <v>38</v>
      </c>
      <c r="M1" s="4" t="s">
        <v>39</v>
      </c>
      <c r="N1" s="6" t="s">
        <v>49</v>
      </c>
      <c r="P1" s="4" t="s">
        <v>50</v>
      </c>
      <c r="Q1" s="4" t="s">
        <v>57</v>
      </c>
      <c r="S1" s="4" t="s">
        <v>60</v>
      </c>
      <c r="T1" s="4" t="s">
        <v>59</v>
      </c>
      <c r="V1" s="5"/>
      <c r="W1" s="5"/>
      <c r="X1" s="5" t="s">
        <v>69</v>
      </c>
      <c r="Z1" s="5" t="s">
        <v>71</v>
      </c>
      <c r="AA1" s="1"/>
      <c r="AB1" s="5"/>
      <c r="AC1" s="5"/>
      <c r="AD1" t="s">
        <v>55</v>
      </c>
      <c r="AG1" t="s">
        <v>56</v>
      </c>
    </row>
    <row r="2" spans="1:33" s="9" customFormat="1" x14ac:dyDescent="0.25">
      <c r="A2" s="9" t="s">
        <v>6</v>
      </c>
      <c r="B2" s="9" t="s">
        <v>3</v>
      </c>
      <c r="C2" s="9" t="s">
        <v>4</v>
      </c>
      <c r="D2" s="19">
        <f>163.65714+32.65306</f>
        <v>196.31020000000001</v>
      </c>
      <c r="E2" s="19">
        <v>10</v>
      </c>
      <c r="F2" s="19">
        <v>22</v>
      </c>
      <c r="G2" s="19">
        <f>E2</f>
        <v>10</v>
      </c>
      <c r="H2" s="19">
        <f>F2</f>
        <v>22</v>
      </c>
      <c r="I2" s="10">
        <f>0.17*(0.00194*(E2)^3.05)*1000</f>
        <v>370.04168622878763</v>
      </c>
      <c r="J2" s="10">
        <f>0.17*(0.00194*(F2)^3.05)*1000</f>
        <v>4098.640506337576</v>
      </c>
      <c r="K2" s="10" t="s">
        <v>43</v>
      </c>
      <c r="L2" s="10">
        <f>I2*D2</f>
        <v>72642.957431910545</v>
      </c>
      <c r="M2" s="10">
        <f>D2*J2</f>
        <v>804604.93752723082</v>
      </c>
      <c r="N2" s="7">
        <f>L2</f>
        <v>72642.957431910545</v>
      </c>
      <c r="O2" s="7">
        <f>M2</f>
        <v>804604.93752723082</v>
      </c>
      <c r="P2" s="10" t="s">
        <v>51</v>
      </c>
      <c r="Q2" s="10">
        <f>(14*(I2*10^6)^-0.25)*EXP(0.0693*(-1.17-20))*(M2*10^6)</f>
        <v>18728495172.283394</v>
      </c>
      <c r="R2" s="10">
        <f>(14*(J2*10^6)^-0.25)*EXP(0.0693*(-1.17-20))*(L2*10^6)</f>
        <v>926864850.5443269</v>
      </c>
      <c r="S2" s="10">
        <f>Q2</f>
        <v>18728495172.283394</v>
      </c>
      <c r="T2" s="10">
        <f>R2</f>
        <v>926864850.5443269</v>
      </c>
      <c r="U2" s="10"/>
      <c r="V2" s="12"/>
      <c r="W2" s="12"/>
      <c r="X2" s="11" t="s">
        <v>68</v>
      </c>
      <c r="Y2" s="11" t="s">
        <v>67</v>
      </c>
      <c r="Z2" s="51" t="s">
        <v>68</v>
      </c>
      <c r="AA2" s="51" t="s">
        <v>67</v>
      </c>
      <c r="AB2" s="12" t="s">
        <v>80</v>
      </c>
      <c r="AC2" s="12"/>
      <c r="AD2" s="12"/>
      <c r="AE2" s="12"/>
      <c r="AF2" s="12"/>
    </row>
    <row r="3" spans="1:33" s="11" customFormat="1" x14ac:dyDescent="0.25">
      <c r="A3" s="11" t="s">
        <v>6</v>
      </c>
      <c r="B3" s="11" t="s">
        <v>7</v>
      </c>
      <c r="C3" s="11" t="s">
        <v>4</v>
      </c>
      <c r="D3" s="20">
        <f>206.17143+156.734694</f>
        <v>362.90612399999998</v>
      </c>
      <c r="E3" s="20">
        <v>3</v>
      </c>
      <c r="F3" s="20">
        <v>3.5</v>
      </c>
      <c r="G3" s="20">
        <f>E3</f>
        <v>3</v>
      </c>
      <c r="H3" s="20">
        <f>F3</f>
        <v>3.5</v>
      </c>
      <c r="I3" s="12">
        <f>((0.0228*(E3)^2.3698)/0.9)*0.4*1000</f>
        <v>136.90971875758837</v>
      </c>
      <c r="J3" s="12">
        <f>((0.0228*(F3)^2.3698)/0.9)*0.4*1000</f>
        <v>197.28078183567442</v>
      </c>
      <c r="K3" s="12" t="s">
        <v>46</v>
      </c>
      <c r="L3" s="12">
        <f>I3*D3</f>
        <v>49685.375372246483</v>
      </c>
      <c r="M3" s="12">
        <f>J3*E3</f>
        <v>591.84234550702331</v>
      </c>
      <c r="N3" s="8">
        <f>L3</f>
        <v>49685.375372246483</v>
      </c>
      <c r="O3" s="8">
        <f>M3</f>
        <v>591.84234550702331</v>
      </c>
      <c r="P3" s="12" t="s">
        <v>53</v>
      </c>
      <c r="Q3" s="12">
        <f>(14*(I3*10^6)^-0.25)*EXP(0.0693*(-1.17-20))*(M3*10^6)</f>
        <v>17663644.618460149</v>
      </c>
      <c r="R3" s="12">
        <f>(14*(J3*10^6)^-0.25)*EXP(0.0693*(-1.17-20))*(L3*10^6)</f>
        <v>1353443818.9068885</v>
      </c>
      <c r="S3" s="12">
        <f>Q3</f>
        <v>17663644.618460149</v>
      </c>
      <c r="T3" s="12">
        <f>R3</f>
        <v>1353443818.9068885</v>
      </c>
      <c r="U3" s="12"/>
      <c r="V3" s="63" t="s">
        <v>79</v>
      </c>
      <c r="W3" s="12" t="s">
        <v>74</v>
      </c>
      <c r="X3" s="12">
        <f>SUM(S2,S25,S30,S34,S71,S88)</f>
        <v>27837953572.385296</v>
      </c>
      <c r="Y3" s="12">
        <f>SUM(T2,T25,T30,T34,T71,T88)</f>
        <v>7932808183.3522034</v>
      </c>
      <c r="Z3" s="12">
        <f t="shared" ref="Z3:AA5" si="0">X3*30*10^-12</f>
        <v>0.83513860717155886</v>
      </c>
      <c r="AA3" s="12">
        <f t="shared" si="0"/>
        <v>0.2379842455005661</v>
      </c>
      <c r="AB3" s="12">
        <f>AVERAGE(Z3:AA3)</f>
        <v>0.53656142633606252</v>
      </c>
      <c r="AC3" s="12"/>
    </row>
    <row r="4" spans="1:33" s="2" customFormat="1" x14ac:dyDescent="0.25">
      <c r="A4" s="2" t="s">
        <v>6</v>
      </c>
      <c r="B4" s="2" t="s">
        <v>8</v>
      </c>
      <c r="C4" s="2" t="s">
        <v>9</v>
      </c>
      <c r="D4" s="21">
        <f>838.095238</f>
        <v>838.09523799999999</v>
      </c>
      <c r="E4" s="21">
        <v>730</v>
      </c>
      <c r="F4" s="21">
        <v>1200</v>
      </c>
      <c r="G4" s="21">
        <f>E4/1000</f>
        <v>0.73</v>
      </c>
      <c r="H4" s="21">
        <f>F4/1000</f>
        <v>1.2</v>
      </c>
      <c r="I4" s="3">
        <f t="shared" ref="I4:I5" si="1">0.0048*(E4*10^-3)^3.5687*1000</f>
        <v>1.561282631007372</v>
      </c>
      <c r="J4" s="3">
        <f t="shared" ref="J4:J5" si="2">0.0048*(F4*10^-3)^3.5687*1000</f>
        <v>9.2005830554977788</v>
      </c>
      <c r="K4" s="3" t="s">
        <v>47</v>
      </c>
      <c r="L4" s="3">
        <f t="shared" ref="L4:M8" si="3">I4*$D4</f>
        <v>1308.5035382193896</v>
      </c>
      <c r="M4" s="3">
        <f t="shared" si="3"/>
        <v>7710.9648456361783</v>
      </c>
      <c r="P4" s="3" t="s">
        <v>52</v>
      </c>
      <c r="Q4" s="10">
        <f t="shared" ref="Q4:Q67" si="4">(14*(I4*10^6)^-0.25)*EXP(0.0693*(-1.17-20))*(M4*10^6)</f>
        <v>704240819.10487401</v>
      </c>
      <c r="R4" s="10">
        <f t="shared" ref="R4:R67" si="5">(14*(J4*10^6)^-0.25)*EXP(0.0693*(-1.17-20))*(L4*10^6)</f>
        <v>76701510.493549854</v>
      </c>
      <c r="V4" s="63"/>
      <c r="W4" s="1" t="s">
        <v>75</v>
      </c>
      <c r="X4" s="5">
        <f>SUM(S9,S16,S23)</f>
        <v>117740378805.93019</v>
      </c>
      <c r="Y4" s="5">
        <f>SUM(T9,T16,T23)</f>
        <v>39535821708.120094</v>
      </c>
      <c r="Z4" s="12">
        <f t="shared" si="0"/>
        <v>3.5322113641779058</v>
      </c>
      <c r="AA4" s="12">
        <f t="shared" si="0"/>
        <v>1.1860746512436027</v>
      </c>
      <c r="AB4" s="12">
        <f t="shared" ref="AB4:AB5" si="6">AVERAGE(Z4:AA4)</f>
        <v>2.3591430077107542</v>
      </c>
      <c r="AC4" s="12"/>
      <c r="AD4" s="1"/>
      <c r="AE4" s="1"/>
      <c r="AF4" s="1"/>
    </row>
    <row r="5" spans="1:33" s="2" customFormat="1" x14ac:dyDescent="0.25">
      <c r="A5" s="2" t="s">
        <v>6</v>
      </c>
      <c r="B5" s="2" t="s">
        <v>8</v>
      </c>
      <c r="C5" s="2" t="s">
        <v>10</v>
      </c>
      <c r="D5" s="21">
        <f>304.761905</f>
        <v>304.76190500000001</v>
      </c>
      <c r="E5" s="21">
        <v>1000</v>
      </c>
      <c r="F5" s="21">
        <v>1300</v>
      </c>
      <c r="G5" s="21">
        <f t="shared" ref="G5:G8" si="7">E5/1000</f>
        <v>1</v>
      </c>
      <c r="H5" s="21">
        <f t="shared" ref="H5:H8" si="8">F5/1000</f>
        <v>1.3</v>
      </c>
      <c r="I5" s="3">
        <f t="shared" si="1"/>
        <v>4.8</v>
      </c>
      <c r="J5" s="3">
        <f t="shared" si="2"/>
        <v>12.242521594866513</v>
      </c>
      <c r="K5" s="3"/>
      <c r="L5" s="3">
        <f t="shared" si="3"/>
        <v>1462.8571440000001</v>
      </c>
      <c r="M5" s="3">
        <f t="shared" si="3"/>
        <v>3731.0542032551571</v>
      </c>
      <c r="N5" s="7"/>
      <c r="O5" s="7"/>
      <c r="P5" s="3" t="s">
        <v>52</v>
      </c>
      <c r="Q5" s="12">
        <f t="shared" si="4"/>
        <v>257338106.96591741</v>
      </c>
      <c r="R5" s="12">
        <f t="shared" si="5"/>
        <v>79839360.588804454</v>
      </c>
      <c r="S5" s="3"/>
      <c r="T5" s="3"/>
      <c r="U5" s="3"/>
      <c r="V5" s="63"/>
      <c r="W5" s="5" t="s">
        <v>76</v>
      </c>
      <c r="X5" s="5">
        <f>SUM(S3,S24,S41,S42,S50,S56,S64,S65,S72,S80,S87,S91)</f>
        <v>581724710231.33948</v>
      </c>
      <c r="Y5" s="5">
        <f>SUM(T3,T24,T41,T42,T50,T56,T64,T65,T72,T80,T87,T91)</f>
        <v>24921323830.57362</v>
      </c>
      <c r="Z5" s="12">
        <f t="shared" si="0"/>
        <v>17.451741306940182</v>
      </c>
      <c r="AA5" s="12">
        <f>Y5*30*10^-12</f>
        <v>0.7476397149172086</v>
      </c>
      <c r="AB5" s="12">
        <f t="shared" si="6"/>
        <v>9.0996905109286956</v>
      </c>
      <c r="AC5" s="12"/>
      <c r="AD5" s="1"/>
      <c r="AE5" s="1"/>
      <c r="AF5" s="1"/>
    </row>
    <row r="6" spans="1:33" s="2" customFormat="1" x14ac:dyDescent="0.25">
      <c r="A6" s="2" t="s">
        <v>6</v>
      </c>
      <c r="B6" s="2" t="s">
        <v>8</v>
      </c>
      <c r="C6" s="2" t="s">
        <v>12</v>
      </c>
      <c r="D6" s="21">
        <f>723.657143+428.843537</f>
        <v>1152.5006800000001</v>
      </c>
      <c r="E6" s="21">
        <v>2000</v>
      </c>
      <c r="F6" s="21">
        <v>3000</v>
      </c>
      <c r="G6" s="21">
        <f t="shared" si="7"/>
        <v>2</v>
      </c>
      <c r="H6" s="21">
        <f t="shared" si="8"/>
        <v>3</v>
      </c>
      <c r="I6" s="3">
        <f>0.0048*(E6*10^-3)^3.5687*1000</f>
        <v>56.954360901634594</v>
      </c>
      <c r="J6" s="3">
        <f>0.0048*(F6*10^-3)^3.5687*1000</f>
        <v>242.07161024415183</v>
      </c>
      <c r="K6" s="3"/>
      <c r="L6" s="3">
        <f t="shared" si="3"/>
        <v>65639.939668099294</v>
      </c>
      <c r="M6" s="3">
        <f t="shared" si="3"/>
        <v>278987.69541507994</v>
      </c>
      <c r="N6" s="7"/>
      <c r="O6" s="7"/>
      <c r="P6" s="3" t="s">
        <v>52</v>
      </c>
      <c r="Q6" s="10">
        <f t="shared" si="4"/>
        <v>10367789154.49029</v>
      </c>
      <c r="R6" s="10">
        <f t="shared" si="5"/>
        <v>1698889222.6981852</v>
      </c>
      <c r="S6" s="3"/>
      <c r="T6" s="3"/>
      <c r="U6" s="3"/>
      <c r="Z6" s="57">
        <f>SUM(Z3:Z5)</f>
        <v>21.819091278289648</v>
      </c>
      <c r="AA6" s="57">
        <f>SUM(AA3:AA5)</f>
        <v>2.1716986116613772</v>
      </c>
      <c r="AC6" s="12"/>
      <c r="AD6" s="1"/>
      <c r="AE6" s="1"/>
      <c r="AF6" s="1"/>
    </row>
    <row r="7" spans="1:33" s="2" customFormat="1" x14ac:dyDescent="0.25">
      <c r="A7" s="2" t="s">
        <v>6</v>
      </c>
      <c r="B7" s="2" t="s">
        <v>8</v>
      </c>
      <c r="C7" s="2" t="s">
        <v>13</v>
      </c>
      <c r="D7" s="21">
        <f>1107.961905+129.52381</f>
        <v>1237.4857149999998</v>
      </c>
      <c r="E7" s="21">
        <v>1860</v>
      </c>
      <c r="F7" s="21">
        <v>3200</v>
      </c>
      <c r="G7" s="21">
        <f t="shared" si="7"/>
        <v>1.86</v>
      </c>
      <c r="H7" s="21">
        <f t="shared" si="8"/>
        <v>3.2</v>
      </c>
      <c r="I7" s="3">
        <f t="shared" ref="I7:I8" si="9">0.0048*(E7*10^-3)^3.5687*1000</f>
        <v>43.959432925065776</v>
      </c>
      <c r="J7" s="3">
        <f t="shared" ref="J7:J8" si="10">0.0048*(F7*10^-3)^3.5687*1000</f>
        <v>304.7684210199219</v>
      </c>
      <c r="K7" s="3"/>
      <c r="L7" s="3">
        <f t="shared" si="3"/>
        <v>54399.170284269552</v>
      </c>
      <c r="M7" s="3">
        <f t="shared" si="3"/>
        <v>377146.56739525904</v>
      </c>
      <c r="N7" s="7"/>
      <c r="O7" s="7"/>
      <c r="P7" s="3" t="s">
        <v>52</v>
      </c>
      <c r="Q7" s="12">
        <f t="shared" si="4"/>
        <v>14953057104.643934</v>
      </c>
      <c r="R7" s="12">
        <f t="shared" si="5"/>
        <v>1329176448.150049</v>
      </c>
      <c r="S7" s="3"/>
      <c r="T7" s="3"/>
      <c r="U7" s="3"/>
      <c r="V7" s="56" t="s">
        <v>78</v>
      </c>
      <c r="W7" s="12" t="s">
        <v>74</v>
      </c>
      <c r="X7" s="5">
        <f>SUM(S92,S118,S123,S128,S167,S184)</f>
        <v>57599096200.546829</v>
      </c>
      <c r="Y7" s="5">
        <f>SUM(T92,T118,T123,T128,T167,T184)</f>
        <v>14714149487.786102</v>
      </c>
      <c r="Z7" s="12">
        <f t="shared" ref="Z7:AA9" si="11">X7*30*10^-12</f>
        <v>1.7279728860164048</v>
      </c>
      <c r="AA7" s="12">
        <f t="shared" si="11"/>
        <v>0.44142448463358308</v>
      </c>
      <c r="AB7" s="12">
        <f>AVERAGE(Z7:AA7)</f>
        <v>1.084698685324994</v>
      </c>
      <c r="AC7" s="12"/>
      <c r="AD7" s="1"/>
      <c r="AE7" s="1"/>
      <c r="AF7" s="1"/>
    </row>
    <row r="8" spans="1:33" s="2" customFormat="1" x14ac:dyDescent="0.25">
      <c r="A8" s="2" t="s">
        <v>6</v>
      </c>
      <c r="B8" s="2" t="s">
        <v>8</v>
      </c>
      <c r="C8" s="2" t="s">
        <v>14</v>
      </c>
      <c r="D8" s="21">
        <f>12.647619</f>
        <v>12.647619000000001</v>
      </c>
      <c r="E8" s="21">
        <v>1950</v>
      </c>
      <c r="F8" s="21">
        <v>2800</v>
      </c>
      <c r="G8" s="21">
        <f t="shared" si="7"/>
        <v>1.95</v>
      </c>
      <c r="H8" s="21">
        <f t="shared" si="8"/>
        <v>2.8</v>
      </c>
      <c r="I8" s="3">
        <f t="shared" si="9"/>
        <v>52.034064977684302</v>
      </c>
      <c r="J8" s="3">
        <f t="shared" si="10"/>
        <v>189.24050739954041</v>
      </c>
      <c r="K8" s="3"/>
      <c r="L8" s="3">
        <f t="shared" si="3"/>
        <v>658.10702885899457</v>
      </c>
      <c r="M8" s="3">
        <f t="shared" si="3"/>
        <v>2393.4418369560681</v>
      </c>
      <c r="N8" s="7"/>
      <c r="O8" s="7"/>
      <c r="P8" s="3" t="s">
        <v>52</v>
      </c>
      <c r="Q8" s="10">
        <f t="shared" si="4"/>
        <v>90977456.794111952</v>
      </c>
      <c r="R8" s="10">
        <f t="shared" si="5"/>
        <v>18114479.3590765</v>
      </c>
      <c r="S8" s="3"/>
      <c r="T8" s="3"/>
      <c r="U8" s="3"/>
      <c r="V8" s="56"/>
      <c r="W8" s="1" t="s">
        <v>75</v>
      </c>
      <c r="X8" s="5">
        <f>SUM(S100,S108,S116)</f>
        <v>115913762090.7384</v>
      </c>
      <c r="Y8" s="5">
        <f>SUM(T100,T108,T116)</f>
        <v>57199759513.729843</v>
      </c>
      <c r="Z8" s="12">
        <f t="shared" si="11"/>
        <v>3.4774128627221521</v>
      </c>
      <c r="AA8" s="12">
        <f t="shared" si="11"/>
        <v>1.7159927854118953</v>
      </c>
      <c r="AB8" s="12">
        <f>AVERAGE(Z8:AA8)</f>
        <v>2.5967028240670236</v>
      </c>
      <c r="AC8" s="12"/>
      <c r="AD8" s="1"/>
      <c r="AE8" s="1"/>
      <c r="AF8" s="1"/>
    </row>
    <row r="9" spans="1:33" s="9" customFormat="1" x14ac:dyDescent="0.25">
      <c r="A9" s="9" t="s">
        <v>6</v>
      </c>
      <c r="B9" s="9" t="s">
        <v>8</v>
      </c>
      <c r="C9" s="9" t="s">
        <v>15</v>
      </c>
      <c r="D9" s="19">
        <f>SUM(1844.266667,1701.22449)</f>
        <v>3545.4911570000004</v>
      </c>
      <c r="E9" s="19"/>
      <c r="F9" s="19"/>
      <c r="G9" s="19"/>
      <c r="H9" s="19"/>
      <c r="I9" s="10"/>
      <c r="J9" s="10"/>
      <c r="K9" s="10"/>
      <c r="L9" s="10"/>
      <c r="M9" s="10"/>
      <c r="N9" s="7">
        <f>SUM(L4:L8)</f>
        <v>123468.57766344723</v>
      </c>
      <c r="O9" s="7">
        <f>SUM(M4:M8)</f>
        <v>669969.72369618632</v>
      </c>
      <c r="P9" s="10"/>
      <c r="Q9" s="12" t="e">
        <f t="shared" si="4"/>
        <v>#DIV/0!</v>
      </c>
      <c r="R9" s="12" t="e">
        <f t="shared" si="5"/>
        <v>#DIV/0!</v>
      </c>
      <c r="S9" s="10">
        <f>SUM(Q4+Q5,Q6:Q8)</f>
        <v>26373402641.99913</v>
      </c>
      <c r="T9" s="10">
        <f>SUM(R4+R5,R6:R8)</f>
        <v>3202721021.2896652</v>
      </c>
      <c r="U9" s="10"/>
      <c r="V9" s="12"/>
      <c r="W9" s="5" t="s">
        <v>76</v>
      </c>
      <c r="X9" s="5">
        <f>SUM(S93,S117,S135,S136,S144,S152,S160,S161,S175,S183,S188)</f>
        <v>586809156596.81299</v>
      </c>
      <c r="Y9" s="5">
        <f>SUM(T93,T117,T135,T136,T144,T152,T160,T161,T175,T183,T188)</f>
        <v>40001093427.876404</v>
      </c>
      <c r="Z9" s="12">
        <f t="shared" si="11"/>
        <v>17.60427469790439</v>
      </c>
      <c r="AA9" s="12">
        <f>Y9*30*10^-12</f>
        <v>1.2000328028362919</v>
      </c>
      <c r="AB9" s="12">
        <f>AVERAGE(Z9:AA9)</f>
        <v>9.4021537503703421</v>
      </c>
    </row>
    <row r="10" spans="1:33" s="1" customFormat="1" x14ac:dyDescent="0.25">
      <c r="A10" s="1" t="s">
        <v>6</v>
      </c>
      <c r="B10" s="1" t="s">
        <v>16</v>
      </c>
      <c r="C10" s="1" t="s">
        <v>18</v>
      </c>
      <c r="D10" s="22">
        <f>SUM(11.428571,
876.190476)</f>
        <v>887.61904700000002</v>
      </c>
      <c r="E10" s="22">
        <v>600</v>
      </c>
      <c r="F10" s="22">
        <v>1000</v>
      </c>
      <c r="G10" s="22">
        <f>E10/1000</f>
        <v>0.6</v>
      </c>
      <c r="H10" s="22">
        <f>F10/1000</f>
        <v>1</v>
      </c>
      <c r="I10" s="5">
        <f t="shared" ref="I10:J15" si="12">4.742*(E10*10^-3)^3.452</f>
        <v>0.81309195862009598</v>
      </c>
      <c r="J10" s="5">
        <f t="shared" si="12"/>
        <v>4.742</v>
      </c>
      <c r="K10" s="5" t="s">
        <v>41</v>
      </c>
      <c r="L10" s="5">
        <f>I10*$D10</f>
        <v>721.71590943373303</v>
      </c>
      <c r="M10" s="5">
        <f>J10*$D10</f>
        <v>4209.0895208740003</v>
      </c>
      <c r="P10" s="5" t="s">
        <v>52</v>
      </c>
      <c r="Q10" s="10">
        <f t="shared" si="4"/>
        <v>452518250.07556331</v>
      </c>
      <c r="R10" s="10">
        <f t="shared" si="5"/>
        <v>49929675.601980075</v>
      </c>
      <c r="W10" s="12"/>
      <c r="X10" s="12"/>
      <c r="Y10" s="12"/>
      <c r="Z10" s="57">
        <f>SUM(Z7:Z9)</f>
        <v>22.809660446642948</v>
      </c>
      <c r="AA10" s="57">
        <f>SUM(AA7:AA9)</f>
        <v>3.35745007288177</v>
      </c>
      <c r="AB10" s="9"/>
    </row>
    <row r="11" spans="1:33" s="1" customFormat="1" x14ac:dyDescent="0.25">
      <c r="A11" s="1" t="s">
        <v>6</v>
      </c>
      <c r="B11" s="1" t="s">
        <v>16</v>
      </c>
      <c r="C11" s="1" t="s">
        <v>9</v>
      </c>
      <c r="D11" s="22">
        <f>480</f>
        <v>480</v>
      </c>
      <c r="E11" s="22">
        <v>1100</v>
      </c>
      <c r="F11" s="22">
        <v>1370</v>
      </c>
      <c r="G11" s="22">
        <f t="shared" ref="G11:G15" si="13">E11/1000</f>
        <v>1.1000000000000001</v>
      </c>
      <c r="H11" s="22">
        <f t="shared" ref="H11:H15" si="14">F11/1000</f>
        <v>1.37</v>
      </c>
      <c r="I11" s="5">
        <f t="shared" si="12"/>
        <v>6.5894489660089315</v>
      </c>
      <c r="J11" s="5">
        <f t="shared" si="12"/>
        <v>14.057916113595834</v>
      </c>
      <c r="K11" s="5"/>
      <c r="L11" s="5">
        <f t="shared" ref="L11:L15" si="15">I11*$D11</f>
        <v>3162.9355036842871</v>
      </c>
      <c r="M11" s="5">
        <f t="shared" ref="M11:M15" si="16">J11*$D11</f>
        <v>6747.7997345260001</v>
      </c>
      <c r="N11" s="8"/>
      <c r="O11" s="8"/>
      <c r="P11" s="5" t="s">
        <v>52</v>
      </c>
      <c r="Q11" s="12">
        <f t="shared" si="4"/>
        <v>429964661.82802165</v>
      </c>
      <c r="R11" s="12">
        <f t="shared" si="5"/>
        <v>166760409.22095752</v>
      </c>
      <c r="S11" s="5"/>
      <c r="T11" s="5"/>
      <c r="U11" s="5"/>
    </row>
    <row r="12" spans="1:33" s="1" customFormat="1" x14ac:dyDescent="0.25">
      <c r="A12" s="1" t="s">
        <v>6</v>
      </c>
      <c r="B12" s="1" t="s">
        <v>16</v>
      </c>
      <c r="C12" s="1" t="s">
        <v>10</v>
      </c>
      <c r="D12" s="22">
        <f>388.571429</f>
        <v>388.57142900000002</v>
      </c>
      <c r="E12" s="22">
        <v>1400</v>
      </c>
      <c r="F12" s="22">
        <v>2000</v>
      </c>
      <c r="G12" s="22">
        <f t="shared" si="13"/>
        <v>1.4</v>
      </c>
      <c r="H12" s="22">
        <f t="shared" si="14"/>
        <v>2</v>
      </c>
      <c r="I12" s="5">
        <f t="shared" si="12"/>
        <v>15.149403351788706</v>
      </c>
      <c r="J12" s="5">
        <f t="shared" si="12"/>
        <v>51.893993688844894</v>
      </c>
      <c r="K12" s="5"/>
      <c r="L12" s="5">
        <f t="shared" si="15"/>
        <v>5886.6253089019274</v>
      </c>
      <c r="M12" s="5">
        <f t="shared" si="16"/>
        <v>20164.523284191444</v>
      </c>
      <c r="N12" s="8"/>
      <c r="O12" s="8"/>
      <c r="P12" s="5" t="s">
        <v>52</v>
      </c>
      <c r="Q12" s="10">
        <f t="shared" si="4"/>
        <v>1043450688.2413325</v>
      </c>
      <c r="R12" s="10">
        <f t="shared" si="5"/>
        <v>223908186.5119383</v>
      </c>
      <c r="S12" s="5"/>
      <c r="T12" s="5"/>
      <c r="U12" s="5"/>
    </row>
    <row r="13" spans="1:33" s="1" customFormat="1" x14ac:dyDescent="0.25">
      <c r="A13" s="1" t="s">
        <v>6</v>
      </c>
      <c r="B13" s="1" t="s">
        <v>16</v>
      </c>
      <c r="C13" s="1" t="s">
        <v>11</v>
      </c>
      <c r="D13" s="22">
        <f>76.190476</f>
        <v>76.190476000000004</v>
      </c>
      <c r="E13" s="22">
        <v>2000</v>
      </c>
      <c r="F13" s="22">
        <v>2700</v>
      </c>
      <c r="G13" s="22">
        <f t="shared" si="13"/>
        <v>2</v>
      </c>
      <c r="H13" s="22">
        <f t="shared" si="14"/>
        <v>2.7</v>
      </c>
      <c r="I13" s="5">
        <f t="shared" si="12"/>
        <v>51.893993688844894</v>
      </c>
      <c r="J13" s="5">
        <f t="shared" si="12"/>
        <v>146.22757018221634</v>
      </c>
      <c r="K13" s="5"/>
      <c r="L13" s="5">
        <f t="shared" si="15"/>
        <v>3953.8280806940884</v>
      </c>
      <c r="M13" s="5">
        <f t="shared" si="16"/>
        <v>11141.148176506471</v>
      </c>
      <c r="N13" s="8"/>
      <c r="O13" s="8"/>
      <c r="P13" s="5" t="s">
        <v>52</v>
      </c>
      <c r="Q13" s="12">
        <f t="shared" si="4"/>
        <v>423773240.68680811</v>
      </c>
      <c r="R13" s="12">
        <f t="shared" si="5"/>
        <v>116076236.45374998</v>
      </c>
      <c r="S13" s="5"/>
      <c r="T13" s="5"/>
      <c r="U13" s="5"/>
    </row>
    <row r="14" spans="1:33" s="1" customFormat="1" x14ac:dyDescent="0.25">
      <c r="A14" s="1" t="s">
        <v>6</v>
      </c>
      <c r="B14" s="1" t="s">
        <v>16</v>
      </c>
      <c r="C14" s="1" t="s">
        <v>12</v>
      </c>
      <c r="D14" s="22">
        <v>14.476190000000001</v>
      </c>
      <c r="E14" s="22">
        <v>2700</v>
      </c>
      <c r="F14" s="22">
        <v>3500</v>
      </c>
      <c r="G14" s="22">
        <f t="shared" si="13"/>
        <v>2.7</v>
      </c>
      <c r="H14" s="22">
        <f t="shared" si="14"/>
        <v>3.5</v>
      </c>
      <c r="I14" s="5">
        <f t="shared" si="12"/>
        <v>146.22757018221634</v>
      </c>
      <c r="J14" s="5">
        <f t="shared" si="12"/>
        <v>358.1660676243805</v>
      </c>
      <c r="K14" s="5"/>
      <c r="L14" s="5">
        <f t="shared" si="15"/>
        <v>2116.8180891960983</v>
      </c>
      <c r="M14" s="5">
        <f t="shared" si="16"/>
        <v>5184.8800464833812</v>
      </c>
      <c r="N14" s="8"/>
      <c r="O14" s="8"/>
      <c r="P14" s="5" t="s">
        <v>52</v>
      </c>
      <c r="Q14" s="10">
        <f t="shared" si="4"/>
        <v>152217382.74322814</v>
      </c>
      <c r="R14" s="10">
        <f t="shared" si="5"/>
        <v>49675847.056717061</v>
      </c>
      <c r="S14" s="5"/>
      <c r="T14" s="5"/>
      <c r="U14" s="5"/>
    </row>
    <row r="15" spans="1:33" s="1" customFormat="1" x14ac:dyDescent="0.25">
      <c r="A15" s="1" t="s">
        <v>6</v>
      </c>
      <c r="B15" s="1" t="s">
        <v>16</v>
      </c>
      <c r="C15" s="1" t="s">
        <v>13</v>
      </c>
      <c r="D15" s="22">
        <v>47.390476</v>
      </c>
      <c r="E15" s="22">
        <v>3400</v>
      </c>
      <c r="F15" s="22">
        <v>4800</v>
      </c>
      <c r="G15" s="22">
        <f t="shared" si="13"/>
        <v>3.4</v>
      </c>
      <c r="H15" s="22">
        <f t="shared" si="14"/>
        <v>4.8</v>
      </c>
      <c r="I15" s="5">
        <f t="shared" si="12"/>
        <v>324.06100256862544</v>
      </c>
      <c r="J15" s="5">
        <f t="shared" si="12"/>
        <v>1065.6296629826547</v>
      </c>
      <c r="K15" s="5"/>
      <c r="L15" s="5">
        <f t="shared" si="15"/>
        <v>15357.405164764383</v>
      </c>
      <c r="M15" s="5">
        <f t="shared" si="16"/>
        <v>50500.696968467586</v>
      </c>
      <c r="N15" s="8"/>
      <c r="O15" s="8"/>
      <c r="P15" s="5" t="s">
        <v>52</v>
      </c>
      <c r="Q15" s="12">
        <f t="shared" si="4"/>
        <v>1215132207.0568855</v>
      </c>
      <c r="R15" s="12">
        <f t="shared" si="5"/>
        <v>274409485.6360361</v>
      </c>
      <c r="S15" s="5"/>
      <c r="T15" s="5"/>
      <c r="U15" s="5"/>
    </row>
    <row r="16" spans="1:33" s="11" customFormat="1" x14ac:dyDescent="0.25">
      <c r="A16" s="11" t="s">
        <v>6</v>
      </c>
      <c r="B16" s="11" t="s">
        <v>16</v>
      </c>
      <c r="C16" s="11" t="s">
        <v>15</v>
      </c>
      <c r="D16" s="20">
        <f>SUM(73.295238,
1820.952381)</f>
        <v>1894.247619</v>
      </c>
      <c r="E16" s="20"/>
      <c r="F16" s="20"/>
      <c r="G16" s="20"/>
      <c r="H16" s="20"/>
      <c r="I16" s="12"/>
      <c r="J16" s="12"/>
      <c r="K16" s="12"/>
      <c r="L16" s="12"/>
      <c r="M16" s="12"/>
      <c r="N16" s="8">
        <f>SUM(L10:L15)</f>
        <v>31199.328056674516</v>
      </c>
      <c r="O16" s="8">
        <f>SUM(M10:M15)</f>
        <v>97948.13773104889</v>
      </c>
      <c r="P16" s="12"/>
      <c r="Q16" s="10" t="e">
        <f t="shared" si="4"/>
        <v>#DIV/0!</v>
      </c>
      <c r="R16" s="10" t="e">
        <f t="shared" si="5"/>
        <v>#DIV/0!</v>
      </c>
      <c r="S16" s="12">
        <f>SUM(Q10:Q15)</f>
        <v>3717056430.6318388</v>
      </c>
      <c r="T16" s="12">
        <f>SUM(R10:R15)</f>
        <v>880759840.48137903</v>
      </c>
      <c r="U16" s="12"/>
    </row>
    <row r="17" spans="1:25" s="2" customFormat="1" x14ac:dyDescent="0.25">
      <c r="A17" s="2" t="s">
        <v>6</v>
      </c>
      <c r="B17" s="2" t="s">
        <v>17</v>
      </c>
      <c r="C17" s="2" t="s">
        <v>18</v>
      </c>
      <c r="D17" s="21">
        <f>91.428571</f>
        <v>91.428571000000005</v>
      </c>
      <c r="E17" s="21">
        <v>950</v>
      </c>
      <c r="F17" s="21">
        <v>1500</v>
      </c>
      <c r="G17" s="21">
        <f t="shared" ref="G17" si="17">E17/1000</f>
        <v>0.95</v>
      </c>
      <c r="H17" s="21">
        <f t="shared" ref="H17" si="18">F17/1000</f>
        <v>1.5</v>
      </c>
      <c r="I17" s="3">
        <f>7.263*(E17*10^-3)^3.106</f>
        <v>6.1933491234965805</v>
      </c>
      <c r="J17" s="3">
        <f>7.263*(F17*10^-3)^3.106</f>
        <v>25.589128476667867</v>
      </c>
      <c r="K17" s="3" t="s">
        <v>41</v>
      </c>
      <c r="L17" s="3">
        <f>I17*$D17</f>
        <v>566.24906006539493</v>
      </c>
      <c r="M17" s="3">
        <f t="shared" ref="L17:M22" si="19">J17*$D17</f>
        <v>2339.5774497571501</v>
      </c>
      <c r="P17" s="3" t="s">
        <v>52</v>
      </c>
      <c r="Q17" s="12">
        <f t="shared" si="4"/>
        <v>151404536.85612941</v>
      </c>
      <c r="R17" s="12">
        <f t="shared" si="5"/>
        <v>25702565.424631651</v>
      </c>
      <c r="V17" s="1"/>
      <c r="W17" s="1"/>
      <c r="X17" s="1"/>
      <c r="Y17" s="1"/>
    </row>
    <row r="18" spans="1:25" s="2" customFormat="1" x14ac:dyDescent="0.25">
      <c r="A18" s="2" t="s">
        <v>6</v>
      </c>
      <c r="B18" s="2" t="s">
        <v>17</v>
      </c>
      <c r="C18" s="2" t="s">
        <v>9</v>
      </c>
      <c r="D18" s="21">
        <f>SUM(45.714286,1760)</f>
        <v>1805.7142859999999</v>
      </c>
      <c r="E18" s="21">
        <v>1500</v>
      </c>
      <c r="F18" s="21">
        <v>2600</v>
      </c>
      <c r="G18" s="21">
        <f t="shared" ref="G18:G22" si="20">E18/1000</f>
        <v>1.5</v>
      </c>
      <c r="H18" s="21">
        <f t="shared" ref="H18:H22" si="21">F18/1000</f>
        <v>2.6</v>
      </c>
      <c r="I18" s="3">
        <f t="shared" ref="I18:I22" si="22">7.263*(E18*10^-3)^3.106</f>
        <v>25.589128476667867</v>
      </c>
      <c r="J18" s="3">
        <f t="shared" ref="J18:J22" si="23">7.263*(F18*10^-3)^3.106</f>
        <v>141.26132091409403</v>
      </c>
      <c r="K18" s="3"/>
      <c r="L18" s="3">
        <f t="shared" si="19"/>
        <v>46206.654856608584</v>
      </c>
      <c r="M18" s="3">
        <f t="shared" si="19"/>
        <v>255077.58523381015</v>
      </c>
      <c r="N18" s="7"/>
      <c r="O18" s="7"/>
      <c r="P18" s="3" t="s">
        <v>52</v>
      </c>
      <c r="Q18" s="10">
        <f t="shared" si="4"/>
        <v>11578206102.579502</v>
      </c>
      <c r="R18" s="10">
        <f t="shared" si="5"/>
        <v>1368300752.8804166</v>
      </c>
      <c r="S18" s="3"/>
      <c r="T18" s="3"/>
      <c r="U18" s="3"/>
      <c r="V18" s="1"/>
      <c r="W18" s="1"/>
      <c r="X18" s="1"/>
      <c r="Y18" s="1"/>
    </row>
    <row r="19" spans="1:25" s="2" customFormat="1" x14ac:dyDescent="0.25">
      <c r="A19" s="2" t="s">
        <v>6</v>
      </c>
      <c r="B19" s="2" t="s">
        <v>17</v>
      </c>
      <c r="C19" s="2" t="s">
        <v>10</v>
      </c>
      <c r="D19" s="21">
        <f>SUM(1929.6,
1853.605442)</f>
        <v>3783.2054419999999</v>
      </c>
      <c r="E19" s="21">
        <v>2600</v>
      </c>
      <c r="F19" s="21">
        <v>3500</v>
      </c>
      <c r="G19" s="21">
        <f t="shared" si="20"/>
        <v>2.6</v>
      </c>
      <c r="H19" s="21">
        <f t="shared" si="21"/>
        <v>3.5</v>
      </c>
      <c r="I19" s="3">
        <f t="shared" si="22"/>
        <v>141.26132091409403</v>
      </c>
      <c r="J19" s="3">
        <f t="shared" si="23"/>
        <v>355.62426808540175</v>
      </c>
      <c r="K19" s="3"/>
      <c r="L19" s="3">
        <f t="shared" si="19"/>
        <v>534420.59802630893</v>
      </c>
      <c r="M19" s="3">
        <f t="shared" si="19"/>
        <v>1345399.6663279589</v>
      </c>
      <c r="N19" s="7"/>
      <c r="O19" s="7"/>
      <c r="P19" s="3" t="s">
        <v>52</v>
      </c>
      <c r="Q19" s="12">
        <f t="shared" si="4"/>
        <v>39840827735.191833</v>
      </c>
      <c r="R19" s="12">
        <f t="shared" si="5"/>
        <v>12563718411.822876</v>
      </c>
      <c r="S19" s="3"/>
      <c r="T19" s="3"/>
      <c r="U19" s="3"/>
      <c r="V19" s="1"/>
      <c r="W19" s="1"/>
      <c r="X19" s="1"/>
      <c r="Y19" s="1"/>
    </row>
    <row r="20" spans="1:25" s="2" customFormat="1" x14ac:dyDescent="0.25">
      <c r="A20" s="2" t="s">
        <v>6</v>
      </c>
      <c r="B20" s="2" t="s">
        <v>17</v>
      </c>
      <c r="C20" s="2" t="s">
        <v>11</v>
      </c>
      <c r="D20" s="21">
        <f>249.6</f>
        <v>249.6</v>
      </c>
      <c r="E20" s="21">
        <v>3500</v>
      </c>
      <c r="F20" s="21">
        <v>4200</v>
      </c>
      <c r="G20" s="21">
        <f t="shared" si="20"/>
        <v>3.5</v>
      </c>
      <c r="H20" s="21">
        <f t="shared" si="21"/>
        <v>4.2</v>
      </c>
      <c r="I20" s="3">
        <f t="shared" si="22"/>
        <v>355.62426808540175</v>
      </c>
      <c r="J20" s="3">
        <f t="shared" si="23"/>
        <v>626.5104800772491</v>
      </c>
      <c r="K20" s="3"/>
      <c r="L20" s="3">
        <f t="shared" si="19"/>
        <v>88763.81731411627</v>
      </c>
      <c r="M20" s="3">
        <f t="shared" si="19"/>
        <v>156377.01582728137</v>
      </c>
      <c r="N20" s="7"/>
      <c r="O20" s="7"/>
      <c r="P20" s="3" t="s">
        <v>52</v>
      </c>
      <c r="Q20" s="10">
        <f t="shared" si="4"/>
        <v>3676274455.3465233</v>
      </c>
      <c r="R20" s="10">
        <f t="shared" si="5"/>
        <v>1811284783.9630692</v>
      </c>
      <c r="S20" s="3"/>
      <c r="T20" s="3"/>
      <c r="U20" s="3"/>
      <c r="V20" s="1"/>
      <c r="W20" s="1"/>
      <c r="X20" s="1"/>
      <c r="Y20" s="1"/>
    </row>
    <row r="21" spans="1:25" s="2" customFormat="1" x14ac:dyDescent="0.25">
      <c r="A21" s="2" t="s">
        <v>6</v>
      </c>
      <c r="B21" s="2" t="s">
        <v>17</v>
      </c>
      <c r="C21" s="2" t="s">
        <v>12</v>
      </c>
      <c r="D21" s="21">
        <f>746.514286</f>
        <v>746.51428599999997</v>
      </c>
      <c r="E21" s="21">
        <v>4600</v>
      </c>
      <c r="F21" s="21">
        <v>5400</v>
      </c>
      <c r="G21" s="21">
        <f t="shared" si="20"/>
        <v>4.5999999999999996</v>
      </c>
      <c r="H21" s="21">
        <f t="shared" si="21"/>
        <v>5.4</v>
      </c>
      <c r="I21" s="3">
        <f t="shared" si="22"/>
        <v>831.07815957792832</v>
      </c>
      <c r="J21" s="3">
        <f t="shared" si="23"/>
        <v>1367.5117360953927</v>
      </c>
      <c r="K21" s="3"/>
      <c r="L21" s="3">
        <f t="shared" si="19"/>
        <v>620411.71890751121</v>
      </c>
      <c r="M21" s="3">
        <f t="shared" si="19"/>
        <v>1020867.0472678725</v>
      </c>
      <c r="N21" s="7"/>
      <c r="O21" s="7"/>
      <c r="P21" s="3" t="s">
        <v>52</v>
      </c>
      <c r="Q21" s="12">
        <f t="shared" si="4"/>
        <v>19410716691.72691</v>
      </c>
      <c r="R21" s="12">
        <f t="shared" si="5"/>
        <v>10415498960.326385</v>
      </c>
      <c r="S21" s="3"/>
      <c r="T21" s="3"/>
      <c r="U21" s="3"/>
      <c r="V21" s="1"/>
      <c r="W21" s="1"/>
      <c r="X21" s="1"/>
      <c r="Y21" s="1"/>
    </row>
    <row r="22" spans="1:25" s="2" customFormat="1" x14ac:dyDescent="0.25">
      <c r="A22" s="2" t="s">
        <v>6</v>
      </c>
      <c r="B22" s="2" t="s">
        <v>17</v>
      </c>
      <c r="C22" s="2" t="s">
        <v>13</v>
      </c>
      <c r="D22" s="21">
        <f>270.628571</f>
        <v>270.62857100000002</v>
      </c>
      <c r="E22" s="21">
        <v>6600</v>
      </c>
      <c r="F22" s="21">
        <v>7200</v>
      </c>
      <c r="G22" s="21">
        <f t="shared" si="20"/>
        <v>6.6</v>
      </c>
      <c r="H22" s="21">
        <f t="shared" si="21"/>
        <v>7.2</v>
      </c>
      <c r="I22" s="3">
        <f t="shared" si="22"/>
        <v>2550.465821375426</v>
      </c>
      <c r="J22" s="3">
        <f t="shared" si="23"/>
        <v>3341.8794371620952</v>
      </c>
      <c r="K22" s="3"/>
      <c r="L22" s="3">
        <f t="shared" si="19"/>
        <v>690228.92062317289</v>
      </c>
      <c r="M22" s="3">
        <f t="shared" si="19"/>
        <v>904408.05653346225</v>
      </c>
      <c r="N22" s="7"/>
      <c r="O22" s="7"/>
      <c r="P22" s="3" t="s">
        <v>52</v>
      </c>
      <c r="Q22" s="10">
        <f t="shared" si="4"/>
        <v>12992490211.598326</v>
      </c>
      <c r="R22" s="10">
        <f t="shared" si="5"/>
        <v>9267835371.9316711</v>
      </c>
      <c r="S22" s="3"/>
      <c r="T22" s="3"/>
      <c r="U22" s="3"/>
      <c r="V22" s="1"/>
      <c r="W22" s="1"/>
      <c r="X22" s="1"/>
      <c r="Y22" s="1"/>
    </row>
    <row r="23" spans="1:25" s="9" customFormat="1" x14ac:dyDescent="0.25">
      <c r="A23" s="9" t="s">
        <v>6</v>
      </c>
      <c r="B23" s="9" t="s">
        <v>17</v>
      </c>
      <c r="C23" s="9" t="s">
        <v>15</v>
      </c>
      <c r="D23" s="19">
        <f>SUM(3242.057143,
3705.034014)</f>
        <v>6947.0911569999998</v>
      </c>
      <c r="E23" s="19"/>
      <c r="F23" s="19"/>
      <c r="G23" s="19"/>
      <c r="H23" s="19"/>
      <c r="I23" s="10"/>
      <c r="J23" s="10"/>
      <c r="K23" s="10"/>
      <c r="L23" s="10"/>
      <c r="M23" s="10"/>
      <c r="N23" s="7">
        <f>SUM(L17:L22)</f>
        <v>1980597.9587877835</v>
      </c>
      <c r="O23" s="7">
        <f>SUM(M17:M22)</f>
        <v>3684468.9486401426</v>
      </c>
      <c r="P23" s="10"/>
      <c r="Q23" s="12" t="e">
        <f t="shared" si="4"/>
        <v>#DIV/0!</v>
      </c>
      <c r="R23" s="12" t="e">
        <f t="shared" si="5"/>
        <v>#DIV/0!</v>
      </c>
      <c r="S23" s="10">
        <f>SUM(Q17:Q22)</f>
        <v>87649919733.299225</v>
      </c>
      <c r="T23" s="10">
        <f>SUM(R17:R22)</f>
        <v>35452340846.349052</v>
      </c>
      <c r="U23" s="10"/>
      <c r="V23" s="11"/>
      <c r="W23" s="11"/>
      <c r="X23" s="11"/>
      <c r="Y23" s="11"/>
    </row>
    <row r="24" spans="1:25" s="11" customFormat="1" x14ac:dyDescent="0.25">
      <c r="A24" s="11" t="s">
        <v>6</v>
      </c>
      <c r="B24" s="11" t="s">
        <v>19</v>
      </c>
      <c r="C24" s="11" t="s">
        <v>4</v>
      </c>
      <c r="D24" s="20">
        <f>SUM(60.952381,
124.081633)</f>
        <v>185.03401400000001</v>
      </c>
      <c r="E24" s="20">
        <f>1.7</f>
        <v>1.7</v>
      </c>
      <c r="F24" s="20">
        <f>2.8</f>
        <v>2.8</v>
      </c>
      <c r="G24" s="20">
        <f>E24</f>
        <v>1.7</v>
      </c>
      <c r="H24" s="20">
        <f>F24</f>
        <v>2.8</v>
      </c>
      <c r="I24" s="12">
        <f>((0.0228*(E24)^2.3698)/0.9)*0.4*1000</f>
        <v>35.63446006817815</v>
      </c>
      <c r="J24" s="12">
        <f>((0.0228*(F24)^2.3698)/0.9)*0.4*1000</f>
        <v>116.259227141754</v>
      </c>
      <c r="K24" s="5" t="s">
        <v>46</v>
      </c>
      <c r="L24" s="12">
        <f>I24*$D24</f>
        <v>6593.5871831377171</v>
      </c>
      <c r="M24" s="12">
        <f>J24*$D24</f>
        <v>21511.911462576489</v>
      </c>
      <c r="N24" s="8">
        <f>L24</f>
        <v>6593.5871831377171</v>
      </c>
      <c r="O24" s="8">
        <f>M24</f>
        <v>21511.911462576489</v>
      </c>
      <c r="P24" s="12" t="s">
        <v>54</v>
      </c>
      <c r="Q24" s="10">
        <f t="shared" si="4"/>
        <v>898864666.27007532</v>
      </c>
      <c r="R24" s="10">
        <f t="shared" si="5"/>
        <v>204997114.45869517</v>
      </c>
      <c r="S24" s="12">
        <f>Q24</f>
        <v>898864666.27007532</v>
      </c>
      <c r="T24" s="12">
        <f>R24</f>
        <v>204997114.45869517</v>
      </c>
      <c r="U24" s="12"/>
      <c r="V24" s="12"/>
      <c r="W24" s="12"/>
      <c r="X24" s="12"/>
      <c r="Y24" s="12"/>
    </row>
    <row r="25" spans="1:25" s="9" customFormat="1" x14ac:dyDescent="0.25">
      <c r="A25" s="9" t="s">
        <v>6</v>
      </c>
      <c r="B25" s="9" t="s">
        <v>20</v>
      </c>
      <c r="C25" s="9" t="s">
        <v>4</v>
      </c>
      <c r="D25" s="19">
        <f>SUM(660.72381,
346.122449)</f>
        <v>1006.8462589999999</v>
      </c>
      <c r="E25" s="19">
        <v>11.6871446</v>
      </c>
      <c r="F25" s="19">
        <v>11.6871446</v>
      </c>
      <c r="G25" s="19">
        <f>E25</f>
        <v>11.6871446</v>
      </c>
      <c r="H25" s="19">
        <f>F25</f>
        <v>11.6871446</v>
      </c>
      <c r="I25" s="10">
        <f>0.4*(0.00032*(E25)^3)*1000</f>
        <v>204.33145234296978</v>
      </c>
      <c r="J25" s="10">
        <f>0.4*(0.00032*(F25)^3)*1000</f>
        <v>204.33145234296978</v>
      </c>
      <c r="K25" s="10" t="s">
        <v>43</v>
      </c>
      <c r="L25" s="10">
        <f>I25*$D25</f>
        <v>205730.3583875559</v>
      </c>
      <c r="M25" s="10">
        <f>J25*$D25</f>
        <v>205730.3583875559</v>
      </c>
      <c r="N25" s="7">
        <f>L25</f>
        <v>205730.3583875559</v>
      </c>
      <c r="O25" s="7"/>
      <c r="P25" s="10" t="s">
        <v>51</v>
      </c>
      <c r="Q25" s="12">
        <f t="shared" si="4"/>
        <v>5555170975.0559444</v>
      </c>
      <c r="R25" s="12">
        <f t="shared" si="5"/>
        <v>5555170975.0559444</v>
      </c>
      <c r="S25" s="10">
        <f>Q25</f>
        <v>5555170975.0559444</v>
      </c>
      <c r="T25" s="10">
        <f>R25</f>
        <v>5555170975.0559444</v>
      </c>
      <c r="U25" s="10"/>
      <c r="V25" s="11"/>
      <c r="W25" s="11"/>
      <c r="X25" s="11"/>
      <c r="Y25" s="11"/>
    </row>
    <row r="26" spans="1:25" s="1" customFormat="1" x14ac:dyDescent="0.25">
      <c r="A26" s="1" t="s">
        <v>6</v>
      </c>
      <c r="B26" s="1" t="s">
        <v>21</v>
      </c>
      <c r="C26" s="1" t="s">
        <v>11</v>
      </c>
      <c r="D26" s="22">
        <f>13.714286</f>
        <v>13.714286</v>
      </c>
      <c r="E26" s="22">
        <v>1800</v>
      </c>
      <c r="F26" s="22">
        <v>2200</v>
      </c>
      <c r="G26" s="22">
        <f t="shared" ref="G26:G29" si="24">E26/1000</f>
        <v>1.8</v>
      </c>
      <c r="H26" s="22">
        <f t="shared" ref="H26:H29" si="25">F26/1000</f>
        <v>2.2000000000000002</v>
      </c>
      <c r="I26" s="5">
        <f>((0.0089*(E26*10^-3)^3.4119)/0.9)*0.47*1000</f>
        <v>34.531036561114568</v>
      </c>
      <c r="J26" s="5">
        <f>((0.0089*(F26*10^-3)^3.4119)/0.9)*0.47*1000</f>
        <v>68.478982676295388</v>
      </c>
      <c r="K26" s="5" t="s">
        <v>46</v>
      </c>
      <c r="L26" s="5">
        <f t="shared" ref="L26:L29" si="26">I26*$D26</f>
        <v>473.56851127558167</v>
      </c>
      <c r="M26" s="5">
        <f t="shared" ref="M26:M29" si="27">J26*$D26</f>
        <v>939.14035341176032</v>
      </c>
      <c r="N26" s="8"/>
      <c r="O26" s="8"/>
      <c r="P26" s="5" t="s">
        <v>51</v>
      </c>
      <c r="Q26" s="10">
        <f t="shared" si="4"/>
        <v>39551317.138843097</v>
      </c>
      <c r="R26" s="10">
        <f t="shared" si="5"/>
        <v>16806463.834778901</v>
      </c>
      <c r="S26" s="5"/>
      <c r="T26" s="5"/>
      <c r="U26" s="5"/>
    </row>
    <row r="27" spans="1:25" s="1" customFormat="1" x14ac:dyDescent="0.25">
      <c r="A27" s="1" t="s">
        <v>6</v>
      </c>
      <c r="B27" s="1" t="s">
        <v>21</v>
      </c>
      <c r="C27" s="1" t="s">
        <v>12</v>
      </c>
      <c r="D27" s="22">
        <f>16.761905</f>
        <v>16.761904999999999</v>
      </c>
      <c r="E27" s="22">
        <v>2200</v>
      </c>
      <c r="F27" s="22">
        <v>2800</v>
      </c>
      <c r="G27" s="22">
        <f t="shared" si="24"/>
        <v>2.2000000000000002</v>
      </c>
      <c r="H27" s="22">
        <f t="shared" si="25"/>
        <v>2.8</v>
      </c>
      <c r="I27" s="5">
        <f t="shared" ref="I27:I29" si="28">((0.0089*(E27*10^-3)^3.4119)/0.9)*0.47*1000</f>
        <v>68.478982676295388</v>
      </c>
      <c r="J27" s="5">
        <f t="shared" ref="J27:J29" si="29">((0.0089*(F27*10^-3)^3.4119)/0.9)*0.47*1000</f>
        <v>155.9207238445286</v>
      </c>
      <c r="K27" s="5"/>
      <c r="L27" s="5">
        <f t="shared" si="26"/>
        <v>1147.838202116709</v>
      </c>
      <c r="M27" s="5">
        <f t="shared" si="27"/>
        <v>2613.528360613223</v>
      </c>
      <c r="N27" s="8"/>
      <c r="O27" s="8"/>
      <c r="P27" s="5" t="s">
        <v>51</v>
      </c>
      <c r="Q27" s="12">
        <f t="shared" si="4"/>
        <v>92751457.979127601</v>
      </c>
      <c r="R27" s="12">
        <f t="shared" si="5"/>
        <v>33161759.631731771</v>
      </c>
      <c r="S27" s="5"/>
      <c r="T27" s="5"/>
      <c r="U27" s="5"/>
    </row>
    <row r="28" spans="1:25" s="1" customFormat="1" x14ac:dyDescent="0.25">
      <c r="A28" s="1" t="s">
        <v>6</v>
      </c>
      <c r="B28" s="1" t="s">
        <v>21</v>
      </c>
      <c r="C28" s="1" t="s">
        <v>13</v>
      </c>
      <c r="D28" s="22">
        <f>84.266667</f>
        <v>84.266666999999998</v>
      </c>
      <c r="E28" s="22">
        <v>2700</v>
      </c>
      <c r="F28" s="22">
        <v>3200</v>
      </c>
      <c r="G28" s="22">
        <f t="shared" si="24"/>
        <v>2.7</v>
      </c>
      <c r="H28" s="22">
        <f t="shared" si="25"/>
        <v>3.2</v>
      </c>
      <c r="I28" s="5">
        <f t="shared" si="28"/>
        <v>137.72582485028883</v>
      </c>
      <c r="J28" s="5">
        <f t="shared" si="29"/>
        <v>245.90455088187281</v>
      </c>
      <c r="K28" s="5"/>
      <c r="L28" s="5">
        <f t="shared" si="26"/>
        <v>11605.696219959613</v>
      </c>
      <c r="M28" s="5">
        <f t="shared" si="27"/>
        <v>20721.556902947334</v>
      </c>
      <c r="N28" s="8"/>
      <c r="O28" s="8"/>
      <c r="P28" s="5" t="s">
        <v>51</v>
      </c>
      <c r="Q28" s="10">
        <f t="shared" si="4"/>
        <v>617520515.02662385</v>
      </c>
      <c r="R28" s="10">
        <f t="shared" si="5"/>
        <v>299200565.49223185</v>
      </c>
      <c r="S28" s="5"/>
      <c r="T28" s="5"/>
      <c r="U28" s="5"/>
    </row>
    <row r="29" spans="1:25" s="1" customFormat="1" x14ac:dyDescent="0.25">
      <c r="A29" s="1" t="s">
        <v>6</v>
      </c>
      <c r="B29" s="1" t="s">
        <v>21</v>
      </c>
      <c r="C29" s="1" t="s">
        <v>14</v>
      </c>
      <c r="D29" s="22">
        <f>23.619048</f>
        <v>23.619047999999999</v>
      </c>
      <c r="E29" s="22">
        <v>2900</v>
      </c>
      <c r="F29" s="22">
        <v>3200</v>
      </c>
      <c r="G29" s="22">
        <f t="shared" si="24"/>
        <v>2.9</v>
      </c>
      <c r="H29" s="22">
        <f t="shared" si="25"/>
        <v>3.2</v>
      </c>
      <c r="I29" s="5">
        <f t="shared" si="28"/>
        <v>175.75232711616172</v>
      </c>
      <c r="J29" s="5">
        <f t="shared" si="29"/>
        <v>245.90455088187281</v>
      </c>
      <c r="K29" s="5"/>
      <c r="L29" s="5">
        <f t="shared" si="26"/>
        <v>4151.1026502683253</v>
      </c>
      <c r="M29" s="5">
        <f t="shared" si="27"/>
        <v>5808.0313906973961</v>
      </c>
      <c r="N29" s="8"/>
      <c r="O29" s="8"/>
      <c r="P29" s="5" t="s">
        <v>51</v>
      </c>
      <c r="Q29" s="12">
        <f t="shared" si="4"/>
        <v>162849540.22800052</v>
      </c>
      <c r="R29" s="12">
        <f t="shared" si="5"/>
        <v>107017471.14839678</v>
      </c>
      <c r="S29" s="5"/>
      <c r="T29" s="5"/>
      <c r="U29" s="5"/>
    </row>
    <row r="30" spans="1:25" s="11" customFormat="1" ht="16.149999999999999" customHeight="1" x14ac:dyDescent="0.25">
      <c r="A30" s="11" t="s">
        <v>6</v>
      </c>
      <c r="B30" s="11" t="s">
        <v>21</v>
      </c>
      <c r="C30" s="11" t="s">
        <v>15</v>
      </c>
      <c r="D30" s="20">
        <f>138.361905</f>
        <v>138.36190500000001</v>
      </c>
      <c r="E30" s="20"/>
      <c r="F30" s="20"/>
      <c r="G30" s="20"/>
      <c r="H30" s="20"/>
      <c r="I30" s="12"/>
      <c r="J30" s="12"/>
      <c r="K30" s="12"/>
      <c r="L30" s="12"/>
      <c r="M30" s="12"/>
      <c r="N30" s="8">
        <f>SUM(L26:L29)</f>
        <v>17378.205583620227</v>
      </c>
      <c r="O30" s="8">
        <f>SUM(M26:M29)</f>
        <v>30082.257007669716</v>
      </c>
      <c r="P30" s="12"/>
      <c r="Q30" s="10" t="e">
        <f t="shared" si="4"/>
        <v>#DIV/0!</v>
      </c>
      <c r="R30" s="10" t="e">
        <f t="shared" si="5"/>
        <v>#DIV/0!</v>
      </c>
      <c r="S30" s="12">
        <f>SUM(Q26:Q29)</f>
        <v>912672830.37259507</v>
      </c>
      <c r="T30" s="12">
        <f>SUM(R26:R29)</f>
        <v>456186260.10713929</v>
      </c>
      <c r="U30" s="12"/>
    </row>
    <row r="31" spans="1:25" s="2" customFormat="1" x14ac:dyDescent="0.25">
      <c r="A31" s="2" t="s">
        <v>6</v>
      </c>
      <c r="B31" s="2" t="s">
        <v>22</v>
      </c>
      <c r="C31" s="2" t="s">
        <v>12</v>
      </c>
      <c r="D31" s="21">
        <f>10.666667</f>
        <v>10.666667</v>
      </c>
      <c r="E31" s="21">
        <v>2000</v>
      </c>
      <c r="F31" s="21">
        <v>2800</v>
      </c>
      <c r="G31" s="21">
        <f t="shared" ref="G31" si="30">E31/1000</f>
        <v>2</v>
      </c>
      <c r="H31" s="21">
        <f t="shared" ref="H31" si="31">F31/1000</f>
        <v>2.8</v>
      </c>
      <c r="I31" s="3">
        <f>((0.0031*(E31*10^-3)^4.7164)/0.9)*0.4*1000</f>
        <v>36.220717351897861</v>
      </c>
      <c r="J31" s="3">
        <f>((0.0031*(F31*10^-3)^4.7164)/0.9)*0.4*1000</f>
        <v>177.07421074808025</v>
      </c>
      <c r="K31" s="3" t="s">
        <v>46</v>
      </c>
      <c r="L31" s="3">
        <f>I31*$D31</f>
        <v>386.35433049381629</v>
      </c>
      <c r="M31" s="3">
        <f>J31*$D31</f>
        <v>1888.791640337593</v>
      </c>
      <c r="N31" s="7"/>
      <c r="O31" s="7"/>
      <c r="P31" s="3" t="s">
        <v>51</v>
      </c>
      <c r="Q31" s="12">
        <f t="shared" si="4"/>
        <v>78600922.464579329</v>
      </c>
      <c r="R31" s="12">
        <f t="shared" si="5"/>
        <v>10812591.823367529</v>
      </c>
      <c r="S31" s="3"/>
      <c r="T31" s="3"/>
      <c r="U31" s="3"/>
      <c r="V31" s="1"/>
      <c r="W31" s="1"/>
      <c r="X31" s="1"/>
      <c r="Y31" s="1"/>
    </row>
    <row r="32" spans="1:25" s="2" customFormat="1" x14ac:dyDescent="0.25">
      <c r="A32" s="2" t="s">
        <v>6</v>
      </c>
      <c r="B32" s="2" t="s">
        <v>22</v>
      </c>
      <c r="C32" s="2" t="s">
        <v>13</v>
      </c>
      <c r="D32" s="21">
        <f>7.619048</f>
        <v>7.6190480000000003</v>
      </c>
      <c r="E32" s="21">
        <v>2900</v>
      </c>
      <c r="F32" s="21">
        <v>3700</v>
      </c>
      <c r="G32" s="21">
        <f t="shared" ref="G32:G33" si="32">E32/1000</f>
        <v>2.9</v>
      </c>
      <c r="H32" s="21">
        <f t="shared" ref="H32:H33" si="33">F32/1000</f>
        <v>3.7</v>
      </c>
      <c r="I32" s="3">
        <f t="shared" ref="I32:I33" si="34">((0.0031*(E32*10^-3)^4.7164)/0.9)*0.4*1000</f>
        <v>208.94553401978536</v>
      </c>
      <c r="J32" s="3">
        <f t="shared" ref="J32:J33" si="35">((0.0031*(F32*10^-3)^4.7164)/0.9)*0.4*1000</f>
        <v>659.24339476966725</v>
      </c>
      <c r="K32" s="3"/>
      <c r="L32" s="3">
        <f>I32*$D32</f>
        <v>1591.9660530823776</v>
      </c>
      <c r="M32" s="3">
        <f t="shared" ref="L32:M33" si="36">J32*$D32</f>
        <v>5022.8070684330442</v>
      </c>
      <c r="N32" s="7"/>
      <c r="O32" s="7"/>
      <c r="P32" s="3" t="s">
        <v>51</v>
      </c>
      <c r="Q32" s="10">
        <f t="shared" si="4"/>
        <v>134871776.00308302</v>
      </c>
      <c r="R32" s="10">
        <f t="shared" si="5"/>
        <v>32074153.901223578</v>
      </c>
      <c r="S32" s="3"/>
      <c r="T32" s="3"/>
      <c r="U32" s="3"/>
      <c r="V32" s="1"/>
      <c r="W32" s="1"/>
      <c r="X32" s="1"/>
      <c r="Y32" s="1"/>
    </row>
    <row r="33" spans="1:25" s="2" customFormat="1" x14ac:dyDescent="0.25">
      <c r="A33" s="2" t="s">
        <v>6</v>
      </c>
      <c r="B33" s="2" t="s">
        <v>22</v>
      </c>
      <c r="C33" s="2" t="s">
        <v>14</v>
      </c>
      <c r="D33" s="21">
        <f>30.47619</f>
        <v>30.476189999999999</v>
      </c>
      <c r="E33" s="21">
        <v>2600</v>
      </c>
      <c r="F33" s="21">
        <v>3000</v>
      </c>
      <c r="G33" s="21">
        <f t="shared" si="32"/>
        <v>2.6</v>
      </c>
      <c r="H33" s="21">
        <f t="shared" si="33"/>
        <v>3</v>
      </c>
      <c r="I33" s="3">
        <f t="shared" si="34"/>
        <v>124.84164255560299</v>
      </c>
      <c r="J33" s="3">
        <f t="shared" si="35"/>
        <v>245.17368887396498</v>
      </c>
      <c r="K33" s="3"/>
      <c r="L33" s="3">
        <f t="shared" si="36"/>
        <v>3804.6976184366422</v>
      </c>
      <c r="M33" s="3">
        <f t="shared" si="36"/>
        <v>7471.9599251238424</v>
      </c>
      <c r="N33" s="7"/>
      <c r="O33" s="7"/>
      <c r="P33" s="3" t="s">
        <v>51</v>
      </c>
      <c r="Q33" s="12">
        <f t="shared" si="4"/>
        <v>228206241.49227631</v>
      </c>
      <c r="R33" s="12">
        <f t="shared" si="5"/>
        <v>98159996.460521236</v>
      </c>
      <c r="S33" s="3"/>
      <c r="T33" s="3"/>
      <c r="U33" s="3"/>
      <c r="V33" s="1"/>
      <c r="W33" s="1"/>
      <c r="X33" s="1"/>
      <c r="Y33" s="1"/>
    </row>
    <row r="34" spans="1:25" s="9" customFormat="1" x14ac:dyDescent="0.25">
      <c r="A34" s="9" t="s">
        <v>6</v>
      </c>
      <c r="B34" s="9" t="s">
        <v>22</v>
      </c>
      <c r="C34" s="9" t="s">
        <v>15</v>
      </c>
      <c r="D34" s="19">
        <f>48.761905</f>
        <v>48.761904999999999</v>
      </c>
      <c r="E34" s="19"/>
      <c r="F34" s="19"/>
      <c r="G34" s="19"/>
      <c r="H34" s="19"/>
      <c r="I34" s="10"/>
      <c r="J34" s="10"/>
      <c r="K34" s="10"/>
      <c r="L34" s="10"/>
      <c r="M34" s="10"/>
      <c r="N34" s="7">
        <f>SUM(L31:L33)</f>
        <v>5783.0180020128355</v>
      </c>
      <c r="O34" s="7">
        <f>SUM(M31:M33)</f>
        <v>14383.558633894479</v>
      </c>
      <c r="P34" s="10"/>
      <c r="Q34" s="10" t="e">
        <f t="shared" si="4"/>
        <v>#DIV/0!</v>
      </c>
      <c r="R34" s="10" t="e">
        <f t="shared" si="5"/>
        <v>#DIV/0!</v>
      </c>
      <c r="S34" s="10">
        <f>SUM(Q31:Q33)</f>
        <v>441678939.95993865</v>
      </c>
      <c r="T34" s="10">
        <f>SUM(R31:R33)</f>
        <v>141046742.18511236</v>
      </c>
      <c r="U34" s="10"/>
      <c r="V34" s="11"/>
      <c r="W34" s="11"/>
      <c r="X34" s="11"/>
      <c r="Y34" s="11"/>
    </row>
    <row r="35" spans="1:25" s="1" customFormat="1" x14ac:dyDescent="0.25">
      <c r="A35" s="1" t="s">
        <v>6</v>
      </c>
      <c r="B35" s="1" t="s">
        <v>23</v>
      </c>
      <c r="C35" s="1" t="s">
        <v>9</v>
      </c>
      <c r="D35" s="22">
        <f>2.285714</f>
        <v>2.285714</v>
      </c>
      <c r="E35" s="22">
        <v>650</v>
      </c>
      <c r="F35" s="22">
        <v>1000</v>
      </c>
      <c r="G35" s="22">
        <f t="shared" ref="G35:G40" si="37">E35/1000</f>
        <v>0.65</v>
      </c>
      <c r="H35" s="22">
        <f t="shared" ref="H35:H40" si="38">F35/1000</f>
        <v>1</v>
      </c>
      <c r="I35" s="5">
        <f t="shared" ref="I35:J40" si="39">10^(3.07*LOG10(E35)-8.37)</f>
        <v>1.8435036630733526</v>
      </c>
      <c r="J35" s="5">
        <f t="shared" si="39"/>
        <v>6.9183097091893631</v>
      </c>
      <c r="K35" s="5" t="s">
        <v>48</v>
      </c>
      <c r="L35" s="5">
        <f>I35*$D35</f>
        <v>4.2137221317380451</v>
      </c>
      <c r="M35" s="5">
        <f>J35*$D35</f>
        <v>15.813277358630057</v>
      </c>
      <c r="N35" s="8"/>
      <c r="O35" s="8"/>
      <c r="P35" s="5" t="s">
        <v>53</v>
      </c>
      <c r="Q35" s="12">
        <f t="shared" si="4"/>
        <v>1385459.1971754902</v>
      </c>
      <c r="R35" s="12">
        <f t="shared" si="5"/>
        <v>265245.94063952094</v>
      </c>
      <c r="S35" s="5"/>
      <c r="T35" s="5"/>
      <c r="U35" s="5"/>
    </row>
    <row r="36" spans="1:25" s="1" customFormat="1" x14ac:dyDescent="0.25">
      <c r="A36" s="1" t="s">
        <v>6</v>
      </c>
      <c r="B36" s="1" t="s">
        <v>23</v>
      </c>
      <c r="C36" s="1" t="s">
        <v>10</v>
      </c>
      <c r="D36" s="22">
        <f>2.285714</f>
        <v>2.285714</v>
      </c>
      <c r="E36" s="22">
        <v>1000</v>
      </c>
      <c r="F36" s="22">
        <v>1300</v>
      </c>
      <c r="G36" s="22">
        <f t="shared" si="37"/>
        <v>1</v>
      </c>
      <c r="H36" s="22">
        <f t="shared" si="38"/>
        <v>1.3</v>
      </c>
      <c r="I36" s="5">
        <f t="shared" si="39"/>
        <v>6.9183097091893631</v>
      </c>
      <c r="J36" s="5">
        <f t="shared" si="39"/>
        <v>15.4812524115867</v>
      </c>
      <c r="K36" s="5"/>
      <c r="L36" s="5">
        <f t="shared" ref="L36:L40" si="40">I36*$D36</f>
        <v>15.813277358630057</v>
      </c>
      <c r="M36" s="5">
        <f t="shared" ref="M36:M40" si="41">J36*$D36</f>
        <v>35.385715374697483</v>
      </c>
      <c r="N36" s="8"/>
      <c r="O36" s="8"/>
      <c r="P36" s="5" t="s">
        <v>53</v>
      </c>
      <c r="Q36" s="10">
        <f t="shared" si="4"/>
        <v>2227464.7132207924</v>
      </c>
      <c r="R36" s="10">
        <f t="shared" si="5"/>
        <v>813866.58566757431</v>
      </c>
      <c r="S36" s="5"/>
      <c r="T36" s="5"/>
      <c r="U36" s="5"/>
    </row>
    <row r="37" spans="1:25" s="1" customFormat="1" x14ac:dyDescent="0.25">
      <c r="A37" s="1" t="s">
        <v>6</v>
      </c>
      <c r="B37" s="1" t="s">
        <v>23</v>
      </c>
      <c r="C37" s="1" t="s">
        <v>11</v>
      </c>
      <c r="D37" s="22">
        <f>2.285714</f>
        <v>2.285714</v>
      </c>
      <c r="E37" s="22">
        <v>1450</v>
      </c>
      <c r="F37" s="22">
        <v>1800</v>
      </c>
      <c r="G37" s="22">
        <f t="shared" si="37"/>
        <v>1.45</v>
      </c>
      <c r="H37" s="22">
        <f t="shared" si="38"/>
        <v>1.8</v>
      </c>
      <c r="I37" s="5">
        <f t="shared" si="39"/>
        <v>21.647102166396493</v>
      </c>
      <c r="J37" s="5">
        <f t="shared" si="39"/>
        <v>42.042311984247227</v>
      </c>
      <c r="K37" s="5"/>
      <c r="L37" s="5">
        <f>I37*$D37</f>
        <v>49.479084481162793</v>
      </c>
      <c r="M37" s="5">
        <f t="shared" si="41"/>
        <v>96.09670109476167</v>
      </c>
      <c r="N37" s="8"/>
      <c r="O37" s="8"/>
      <c r="P37" s="5" t="s">
        <v>53</v>
      </c>
      <c r="Q37" s="12">
        <f t="shared" si="4"/>
        <v>4548219.2311368771</v>
      </c>
      <c r="R37" s="12">
        <f t="shared" si="5"/>
        <v>1983731.3666677496</v>
      </c>
      <c r="S37" s="5"/>
      <c r="T37" s="5"/>
      <c r="U37" s="5"/>
    </row>
    <row r="38" spans="1:25" s="1" customFormat="1" x14ac:dyDescent="0.25">
      <c r="A38" s="1" t="s">
        <v>6</v>
      </c>
      <c r="B38" s="1" t="s">
        <v>23</v>
      </c>
      <c r="C38" s="1" t="s">
        <v>12</v>
      </c>
      <c r="D38" s="22">
        <f>12.952381</f>
        <v>12.952381000000001</v>
      </c>
      <c r="E38" s="22">
        <v>2300</v>
      </c>
      <c r="F38" s="22">
        <v>3300</v>
      </c>
      <c r="G38" s="22">
        <f t="shared" si="37"/>
        <v>2.2999999999999998</v>
      </c>
      <c r="H38" s="22">
        <f t="shared" si="38"/>
        <v>3.3</v>
      </c>
      <c r="I38" s="5">
        <f t="shared" si="39"/>
        <v>89.228677586730711</v>
      </c>
      <c r="J38" s="5">
        <f t="shared" si="39"/>
        <v>270.29486517128805</v>
      </c>
      <c r="K38" s="5"/>
      <c r="L38" s="5">
        <f t="shared" si="40"/>
        <v>1155.7238282294968</v>
      </c>
      <c r="M38" s="5">
        <f t="shared" si="41"/>
        <v>3500.9620760421535</v>
      </c>
      <c r="N38" s="8"/>
      <c r="O38" s="8"/>
      <c r="P38" s="5" t="s">
        <v>53</v>
      </c>
      <c r="Q38" s="10">
        <f t="shared" si="4"/>
        <v>116290475.16333093</v>
      </c>
      <c r="R38" s="10">
        <f t="shared" si="5"/>
        <v>29098960.26510543</v>
      </c>
      <c r="S38" s="5"/>
      <c r="T38" s="5"/>
      <c r="U38" s="5"/>
    </row>
    <row r="39" spans="1:25" s="1" customFormat="1" x14ac:dyDescent="0.25">
      <c r="A39" s="1" t="s">
        <v>6</v>
      </c>
      <c r="B39" s="1" t="s">
        <v>23</v>
      </c>
      <c r="C39" s="1" t="s">
        <v>13</v>
      </c>
      <c r="D39" s="22">
        <f>7.619048</f>
        <v>7.6190480000000003</v>
      </c>
      <c r="E39" s="22">
        <v>3375</v>
      </c>
      <c r="F39" s="22">
        <v>3800</v>
      </c>
      <c r="G39" s="22">
        <f t="shared" si="37"/>
        <v>3.375</v>
      </c>
      <c r="H39" s="22">
        <f t="shared" si="38"/>
        <v>3.8</v>
      </c>
      <c r="I39" s="5">
        <f t="shared" si="39"/>
        <v>289.60129256866611</v>
      </c>
      <c r="J39" s="5">
        <f t="shared" si="39"/>
        <v>416.807611897897</v>
      </c>
      <c r="K39" s="5"/>
      <c r="L39" s="5">
        <f t="shared" si="40"/>
        <v>2206.4861489427103</v>
      </c>
      <c r="M39" s="5">
        <f t="shared" si="41"/>
        <v>3175.6772018154484</v>
      </c>
      <c r="N39" s="8"/>
      <c r="O39" s="8"/>
      <c r="P39" s="5" t="s">
        <v>53</v>
      </c>
      <c r="Q39" s="12">
        <f t="shared" si="4"/>
        <v>78590324.168071181</v>
      </c>
      <c r="R39" s="12">
        <f t="shared" si="5"/>
        <v>49854015.916842602</v>
      </c>
      <c r="S39" s="5"/>
      <c r="T39" s="5"/>
      <c r="U39" s="5"/>
    </row>
    <row r="40" spans="1:25" s="1" customFormat="1" x14ac:dyDescent="0.25">
      <c r="A40" s="1" t="s">
        <v>6</v>
      </c>
      <c r="B40" s="1" t="s">
        <v>23</v>
      </c>
      <c r="C40" s="1" t="s">
        <v>14</v>
      </c>
      <c r="D40" s="22">
        <f>2.285714</f>
        <v>2.285714</v>
      </c>
      <c r="E40" s="22">
        <v>3375</v>
      </c>
      <c r="F40" s="22">
        <v>3700</v>
      </c>
      <c r="G40" s="22">
        <f t="shared" si="37"/>
        <v>3.375</v>
      </c>
      <c r="H40" s="22">
        <f t="shared" si="38"/>
        <v>3.7</v>
      </c>
      <c r="I40" s="5">
        <f t="shared" si="39"/>
        <v>289.60129256866611</v>
      </c>
      <c r="J40" s="5">
        <f t="shared" si="39"/>
        <v>384.04250418385305</v>
      </c>
      <c r="K40" s="5"/>
      <c r="L40" s="5">
        <f t="shared" si="40"/>
        <v>661.94572884229615</v>
      </c>
      <c r="M40" s="5">
        <f t="shared" si="41"/>
        <v>877.81132840809153</v>
      </c>
      <c r="N40" s="8"/>
      <c r="O40" s="8"/>
      <c r="P40" s="5" t="s">
        <v>53</v>
      </c>
      <c r="Q40" s="10">
        <f t="shared" si="4"/>
        <v>21723705.677188739</v>
      </c>
      <c r="R40" s="10">
        <f t="shared" si="5"/>
        <v>15265478.21876695</v>
      </c>
      <c r="S40" s="5"/>
      <c r="T40" s="5"/>
      <c r="U40" s="5"/>
    </row>
    <row r="41" spans="1:25" s="11" customFormat="1" x14ac:dyDescent="0.25">
      <c r="A41" s="11" t="s">
        <v>6</v>
      </c>
      <c r="B41" s="11" t="s">
        <v>23</v>
      </c>
      <c r="C41" s="11" t="s">
        <v>15</v>
      </c>
      <c r="D41" s="20">
        <f>29.714286</f>
        <v>29.714286000000001</v>
      </c>
      <c r="E41" s="20"/>
      <c r="F41" s="20"/>
      <c r="G41" s="20"/>
      <c r="H41" s="20"/>
      <c r="I41" s="12"/>
      <c r="J41" s="12"/>
      <c r="K41" s="12"/>
      <c r="L41" s="12"/>
      <c r="M41" s="12"/>
      <c r="N41" s="8">
        <f>SUM(L35:L40)</f>
        <v>4093.6617899860339</v>
      </c>
      <c r="O41" s="8">
        <f>SUM(M35:M40)</f>
        <v>7701.7463000937823</v>
      </c>
      <c r="P41" s="12"/>
      <c r="Q41" s="12" t="e">
        <f t="shared" si="4"/>
        <v>#DIV/0!</v>
      </c>
      <c r="R41" s="12" t="e">
        <f t="shared" si="5"/>
        <v>#DIV/0!</v>
      </c>
      <c r="S41" s="12">
        <f>SUM(Q35:Q40)</f>
        <v>224765648.15012401</v>
      </c>
      <c r="T41" s="12">
        <f>SUM(R35:R40)</f>
        <v>97281298.293689817</v>
      </c>
      <c r="U41" s="12"/>
    </row>
    <row r="42" spans="1:25" s="9" customFormat="1" x14ac:dyDescent="0.25">
      <c r="A42" s="9" t="s">
        <v>6</v>
      </c>
      <c r="B42" s="9" t="s">
        <v>24</v>
      </c>
      <c r="C42" s="9" t="s">
        <v>4</v>
      </c>
      <c r="D42" s="60">
        <v>407.92</v>
      </c>
      <c r="E42" s="19">
        <v>5</v>
      </c>
      <c r="F42" s="19">
        <v>13</v>
      </c>
      <c r="G42" s="19">
        <f>E42</f>
        <v>5</v>
      </c>
      <c r="H42" s="19">
        <f>F42</f>
        <v>13</v>
      </c>
      <c r="I42" s="10">
        <f>((0.039*(E42)^3.5032)/0.9)*0.297*1000</f>
        <v>3615.8488360450829</v>
      </c>
      <c r="J42" s="10">
        <f>((0.039*(F42)^3.5032)/0.9)*0.297*1000</f>
        <v>102788.58764018776</v>
      </c>
      <c r="K42" s="10" t="s">
        <v>43</v>
      </c>
      <c r="L42" s="10">
        <f>I42*$D42</f>
        <v>1474977.0571995103</v>
      </c>
      <c r="M42" s="10">
        <f>J42*$D42</f>
        <v>41929520.670185395</v>
      </c>
      <c r="N42" s="7">
        <f>L42</f>
        <v>1474977.0571995103</v>
      </c>
      <c r="O42" s="7">
        <f>M42</f>
        <v>41929520.670185395</v>
      </c>
      <c r="P42" s="10" t="s">
        <v>53</v>
      </c>
      <c r="Q42" s="10">
        <f t="shared" si="4"/>
        <v>552014116568.88159</v>
      </c>
      <c r="R42" s="10">
        <f t="shared" si="5"/>
        <v>8409726912.2601357</v>
      </c>
      <c r="S42" s="10">
        <f>Q42</f>
        <v>552014116568.88159</v>
      </c>
      <c r="T42" s="10">
        <f>R42</f>
        <v>8409726912.2601357</v>
      </c>
      <c r="U42" s="10"/>
      <c r="V42" s="11"/>
      <c r="W42" s="11"/>
      <c r="X42" s="11"/>
      <c r="Y42" s="11"/>
    </row>
    <row r="43" spans="1:25" s="1" customFormat="1" x14ac:dyDescent="0.25">
      <c r="A43" s="1" t="s">
        <v>6</v>
      </c>
      <c r="B43" s="1" t="s">
        <v>25</v>
      </c>
      <c r="C43" s="1" t="s">
        <v>18</v>
      </c>
      <c r="D43" s="22">
        <f>114.285714</f>
        <v>114.285714</v>
      </c>
      <c r="E43" s="22">
        <v>550</v>
      </c>
      <c r="F43" s="22">
        <v>810</v>
      </c>
      <c r="G43" s="22">
        <f t="shared" ref="G43:G49" si="42">E43/1000</f>
        <v>0.55000000000000004</v>
      </c>
      <c r="H43" s="22">
        <f t="shared" ref="H43:H49" si="43">F43/1000</f>
        <v>0.81</v>
      </c>
      <c r="I43" s="5">
        <f>7.498*(E43*10^-3)^3.225</f>
        <v>1.0904734839613437</v>
      </c>
      <c r="J43" s="5">
        <f>7.498*(F43*10^-3)^3.225</f>
        <v>3.8002277240591043</v>
      </c>
      <c r="K43" s="5" t="s">
        <v>41</v>
      </c>
      <c r="L43" s="5">
        <f>I43*$D43</f>
        <v>124.62554071258971</v>
      </c>
      <c r="M43" s="5">
        <f>J43*$D43</f>
        <v>434.31173880668968</v>
      </c>
      <c r="P43" s="5" t="s">
        <v>53</v>
      </c>
      <c r="Q43" s="12">
        <f t="shared" si="4"/>
        <v>43389100.145339213</v>
      </c>
      <c r="R43" s="12">
        <f t="shared" si="5"/>
        <v>9112499.1953543182</v>
      </c>
    </row>
    <row r="44" spans="1:25" s="1" customFormat="1" x14ac:dyDescent="0.25">
      <c r="A44" s="1" t="s">
        <v>6</v>
      </c>
      <c r="B44" s="1" t="s">
        <v>25</v>
      </c>
      <c r="C44" s="1" t="s">
        <v>9</v>
      </c>
      <c r="D44" s="22">
        <f>306.938776</f>
        <v>306.93877600000002</v>
      </c>
      <c r="E44" s="22">
        <v>810</v>
      </c>
      <c r="F44" s="22">
        <v>960</v>
      </c>
      <c r="G44" s="22">
        <f t="shared" si="42"/>
        <v>0.81</v>
      </c>
      <c r="H44" s="22">
        <f t="shared" si="43"/>
        <v>0.96</v>
      </c>
      <c r="I44" s="5">
        <f t="shared" ref="I44:I49" si="44">7.498*(E44*10^-3)^3.225</f>
        <v>3.8002277240591043</v>
      </c>
      <c r="J44" s="5">
        <f t="shared" ref="J44:J49" si="45">7.498*(F44*10^-3)^3.225</f>
        <v>6.5730988370014938</v>
      </c>
      <c r="K44" s="5"/>
      <c r="L44" s="5">
        <f t="shared" ref="L44:L49" si="46">I44*$D44</f>
        <v>1166.4372461439673</v>
      </c>
      <c r="M44" s="5">
        <f t="shared" ref="M44:M49" si="47">J44*$D44</f>
        <v>2017.5389115562621</v>
      </c>
      <c r="N44" s="8"/>
      <c r="O44" s="8"/>
      <c r="P44" s="5" t="s">
        <v>53</v>
      </c>
      <c r="Q44" s="10">
        <f t="shared" si="4"/>
        <v>147520497.02678022</v>
      </c>
      <c r="R44" s="10">
        <f t="shared" si="5"/>
        <v>74370669.498278275</v>
      </c>
      <c r="S44" s="5"/>
      <c r="T44" s="5"/>
      <c r="U44" s="5"/>
    </row>
    <row r="45" spans="1:25" s="1" customFormat="1" x14ac:dyDescent="0.25">
      <c r="A45" s="1" t="s">
        <v>6</v>
      </c>
      <c r="B45" s="1" t="s">
        <v>25</v>
      </c>
      <c r="C45" s="1" t="s">
        <v>10</v>
      </c>
      <c r="D45" s="22">
        <f>248.163265</f>
        <v>248.163265</v>
      </c>
      <c r="E45" s="22">
        <v>960</v>
      </c>
      <c r="F45" s="22">
        <v>1190</v>
      </c>
      <c r="G45" s="22">
        <f t="shared" si="42"/>
        <v>0.96</v>
      </c>
      <c r="H45" s="22">
        <f t="shared" si="43"/>
        <v>1.19</v>
      </c>
      <c r="I45" s="5">
        <f t="shared" si="44"/>
        <v>6.5730988370014938</v>
      </c>
      <c r="J45" s="5">
        <f t="shared" si="45"/>
        <v>13.13966783459518</v>
      </c>
      <c r="K45" s="5"/>
      <c r="L45" s="5">
        <f t="shared" si="46"/>
        <v>1631.2016685579936</v>
      </c>
      <c r="M45" s="5">
        <f t="shared" si="47"/>
        <v>3260.78287084862</v>
      </c>
      <c r="N45" s="8"/>
      <c r="O45" s="8"/>
      <c r="P45" s="5" t="s">
        <v>53</v>
      </c>
      <c r="Q45" s="12">
        <f t="shared" si="4"/>
        <v>207903687.91395605</v>
      </c>
      <c r="R45" s="12">
        <f t="shared" si="5"/>
        <v>87467036.689719543</v>
      </c>
      <c r="S45" s="5"/>
      <c r="T45" s="5"/>
      <c r="U45" s="5"/>
    </row>
    <row r="46" spans="1:25" s="1" customFormat="1" x14ac:dyDescent="0.25">
      <c r="A46" s="1" t="s">
        <v>6</v>
      </c>
      <c r="B46" s="1" t="s">
        <v>25</v>
      </c>
      <c r="C46" s="1" t="s">
        <v>11</v>
      </c>
      <c r="D46" s="22">
        <f>289.52381</f>
        <v>289.52381000000003</v>
      </c>
      <c r="E46" s="22">
        <v>1200</v>
      </c>
      <c r="F46" s="22">
        <v>1700</v>
      </c>
      <c r="G46" s="22">
        <f t="shared" si="42"/>
        <v>1.2</v>
      </c>
      <c r="H46" s="22">
        <f t="shared" si="43"/>
        <v>1.7</v>
      </c>
      <c r="I46" s="5">
        <f t="shared" si="44"/>
        <v>13.4991043523647</v>
      </c>
      <c r="J46" s="5">
        <f t="shared" si="45"/>
        <v>41.509089526501782</v>
      </c>
      <c r="K46" s="5"/>
      <c r="L46" s="5">
        <f>I46*$D46</f>
        <v>3908.3121236842107</v>
      </c>
      <c r="M46" s="5">
        <f t="shared" si="47"/>
        <v>12017.869749343892</v>
      </c>
      <c r="N46" s="8"/>
      <c r="O46" s="8"/>
      <c r="P46" s="5" t="s">
        <v>53</v>
      </c>
      <c r="Q46" s="10">
        <f t="shared" si="4"/>
        <v>640079778.34642255</v>
      </c>
      <c r="R46" s="10">
        <f t="shared" si="5"/>
        <v>157194117.84129253</v>
      </c>
      <c r="S46" s="5"/>
      <c r="T46" s="5"/>
      <c r="U46" s="5"/>
    </row>
    <row r="47" spans="1:25" s="1" customFormat="1" x14ac:dyDescent="0.25">
      <c r="A47" s="1" t="s">
        <v>6</v>
      </c>
      <c r="B47" s="1" t="s">
        <v>25</v>
      </c>
      <c r="C47" s="1" t="s">
        <v>12</v>
      </c>
      <c r="D47" s="22">
        <f>SUM(371.809524,
152.380952)</f>
        <v>524.19047599999999</v>
      </c>
      <c r="E47" s="22">
        <v>1770</v>
      </c>
      <c r="F47" s="22">
        <v>2120</v>
      </c>
      <c r="G47" s="22">
        <f t="shared" si="42"/>
        <v>1.77</v>
      </c>
      <c r="H47" s="22">
        <f t="shared" si="43"/>
        <v>2.12</v>
      </c>
      <c r="I47" s="5">
        <f t="shared" si="44"/>
        <v>47.27801347584105</v>
      </c>
      <c r="J47" s="5">
        <f t="shared" si="45"/>
        <v>84.601602145198584</v>
      </c>
      <c r="K47" s="5"/>
      <c r="L47" s="5">
        <f t="shared" si="46"/>
        <v>24782.684388235535</v>
      </c>
      <c r="M47" s="5">
        <f t="shared" si="47"/>
        <v>44347.354098854266</v>
      </c>
      <c r="N47" s="8"/>
      <c r="O47" s="8"/>
      <c r="P47" s="5" t="s">
        <v>53</v>
      </c>
      <c r="Q47" s="12">
        <f t="shared" si="4"/>
        <v>1726576245.1090205</v>
      </c>
      <c r="R47" s="12">
        <f t="shared" si="5"/>
        <v>834231437.77019882</v>
      </c>
      <c r="S47" s="5"/>
      <c r="T47" s="5"/>
      <c r="U47" s="5"/>
    </row>
    <row r="48" spans="1:25" s="1" customFormat="1" x14ac:dyDescent="0.25">
      <c r="A48" s="1" t="s">
        <v>6</v>
      </c>
      <c r="B48" s="1" t="s">
        <v>25</v>
      </c>
      <c r="C48" s="1" t="s">
        <v>13</v>
      </c>
      <c r="D48" s="22">
        <f>2095.238095</f>
        <v>2095.2380950000002</v>
      </c>
      <c r="E48" s="22">
        <v>2500</v>
      </c>
      <c r="F48" s="22">
        <v>3000</v>
      </c>
      <c r="G48" s="22">
        <f t="shared" si="42"/>
        <v>2.5</v>
      </c>
      <c r="H48" s="22">
        <f t="shared" si="43"/>
        <v>3</v>
      </c>
      <c r="I48" s="5">
        <f t="shared" si="44"/>
        <v>143.97993197907149</v>
      </c>
      <c r="J48" s="5">
        <f t="shared" si="45"/>
        <v>259.21580773964502</v>
      </c>
      <c r="K48" s="5"/>
      <c r="L48" s="5">
        <f t="shared" si="46"/>
        <v>301672.23839805939</v>
      </c>
      <c r="M48" s="5">
        <f t="shared" si="47"/>
        <v>543118.83520230011</v>
      </c>
      <c r="N48" s="8"/>
      <c r="O48" s="8"/>
      <c r="P48" s="5" t="s">
        <v>53</v>
      </c>
      <c r="Q48" s="10">
        <f t="shared" si="4"/>
        <v>16006715506.231308</v>
      </c>
      <c r="R48" s="10">
        <f t="shared" si="5"/>
        <v>7675431992.0328302</v>
      </c>
      <c r="S48" s="5"/>
      <c r="T48" s="5"/>
      <c r="U48" s="5"/>
    </row>
    <row r="49" spans="1:25" s="1" customFormat="1" x14ac:dyDescent="0.25">
      <c r="A49" s="1" t="s">
        <v>6</v>
      </c>
      <c r="B49" s="1" t="s">
        <v>25</v>
      </c>
      <c r="C49" s="1" t="s">
        <v>14</v>
      </c>
      <c r="D49" s="22">
        <f>SUM(273.371429,
76.190476)</f>
        <v>349.56190499999997</v>
      </c>
      <c r="E49" s="22">
        <v>1960</v>
      </c>
      <c r="F49" s="22">
        <v>2400</v>
      </c>
      <c r="G49" s="22">
        <f t="shared" si="42"/>
        <v>1.96</v>
      </c>
      <c r="H49" s="22">
        <f t="shared" si="43"/>
        <v>2.4</v>
      </c>
      <c r="I49" s="5">
        <f t="shared" si="44"/>
        <v>65.685765602486825</v>
      </c>
      <c r="J49" s="5">
        <f t="shared" si="45"/>
        <v>126.2195683439836</v>
      </c>
      <c r="K49" s="5"/>
      <c r="L49" s="5">
        <f t="shared" si="46"/>
        <v>22961.241355388764</v>
      </c>
      <c r="M49" s="5">
        <f t="shared" si="47"/>
        <v>44121.552758600599</v>
      </c>
      <c r="N49" s="8"/>
      <c r="O49" s="8"/>
      <c r="P49" s="5" t="s">
        <v>53</v>
      </c>
      <c r="Q49" s="12">
        <f t="shared" si="4"/>
        <v>1582216190.9561658</v>
      </c>
      <c r="R49" s="12">
        <f t="shared" si="5"/>
        <v>699353163.72815943</v>
      </c>
      <c r="S49" s="5"/>
      <c r="T49" s="5"/>
      <c r="U49" s="5"/>
    </row>
    <row r="50" spans="1:25" s="11" customFormat="1" x14ac:dyDescent="0.25">
      <c r="A50" s="11" t="s">
        <v>6</v>
      </c>
      <c r="B50" s="11" t="s">
        <v>25</v>
      </c>
      <c r="C50" s="11" t="s">
        <v>15</v>
      </c>
      <c r="D50" s="20">
        <f>SUM(2740.419048,
1187.482993)</f>
        <v>3927.9020410000003</v>
      </c>
      <c r="E50" s="20"/>
      <c r="F50" s="20"/>
      <c r="G50" s="20"/>
      <c r="H50" s="20"/>
      <c r="I50" s="12"/>
      <c r="J50" s="12"/>
      <c r="K50" s="12"/>
      <c r="L50" s="12"/>
      <c r="M50" s="12"/>
      <c r="N50" s="8">
        <f>SUM(L43:L49)</f>
        <v>356246.74072078243</v>
      </c>
      <c r="O50" s="8">
        <f>SUM(M43:M49)</f>
        <v>649318.24533031043</v>
      </c>
      <c r="P50" s="12"/>
      <c r="Q50" s="10" t="e">
        <f t="shared" si="4"/>
        <v>#DIV/0!</v>
      </c>
      <c r="R50" s="10" t="e">
        <f t="shared" si="5"/>
        <v>#DIV/0!</v>
      </c>
      <c r="S50" s="12">
        <f>SUM(Q43:Q49)</f>
        <v>20354401005.728992</v>
      </c>
      <c r="T50" s="12">
        <f>SUM(R43:R49)</f>
        <v>9537160916.7558327</v>
      </c>
      <c r="U50" s="12"/>
    </row>
    <row r="51" spans="1:25" s="2" customFormat="1" x14ac:dyDescent="0.25">
      <c r="A51" s="2" t="s">
        <v>6</v>
      </c>
      <c r="B51" s="2" t="s">
        <v>26</v>
      </c>
      <c r="C51" s="2" t="s">
        <v>10</v>
      </c>
      <c r="D51" s="21">
        <f>SUM(3.047619,
1015.510204)</f>
        <v>1018.5578230000001</v>
      </c>
      <c r="E51" s="21">
        <f>AVERAGE(310,410)</f>
        <v>360</v>
      </c>
      <c r="F51" s="21">
        <f>AVERAGE(340,470)</f>
        <v>405</v>
      </c>
      <c r="G51" s="21">
        <f t="shared" ref="G51" si="48">E51/1000</f>
        <v>0.36</v>
      </c>
      <c r="H51" s="21">
        <f t="shared" ref="H51" si="49">F51/1000</f>
        <v>0.40500000000000003</v>
      </c>
      <c r="I51" s="3">
        <f t="shared" ref="I51:J55" si="50">10^(3.07*LOG10(E51)-8.37)</f>
        <v>0.30050290681026581</v>
      </c>
      <c r="J51" s="3">
        <f t="shared" si="50"/>
        <v>0.43140673536445334</v>
      </c>
      <c r="K51" s="3" t="s">
        <v>48</v>
      </c>
      <c r="L51" s="3">
        <f>I51*$D51</f>
        <v>306.07958656583622</v>
      </c>
      <c r="M51" s="3">
        <f>J51*$D51</f>
        <v>439.41270520035476</v>
      </c>
      <c r="N51" s="7"/>
      <c r="O51" s="7"/>
      <c r="P51" s="3" t="s">
        <v>53</v>
      </c>
      <c r="Q51" s="12">
        <f t="shared" si="4"/>
        <v>60588931.476692192</v>
      </c>
      <c r="R51" s="12">
        <f t="shared" si="5"/>
        <v>38556312.237019859</v>
      </c>
      <c r="S51" s="3"/>
      <c r="T51" s="3"/>
      <c r="U51" s="3"/>
      <c r="V51" s="1"/>
      <c r="W51" s="1"/>
      <c r="X51" s="1"/>
      <c r="Y51" s="1"/>
    </row>
    <row r="52" spans="1:25" s="2" customFormat="1" x14ac:dyDescent="0.25">
      <c r="A52" s="2" t="s">
        <v>6</v>
      </c>
      <c r="B52" s="2" t="s">
        <v>26</v>
      </c>
      <c r="C52" s="2" t="s">
        <v>11</v>
      </c>
      <c r="D52" s="21">
        <f>3527.619048</f>
        <v>3527.619048</v>
      </c>
      <c r="E52" s="21">
        <f>AVERAGE(450,340)</f>
        <v>395</v>
      </c>
      <c r="F52" s="21">
        <f>AVERAGE(520,420)</f>
        <v>470</v>
      </c>
      <c r="G52" s="21">
        <f t="shared" ref="G52:G55" si="51">E52/1000</f>
        <v>0.39500000000000002</v>
      </c>
      <c r="H52" s="21">
        <f t="shared" ref="H52:H55" si="52">F52/1000</f>
        <v>0.47</v>
      </c>
      <c r="I52" s="3">
        <f t="shared" si="50"/>
        <v>0.39953339306854257</v>
      </c>
      <c r="J52" s="3">
        <f t="shared" si="50"/>
        <v>0.68130319229582648</v>
      </c>
      <c r="K52" s="3"/>
      <c r="L52" s="3">
        <f t="shared" ref="L52:M55" si="53">I52*$D52</f>
        <v>1409.401607700662</v>
      </c>
      <c r="M52" s="3">
        <f t="shared" si="53"/>
        <v>2403.3781186059641</v>
      </c>
      <c r="N52" s="7"/>
      <c r="O52" s="7"/>
      <c r="P52" s="3" t="s">
        <v>53</v>
      </c>
      <c r="Q52" s="10">
        <f t="shared" si="4"/>
        <v>308614754.1513375</v>
      </c>
      <c r="R52" s="10">
        <f t="shared" si="5"/>
        <v>158373498.13358122</v>
      </c>
      <c r="S52" s="3"/>
      <c r="T52" s="3"/>
      <c r="U52" s="3"/>
      <c r="V52" s="1"/>
      <c r="W52" s="1"/>
      <c r="X52" s="1"/>
      <c r="Y52" s="1"/>
    </row>
    <row r="53" spans="1:25" s="2" customFormat="1" x14ac:dyDescent="0.25">
      <c r="A53" s="2" t="s">
        <v>6</v>
      </c>
      <c r="B53" s="2" t="s">
        <v>26</v>
      </c>
      <c r="C53" s="2" t="s">
        <v>12</v>
      </c>
      <c r="D53" s="21">
        <f>3442.721088</f>
        <v>3442.7210879999998</v>
      </c>
      <c r="E53" s="21">
        <f>470</f>
        <v>470</v>
      </c>
      <c r="F53" s="21">
        <v>580</v>
      </c>
      <c r="G53" s="21">
        <f t="shared" si="51"/>
        <v>0.47</v>
      </c>
      <c r="H53" s="21">
        <f t="shared" si="52"/>
        <v>0.57999999999999996</v>
      </c>
      <c r="I53" s="3">
        <f t="shared" si="50"/>
        <v>0.68130319229582648</v>
      </c>
      <c r="J53" s="3">
        <f t="shared" si="50"/>
        <v>1.2993433864335129</v>
      </c>
      <c r="K53" s="3"/>
      <c r="L53" s="3">
        <f t="shared" si="53"/>
        <v>2345.5368674385609</v>
      </c>
      <c r="M53" s="3">
        <f t="shared" si="53"/>
        <v>4473.2768770279872</v>
      </c>
      <c r="N53" s="7"/>
      <c r="O53" s="7"/>
      <c r="P53" s="3" t="s">
        <v>53</v>
      </c>
      <c r="Q53" s="12">
        <f t="shared" si="4"/>
        <v>502659074.08092654</v>
      </c>
      <c r="R53" s="12">
        <f t="shared" si="5"/>
        <v>224281850.87994474</v>
      </c>
      <c r="S53" s="3"/>
      <c r="T53" s="3"/>
      <c r="U53" s="3"/>
      <c r="V53" s="1"/>
      <c r="W53" s="1"/>
      <c r="X53" s="1"/>
      <c r="Y53" s="1"/>
    </row>
    <row r="54" spans="1:25" s="2" customFormat="1" x14ac:dyDescent="0.25">
      <c r="A54" s="2" t="s">
        <v>6</v>
      </c>
      <c r="B54" s="2" t="s">
        <v>26</v>
      </c>
      <c r="C54" s="2" t="s">
        <v>13</v>
      </c>
      <c r="D54" s="23">
        <f>SUM(3.047619,
5419.319728)</f>
        <v>5422.3673470000003</v>
      </c>
      <c r="E54" s="21">
        <v>540</v>
      </c>
      <c r="F54" s="21">
        <v>630</v>
      </c>
      <c r="G54" s="21">
        <f t="shared" si="51"/>
        <v>0.54</v>
      </c>
      <c r="H54" s="21">
        <f t="shared" si="52"/>
        <v>0.63</v>
      </c>
      <c r="I54" s="3">
        <f t="shared" si="50"/>
        <v>1.043395219650612</v>
      </c>
      <c r="J54" s="3">
        <f t="shared" si="50"/>
        <v>1.6748483387596196</v>
      </c>
      <c r="K54" s="3"/>
      <c r="L54" s="3">
        <f t="shared" si="53"/>
        <v>5657.6721690493714</v>
      </c>
      <c r="M54" s="3">
        <f t="shared" si="53"/>
        <v>9081.6429432673558</v>
      </c>
      <c r="N54" s="7"/>
      <c r="O54" s="7"/>
      <c r="P54" s="3" t="s">
        <v>53</v>
      </c>
      <c r="Q54" s="10">
        <f t="shared" si="4"/>
        <v>917349999.903198</v>
      </c>
      <c r="R54" s="10">
        <f t="shared" si="5"/>
        <v>507722909.42779547</v>
      </c>
      <c r="S54" s="3"/>
      <c r="T54" s="3"/>
      <c r="U54" s="3"/>
      <c r="V54" s="1"/>
      <c r="W54" s="1"/>
      <c r="X54" s="1"/>
      <c r="Y54" s="1"/>
    </row>
    <row r="55" spans="1:25" s="2" customFormat="1" x14ac:dyDescent="0.25">
      <c r="A55" s="2" t="s">
        <v>6</v>
      </c>
      <c r="B55" s="2" t="s">
        <v>26</v>
      </c>
      <c r="C55" s="2" t="s">
        <v>14</v>
      </c>
      <c r="D55" s="21">
        <f>SUM(4.571429,660.680272,225.30612)</f>
        <v>890.55782099999988</v>
      </c>
      <c r="E55" s="21">
        <v>500</v>
      </c>
      <c r="F55" s="21">
        <v>570</v>
      </c>
      <c r="G55" s="21">
        <f t="shared" si="51"/>
        <v>0.5</v>
      </c>
      <c r="H55" s="21">
        <f t="shared" si="52"/>
        <v>0.56999999999999995</v>
      </c>
      <c r="I55" s="3">
        <f t="shared" si="50"/>
        <v>0.8238305889012606</v>
      </c>
      <c r="J55" s="3">
        <f t="shared" si="50"/>
        <v>1.2317875405449858</v>
      </c>
      <c r="K55" s="3"/>
      <c r="L55" s="3">
        <f t="shared" si="53"/>
        <v>733.66877412505335</v>
      </c>
      <c r="M55" s="3">
        <f t="shared" si="53"/>
        <v>1096.9780280426917</v>
      </c>
      <c r="N55" s="7"/>
      <c r="O55" s="7"/>
      <c r="P55" s="3" t="s">
        <v>53</v>
      </c>
      <c r="Q55" s="12">
        <f t="shared" si="4"/>
        <v>117549640.01921827</v>
      </c>
      <c r="R55" s="12">
        <f t="shared" si="5"/>
        <v>71096617.058906376</v>
      </c>
      <c r="S55" s="3"/>
      <c r="T55" s="3"/>
      <c r="U55" s="3"/>
      <c r="V55" s="1"/>
      <c r="W55" s="1"/>
      <c r="X55" s="1"/>
      <c r="Y55" s="1"/>
    </row>
    <row r="56" spans="1:25" s="9" customFormat="1" x14ac:dyDescent="0.25">
      <c r="A56" s="9" t="s">
        <v>6</v>
      </c>
      <c r="B56" s="9" t="s">
        <v>26</v>
      </c>
      <c r="C56" s="9" t="s">
        <v>15</v>
      </c>
      <c r="D56" s="19">
        <f>SUM(10.666667,
14291.156463)</f>
        <v>14301.823129999999</v>
      </c>
      <c r="E56" s="19"/>
      <c r="F56" s="19"/>
      <c r="G56" s="19"/>
      <c r="H56" s="19"/>
      <c r="I56" s="10"/>
      <c r="J56" s="10"/>
      <c r="K56" s="10"/>
      <c r="L56" s="10"/>
      <c r="M56" s="10"/>
      <c r="N56" s="7">
        <f>SUM(L51:L55)</f>
        <v>10452.359004879483</v>
      </c>
      <c r="O56" s="7">
        <f>SUM(M51:M55)</f>
        <v>17494.688672144355</v>
      </c>
      <c r="P56" s="10"/>
      <c r="Q56" s="10" t="e">
        <f t="shared" si="4"/>
        <v>#DIV/0!</v>
      </c>
      <c r="R56" s="10" t="e">
        <f t="shared" si="5"/>
        <v>#DIV/0!</v>
      </c>
      <c r="S56" s="10">
        <f>SUM(Q51:Q55)</f>
        <v>1906762399.6313725</v>
      </c>
      <c r="T56" s="10">
        <f>SUM(R51:R55)</f>
        <v>1000031187.7372477</v>
      </c>
      <c r="U56" s="10"/>
      <c r="V56" s="11"/>
      <c r="W56" s="11"/>
      <c r="X56" s="11"/>
      <c r="Y56" s="11"/>
    </row>
    <row r="57" spans="1:25" s="1" customFormat="1" x14ac:dyDescent="0.25">
      <c r="A57" s="1" t="s">
        <v>6</v>
      </c>
      <c r="B57" s="1" t="s">
        <v>27</v>
      </c>
      <c r="C57" s="1" t="s">
        <v>18</v>
      </c>
      <c r="D57" s="22">
        <f>143.673469</f>
        <v>143.67346900000001</v>
      </c>
      <c r="E57" s="22">
        <v>200</v>
      </c>
      <c r="F57" s="22">
        <v>240</v>
      </c>
      <c r="G57" s="22">
        <f t="shared" ref="G57:G63" si="54">E57/1000</f>
        <v>0.2</v>
      </c>
      <c r="H57" s="22">
        <f t="shared" ref="H57:H63" si="55">F57/1000</f>
        <v>0.24</v>
      </c>
      <c r="I57" s="5">
        <f>9.4676*10^-7*(E57*10^-3*1000)^2.16</f>
        <v>8.8402529453012677E-2</v>
      </c>
      <c r="J57" s="5">
        <f>9.4676*10^-7*(F57*10^-3*1000)^2.16</f>
        <v>0.13106785230452156</v>
      </c>
      <c r="K57" s="5" t="s">
        <v>44</v>
      </c>
      <c r="L57" s="5">
        <f>I57*$D57</f>
        <v>12.701098074889005</v>
      </c>
      <c r="M57" s="5">
        <f>J57*$D57</f>
        <v>18.830973014970258</v>
      </c>
      <c r="N57" s="8"/>
      <c r="O57" s="8"/>
      <c r="P57" s="5" t="s">
        <v>53</v>
      </c>
      <c r="Q57" s="12">
        <f t="shared" si="4"/>
        <v>3525651.9838623554</v>
      </c>
      <c r="R57" s="12">
        <f t="shared" si="5"/>
        <v>2155013.9045850146</v>
      </c>
      <c r="S57" s="5"/>
      <c r="T57" s="5"/>
      <c r="U57" s="5"/>
    </row>
    <row r="58" spans="1:25" s="1" customFormat="1" x14ac:dyDescent="0.25">
      <c r="A58" s="1" t="s">
        <v>6</v>
      </c>
      <c r="B58" s="1" t="s">
        <v>27</v>
      </c>
      <c r="C58" s="1" t="s">
        <v>9</v>
      </c>
      <c r="D58" s="22">
        <f>788.027211</f>
        <v>788.02721099999997</v>
      </c>
      <c r="E58" s="22">
        <v>240</v>
      </c>
      <c r="F58" s="22">
        <v>280</v>
      </c>
      <c r="G58" s="22">
        <f t="shared" si="54"/>
        <v>0.24</v>
      </c>
      <c r="H58" s="22">
        <f t="shared" si="55"/>
        <v>0.28000000000000003</v>
      </c>
      <c r="I58" s="5">
        <f t="shared" ref="I58:I63" si="56">9.4676*10^-7*(E58*10^-3*1000)^2.16</f>
        <v>0.13106785230452156</v>
      </c>
      <c r="J58" s="5">
        <f t="shared" ref="J58:J63" si="57">9.4676*10^-7*(F58*10^-3*1000)^2.16</f>
        <v>0.18285264576036406</v>
      </c>
      <c r="K58" s="5"/>
      <c r="L58" s="5">
        <f t="shared" ref="L58:M63" si="58">I58*$D58</f>
        <v>103.28503410329205</v>
      </c>
      <c r="M58" s="5">
        <f>J58*$D58</f>
        <v>144.09286046251066</v>
      </c>
      <c r="N58" s="8"/>
      <c r="O58" s="8"/>
      <c r="P58" s="5" t="s">
        <v>53</v>
      </c>
      <c r="Q58" s="10">
        <f t="shared" si="4"/>
        <v>24448446.584477883</v>
      </c>
      <c r="R58" s="10">
        <f t="shared" si="5"/>
        <v>16124822.324600555</v>
      </c>
      <c r="S58" s="5"/>
      <c r="T58" s="5"/>
      <c r="U58" s="5"/>
    </row>
    <row r="59" spans="1:25" s="1" customFormat="1" x14ac:dyDescent="0.25">
      <c r="A59" s="1" t="s">
        <v>6</v>
      </c>
      <c r="B59" s="1" t="s">
        <v>27</v>
      </c>
      <c r="C59" s="1" t="s">
        <v>10</v>
      </c>
      <c r="D59" s="22">
        <f>1061.22449</f>
        <v>1061.2244900000001</v>
      </c>
      <c r="E59" s="22">
        <v>280</v>
      </c>
      <c r="F59" s="22">
        <v>320</v>
      </c>
      <c r="G59" s="22">
        <f t="shared" si="54"/>
        <v>0.28000000000000003</v>
      </c>
      <c r="H59" s="22">
        <f t="shared" si="55"/>
        <v>0.32</v>
      </c>
      <c r="I59" s="5">
        <f t="shared" si="56"/>
        <v>0.18285264576036406</v>
      </c>
      <c r="J59" s="5">
        <f t="shared" si="57"/>
        <v>0.24398540846373284</v>
      </c>
      <c r="K59" s="5"/>
      <c r="L59" s="5">
        <f t="shared" si="58"/>
        <v>194.04770574219302</v>
      </c>
      <c r="M59" s="5">
        <f>J59*$D59</f>
        <v>258.92329066436656</v>
      </c>
      <c r="N59" s="8"/>
      <c r="O59" s="8"/>
      <c r="P59" s="5" t="s">
        <v>53</v>
      </c>
      <c r="Q59" s="12">
        <f t="shared" si="4"/>
        <v>40423010.883536533</v>
      </c>
      <c r="R59" s="12">
        <f t="shared" si="5"/>
        <v>28187100.354711559</v>
      </c>
      <c r="S59" s="5"/>
      <c r="T59" s="5"/>
      <c r="U59" s="5"/>
    </row>
    <row r="60" spans="1:25" s="1" customFormat="1" x14ac:dyDescent="0.25">
      <c r="A60" s="1" t="s">
        <v>6</v>
      </c>
      <c r="B60" s="1" t="s">
        <v>27</v>
      </c>
      <c r="C60" s="1" t="s">
        <v>11</v>
      </c>
      <c r="D60" s="22">
        <v>2676.4625850000002</v>
      </c>
      <c r="E60" s="22">
        <v>320</v>
      </c>
      <c r="F60" s="22">
        <v>360</v>
      </c>
      <c r="G60" s="22">
        <f t="shared" si="54"/>
        <v>0.32</v>
      </c>
      <c r="H60" s="22">
        <f t="shared" si="55"/>
        <v>0.36</v>
      </c>
      <c r="I60" s="5">
        <f t="shared" si="56"/>
        <v>0.24398540846373284</v>
      </c>
      <c r="J60" s="5">
        <f t="shared" si="57"/>
        <v>0.31466852373011789</v>
      </c>
      <c r="K60" s="5"/>
      <c r="L60" s="5">
        <f t="shared" si="58"/>
        <v>653.01781703912332</v>
      </c>
      <c r="M60" s="5">
        <f>J60*$D60</f>
        <v>842.19853044084527</v>
      </c>
      <c r="N60" s="8"/>
      <c r="O60" s="8"/>
      <c r="P60" s="5" t="s">
        <v>53</v>
      </c>
      <c r="Q60" s="10">
        <f t="shared" si="4"/>
        <v>122336589.3728521</v>
      </c>
      <c r="R60" s="10">
        <f t="shared" si="5"/>
        <v>89011179.916906953</v>
      </c>
      <c r="S60" s="5"/>
      <c r="T60" s="5"/>
      <c r="U60" s="5"/>
    </row>
    <row r="61" spans="1:25" s="1" customFormat="1" x14ac:dyDescent="0.25">
      <c r="A61" s="1" t="s">
        <v>6</v>
      </c>
      <c r="B61" s="1" t="s">
        <v>27</v>
      </c>
      <c r="C61" s="1" t="s">
        <v>12</v>
      </c>
      <c r="D61" s="22">
        <f>SUM(4.571429,
7555.918367)</f>
        <v>7560.4897959999998</v>
      </c>
      <c r="E61" s="22">
        <v>400</v>
      </c>
      <c r="F61" s="22">
        <v>400</v>
      </c>
      <c r="G61" s="22">
        <f t="shared" si="54"/>
        <v>0.4</v>
      </c>
      <c r="H61" s="22">
        <f t="shared" si="55"/>
        <v>0.4</v>
      </c>
      <c r="I61" s="5">
        <f t="shared" si="56"/>
        <v>0.3950840365236063</v>
      </c>
      <c r="J61" s="5">
        <f>9.4676*10^-7*(F61*10^-3*1000)^2.16</f>
        <v>0.3950840365236063</v>
      </c>
      <c r="K61" s="5"/>
      <c r="L61" s="5">
        <f t="shared" si="58"/>
        <v>2987.0288266992166</v>
      </c>
      <c r="M61" s="5">
        <f t="shared" si="58"/>
        <v>2987.0288266992166</v>
      </c>
      <c r="N61" s="8"/>
      <c r="O61" s="8"/>
      <c r="P61" s="5" t="s">
        <v>53</v>
      </c>
      <c r="Q61" s="12">
        <f t="shared" si="4"/>
        <v>384635970.38269198</v>
      </c>
      <c r="R61" s="12">
        <f t="shared" si="5"/>
        <v>384635970.38269198</v>
      </c>
      <c r="S61" s="5"/>
      <c r="T61" s="5"/>
      <c r="U61" s="5"/>
    </row>
    <row r="62" spans="1:25" s="1" customFormat="1" x14ac:dyDescent="0.25">
      <c r="A62" s="1" t="s">
        <v>6</v>
      </c>
      <c r="B62" s="1" t="s">
        <v>27</v>
      </c>
      <c r="C62" s="1" t="s">
        <v>13</v>
      </c>
      <c r="D62" s="22">
        <f>SUM(13.409524,24435.37415,274.285714)</f>
        <v>24723.069388</v>
      </c>
      <c r="E62" s="22">
        <v>420</v>
      </c>
      <c r="F62" s="22">
        <v>500</v>
      </c>
      <c r="G62" s="22">
        <f t="shared" si="54"/>
        <v>0.42</v>
      </c>
      <c r="H62" s="22">
        <f t="shared" si="55"/>
        <v>0.5</v>
      </c>
      <c r="I62" s="5">
        <f t="shared" si="56"/>
        <v>0.43899378138795536</v>
      </c>
      <c r="J62" s="5">
        <f t="shared" si="57"/>
        <v>0.63975709407633896</v>
      </c>
      <c r="K62" s="5"/>
      <c r="L62" s="5">
        <f t="shared" si="58"/>
        <v>10853.273718154924</v>
      </c>
      <c r="M62" s="5">
        <f>J62*$D62</f>
        <v>15816.759028314571</v>
      </c>
      <c r="N62" s="8"/>
      <c r="O62" s="8"/>
      <c r="P62" s="5" t="s">
        <v>53</v>
      </c>
      <c r="Q62" s="10">
        <f t="shared" si="4"/>
        <v>1983744606.1974816</v>
      </c>
      <c r="R62" s="10">
        <f t="shared" si="5"/>
        <v>1238910207.8734314</v>
      </c>
      <c r="S62" s="5"/>
      <c r="T62" s="5"/>
      <c r="U62" s="5"/>
    </row>
    <row r="63" spans="1:25" s="1" customFormat="1" x14ac:dyDescent="0.25">
      <c r="A63" s="1" t="s">
        <v>6</v>
      </c>
      <c r="B63" s="1" t="s">
        <v>27</v>
      </c>
      <c r="C63" s="1" t="s">
        <v>14</v>
      </c>
      <c r="D63" s="22">
        <f>3173.877551</f>
        <v>3173.877551</v>
      </c>
      <c r="E63" s="22">
        <v>380</v>
      </c>
      <c r="F63" s="22">
        <v>420</v>
      </c>
      <c r="G63" s="22">
        <f t="shared" si="54"/>
        <v>0.38</v>
      </c>
      <c r="H63" s="22">
        <f t="shared" si="55"/>
        <v>0.42</v>
      </c>
      <c r="I63" s="5">
        <f t="shared" si="56"/>
        <v>0.35364902873926202</v>
      </c>
      <c r="J63" s="5">
        <f t="shared" si="57"/>
        <v>0.43899378138795536</v>
      </c>
      <c r="K63" s="5"/>
      <c r="L63" s="5">
        <f t="shared" si="58"/>
        <v>1122.4387132484976</v>
      </c>
      <c r="M63" s="5">
        <f>J63*$D63</f>
        <v>1393.3125077758332</v>
      </c>
      <c r="N63" s="8"/>
      <c r="O63" s="8"/>
      <c r="P63" s="5" t="s">
        <v>53</v>
      </c>
      <c r="Q63" s="12">
        <f t="shared" si="4"/>
        <v>184454082.24121231</v>
      </c>
      <c r="R63" s="12">
        <f t="shared" si="5"/>
        <v>140776738.09203997</v>
      </c>
      <c r="S63" s="5"/>
      <c r="T63" s="5"/>
      <c r="U63" s="5"/>
    </row>
    <row r="64" spans="1:25" s="11" customFormat="1" x14ac:dyDescent="0.25">
      <c r="A64" s="11" t="s">
        <v>6</v>
      </c>
      <c r="B64" s="11" t="s">
        <v>27</v>
      </c>
      <c r="C64" s="11" t="s">
        <v>15</v>
      </c>
      <c r="D64" s="20">
        <f>SUM(17.980952,
40108.843537)</f>
        <v>40126.824488999999</v>
      </c>
      <c r="E64" s="20"/>
      <c r="F64" s="20"/>
      <c r="G64" s="20"/>
      <c r="H64" s="20"/>
      <c r="I64" s="12"/>
      <c r="J64" s="12"/>
      <c r="K64" s="12"/>
      <c r="L64" s="12"/>
      <c r="M64" s="12"/>
      <c r="N64" s="8">
        <f>SUM(L57:L63)</f>
        <v>15925.792913062136</v>
      </c>
      <c r="O64" s="8">
        <f>SUM(M57:M63)</f>
        <v>21461.146017372314</v>
      </c>
      <c r="P64" s="12"/>
      <c r="Q64" s="10" t="e">
        <f t="shared" si="4"/>
        <v>#DIV/0!</v>
      </c>
      <c r="R64" s="10" t="e">
        <f t="shared" si="5"/>
        <v>#DIV/0!</v>
      </c>
      <c r="S64" s="12">
        <f>SUM(Q57:Q63)</f>
        <v>2743568357.6461148</v>
      </c>
      <c r="T64" s="12">
        <f>SUM(R57:R63)</f>
        <v>1899801032.8489676</v>
      </c>
      <c r="U64" s="12"/>
    </row>
    <row r="65" spans="1:25" s="9" customFormat="1" x14ac:dyDescent="0.25">
      <c r="A65" s="9" t="s">
        <v>6</v>
      </c>
      <c r="B65" s="9" t="s">
        <v>28</v>
      </c>
      <c r="C65" s="9" t="s">
        <v>13</v>
      </c>
      <c r="D65" s="19">
        <f>994.829932</f>
        <v>994.82993199999999</v>
      </c>
      <c r="E65" s="19">
        <v>400</v>
      </c>
      <c r="F65" s="19">
        <v>540</v>
      </c>
      <c r="G65" s="21">
        <f t="shared" ref="G65:G70" si="59">E65/1000</f>
        <v>0.4</v>
      </c>
      <c r="H65" s="21">
        <f t="shared" ref="H65:H70" si="60">F65/1000</f>
        <v>0.54</v>
      </c>
      <c r="I65" s="10">
        <f>0.4*(10^((3.16*LOG10(E65))-8.18)/0.9)</f>
        <v>0.49014779640231004</v>
      </c>
      <c r="J65" s="10">
        <f>0.4*(10^((3.16*LOG10(F65))-8.18)/0.9)</f>
        <v>1.2652657815422117</v>
      </c>
      <c r="K65" s="10" t="s">
        <v>43</v>
      </c>
      <c r="L65" s="10">
        <f>I65*$D65</f>
        <v>487.61369896485996</v>
      </c>
      <c r="M65" s="10">
        <f>J65*$D65</f>
        <v>1258.7242714135652</v>
      </c>
      <c r="N65" s="7">
        <f>L65</f>
        <v>487.61369896485996</v>
      </c>
      <c r="O65" s="7">
        <f>M65</f>
        <v>1258.7242714135652</v>
      </c>
      <c r="P65" s="10" t="s">
        <v>53</v>
      </c>
      <c r="Q65" s="12">
        <f t="shared" si="4"/>
        <v>153578950.63239786</v>
      </c>
      <c r="R65" s="12">
        <f t="shared" si="5"/>
        <v>46936781.930546761</v>
      </c>
      <c r="S65" s="10">
        <v>57835794.073674783</v>
      </c>
      <c r="T65" s="10">
        <v>117784389.18043558</v>
      </c>
      <c r="U65" s="10"/>
      <c r="V65" s="11"/>
      <c r="W65" s="11"/>
      <c r="X65" s="11"/>
      <c r="Y65" s="11"/>
    </row>
    <row r="66" spans="1:25" s="1" customFormat="1" x14ac:dyDescent="0.25">
      <c r="A66" s="1" t="s">
        <v>6</v>
      </c>
      <c r="B66" s="1" t="s">
        <v>29</v>
      </c>
      <c r="C66" s="1" t="s">
        <v>18</v>
      </c>
      <c r="D66" s="22">
        <f>428.843537</f>
        <v>428.84353700000003</v>
      </c>
      <c r="E66" s="22">
        <f>AVERAGE(1160,1000)</f>
        <v>1080</v>
      </c>
      <c r="F66" s="22">
        <f>AVERAGE(1160,1000)</f>
        <v>1080</v>
      </c>
      <c r="G66" s="22">
        <f t="shared" si="59"/>
        <v>1.08</v>
      </c>
      <c r="H66" s="22">
        <f t="shared" si="60"/>
        <v>1.08</v>
      </c>
      <c r="I66" s="5">
        <f>((0.0075*(E66*10^-3)^3.274)/0.9)*0.447*1000</f>
        <v>4.7924286142003751</v>
      </c>
      <c r="J66" s="5">
        <f>((0.0075*(F66*10^-3)^3.274)/0.9)*0.447*1000</f>
        <v>4.7924286142003751</v>
      </c>
      <c r="K66" s="5" t="s">
        <v>46</v>
      </c>
      <c r="L66" s="5">
        <f>I66*$D66</f>
        <v>2055.2020377336976</v>
      </c>
      <c r="M66" s="5">
        <f>J66*$D66</f>
        <v>2055.2020377336976</v>
      </c>
      <c r="N66" s="8"/>
      <c r="O66" s="8"/>
      <c r="P66" s="5" t="s">
        <v>51</v>
      </c>
      <c r="Q66" s="10">
        <f t="shared" si="4"/>
        <v>141807258.67182192</v>
      </c>
      <c r="R66" s="10">
        <f t="shared" si="5"/>
        <v>141807258.67182192</v>
      </c>
      <c r="S66" s="5"/>
      <c r="T66" s="5"/>
      <c r="U66" s="5"/>
    </row>
    <row r="67" spans="1:25" s="1" customFormat="1" x14ac:dyDescent="0.25">
      <c r="A67" s="1" t="s">
        <v>6</v>
      </c>
      <c r="B67" s="1" t="s">
        <v>29</v>
      </c>
      <c r="C67" s="1" t="s">
        <v>9</v>
      </c>
      <c r="D67" s="22">
        <f>SUM(4.571429,
511.564626)</f>
        <v>516.13605499999994</v>
      </c>
      <c r="E67" s="22">
        <v>1500</v>
      </c>
      <c r="F67" s="22">
        <v>1500</v>
      </c>
      <c r="G67" s="22">
        <f t="shared" si="59"/>
        <v>1.5</v>
      </c>
      <c r="H67" s="22">
        <f t="shared" si="60"/>
        <v>1.5</v>
      </c>
      <c r="I67" s="5">
        <f t="shared" ref="I67:I70" si="61">((0.0075*(E67*10^-3)^3.274)/0.9)*0.447*1000</f>
        <v>14.049117968657727</v>
      </c>
      <c r="J67" s="5">
        <f t="shared" ref="J67:J70" si="62">((0.0075*(F67*10^-3)^3.274)/0.9)*0.447*1000</f>
        <v>14.049117968657727</v>
      </c>
      <c r="K67" s="5"/>
      <c r="L67" s="5">
        <f t="shared" ref="L67:L70" si="63">I67*$D67</f>
        <v>7251.2563245726124</v>
      </c>
      <c r="M67" s="5">
        <f t="shared" ref="M67:M69" si="64">J67*$D67</f>
        <v>7251.2563245726124</v>
      </c>
      <c r="N67" s="8"/>
      <c r="O67" s="8"/>
      <c r="P67" s="5" t="s">
        <v>51</v>
      </c>
      <c r="Q67" s="12">
        <f t="shared" si="4"/>
        <v>382370030.18705833</v>
      </c>
      <c r="R67" s="12">
        <f t="shared" si="5"/>
        <v>382370030.18705833</v>
      </c>
      <c r="S67" s="5"/>
      <c r="T67" s="5"/>
      <c r="U67" s="5"/>
    </row>
    <row r="68" spans="1:25" s="1" customFormat="1" x14ac:dyDescent="0.25">
      <c r="A68" s="1" t="s">
        <v>6</v>
      </c>
      <c r="B68" s="1" t="s">
        <v>29</v>
      </c>
      <c r="C68" s="1" t="s">
        <v>10</v>
      </c>
      <c r="D68" s="22">
        <f>SUM(106.057143,
111.020408)</f>
        <v>217.077551</v>
      </c>
      <c r="E68" s="22">
        <f>AVERAGE(2080,300)</f>
        <v>1190</v>
      </c>
      <c r="F68" s="22">
        <f>AVERAGE(2410,300)</f>
        <v>1355</v>
      </c>
      <c r="G68" s="22">
        <f t="shared" si="59"/>
        <v>1.19</v>
      </c>
      <c r="H68" s="22">
        <f t="shared" si="60"/>
        <v>1.355</v>
      </c>
      <c r="I68" s="5">
        <f t="shared" si="61"/>
        <v>6.5836544542729074</v>
      </c>
      <c r="J68" s="5">
        <f t="shared" si="62"/>
        <v>10.071531829787753</v>
      </c>
      <c r="K68" s="5"/>
      <c r="L68" s="5">
        <f t="shared" si="63"/>
        <v>1429.1635855638042</v>
      </c>
      <c r="M68" s="5">
        <f t="shared" si="64"/>
        <v>2186.3034644288746</v>
      </c>
      <c r="N68" s="8"/>
      <c r="O68" s="8"/>
      <c r="P68" s="5" t="s">
        <v>51</v>
      </c>
      <c r="Q68" s="10">
        <f t="shared" ref="Q68:Q131" si="65">(14*(I68*10^6)^-0.25)*EXP(0.0693*(-1.17-20))*(M68*10^6)</f>
        <v>139340235.00735995</v>
      </c>
      <c r="R68" s="10">
        <f t="shared" ref="R68:R131" si="66">(14*(J68*10^6)^-0.25)*EXP(0.0693*(-1.17-20))*(L68*10^6)</f>
        <v>81901322.111466885</v>
      </c>
      <c r="S68" s="5"/>
      <c r="T68" s="5"/>
      <c r="U68" s="5"/>
    </row>
    <row r="69" spans="1:25" s="1" customFormat="1" x14ac:dyDescent="0.25">
      <c r="A69" s="1" t="s">
        <v>6</v>
      </c>
      <c r="B69" s="1" t="s">
        <v>29</v>
      </c>
      <c r="C69" s="1" t="s">
        <v>11</v>
      </c>
      <c r="D69" s="22">
        <f>69.790476</f>
        <v>69.790475999999998</v>
      </c>
      <c r="E69" s="22">
        <f>AVERAGE(2960,4000)</f>
        <v>3480</v>
      </c>
      <c r="F69" s="22">
        <f>AVERAGE(3570,5400)</f>
        <v>4485</v>
      </c>
      <c r="G69" s="22">
        <f t="shared" si="59"/>
        <v>3.48</v>
      </c>
      <c r="H69" s="22">
        <f t="shared" si="60"/>
        <v>4.4850000000000003</v>
      </c>
      <c r="I69" s="5">
        <f t="shared" si="61"/>
        <v>220.93103228131193</v>
      </c>
      <c r="J69" s="5">
        <f t="shared" si="62"/>
        <v>506.98665722465563</v>
      </c>
      <c r="K69" s="5"/>
      <c r="L69" s="5">
        <f t="shared" si="63"/>
        <v>15418.881906084125</v>
      </c>
      <c r="M69" s="5">
        <f t="shared" si="64"/>
        <v>35382.840133357553</v>
      </c>
      <c r="N69" s="8"/>
      <c r="O69" s="8"/>
      <c r="P69" s="5" t="s">
        <v>51</v>
      </c>
      <c r="Q69" s="12">
        <f t="shared" si="65"/>
        <v>936939098.91383696</v>
      </c>
      <c r="R69" s="12">
        <f t="shared" si="66"/>
        <v>331731416.06261134</v>
      </c>
      <c r="S69" s="5"/>
      <c r="T69" s="5"/>
      <c r="U69" s="5"/>
    </row>
    <row r="70" spans="1:25" s="1" customFormat="1" x14ac:dyDescent="0.25">
      <c r="A70" s="1" t="s">
        <v>6</v>
      </c>
      <c r="B70" s="1" t="s">
        <v>29</v>
      </c>
      <c r="C70" s="1" t="s">
        <v>12</v>
      </c>
      <c r="D70" s="22">
        <f>16.761905</f>
        <v>16.761904999999999</v>
      </c>
      <c r="E70" s="22">
        <f>AVERAGE(4400,3000)</f>
        <v>3700</v>
      </c>
      <c r="F70" s="22">
        <f>AVERAGE(5640,3800)</f>
        <v>4720</v>
      </c>
      <c r="G70" s="22">
        <f t="shared" si="59"/>
        <v>3.7</v>
      </c>
      <c r="H70" s="22">
        <f t="shared" si="60"/>
        <v>4.72</v>
      </c>
      <c r="I70" s="5">
        <f t="shared" si="61"/>
        <v>270.03416914122573</v>
      </c>
      <c r="J70" s="5">
        <f t="shared" si="62"/>
        <v>599.25598557806939</v>
      </c>
      <c r="K70" s="5"/>
      <c r="L70" s="5">
        <f t="shared" si="63"/>
        <v>4526.2870898991569</v>
      </c>
      <c r="M70" s="5">
        <f>J70*$D70</f>
        <v>10044.671900940968</v>
      </c>
      <c r="N70" s="8"/>
      <c r="O70" s="8"/>
      <c r="P70" s="5" t="s">
        <v>51</v>
      </c>
      <c r="Q70" s="10">
        <f t="shared" si="65"/>
        <v>252967033.55301926</v>
      </c>
      <c r="R70" s="10">
        <f t="shared" si="66"/>
        <v>93394618.905276895</v>
      </c>
      <c r="S70" s="5"/>
      <c r="T70" s="5"/>
      <c r="U70" s="5"/>
    </row>
    <row r="71" spans="1:25" s="11" customFormat="1" x14ac:dyDescent="0.25">
      <c r="A71" s="11" t="s">
        <v>6</v>
      </c>
      <c r="B71" s="11" t="s">
        <v>29</v>
      </c>
      <c r="C71" s="11" t="s">
        <v>15</v>
      </c>
      <c r="D71" s="20">
        <f>SUM(197.180952,
1051.428571)</f>
        <v>1248.6095229999999</v>
      </c>
      <c r="E71" s="20"/>
      <c r="F71" s="20"/>
      <c r="G71" s="20"/>
      <c r="H71" s="20"/>
      <c r="I71" s="12"/>
      <c r="J71" s="12"/>
      <c r="K71" s="12"/>
      <c r="L71" s="12"/>
      <c r="M71" s="12"/>
      <c r="N71" s="8">
        <f>SUM(L66:L70)</f>
        <v>30680.790943853393</v>
      </c>
      <c r="O71" s="8">
        <f>SUM(M68:M70)</f>
        <v>47613.815498727403</v>
      </c>
      <c r="P71" s="12"/>
      <c r="Q71" s="12" t="e">
        <f t="shared" si="65"/>
        <v>#DIV/0!</v>
      </c>
      <c r="R71" s="12" t="e">
        <f t="shared" si="66"/>
        <v>#DIV/0!</v>
      </c>
      <c r="S71" s="12">
        <f>SUM(Q66:Q70)</f>
        <v>1853423656.3330965</v>
      </c>
      <c r="T71" s="12">
        <f>SUM(R68:R70)</f>
        <v>507027357.07935512</v>
      </c>
      <c r="U71" s="12"/>
    </row>
    <row r="72" spans="1:25" s="9" customFormat="1" x14ac:dyDescent="0.25">
      <c r="A72" s="9" t="s">
        <v>6</v>
      </c>
      <c r="B72" s="9" t="s">
        <v>30</v>
      </c>
      <c r="C72" s="9" t="s">
        <v>4</v>
      </c>
      <c r="D72" s="19">
        <f>SUM(8.380952,
380.952381)</f>
        <v>389.33333299999998</v>
      </c>
      <c r="E72" s="19"/>
      <c r="F72" s="19"/>
      <c r="G72" s="21"/>
      <c r="H72" s="21"/>
      <c r="I72" s="10">
        <f>0.537*11.3</f>
        <v>6.0681000000000012</v>
      </c>
      <c r="J72" s="10">
        <f>0.537*11.3</f>
        <v>6.0681000000000012</v>
      </c>
      <c r="K72" s="10" t="s">
        <v>48</v>
      </c>
      <c r="L72" s="10">
        <f>I72*D72</f>
        <v>2362.5135979773004</v>
      </c>
      <c r="M72" s="10">
        <v>2362.5135979773004</v>
      </c>
      <c r="N72" s="7">
        <v>2362.5135979773004</v>
      </c>
      <c r="O72" s="7">
        <v>2362.5135979773004</v>
      </c>
      <c r="P72" s="10" t="s">
        <v>53</v>
      </c>
      <c r="Q72" s="10">
        <f t="shared" si="65"/>
        <v>153671732.46300435</v>
      </c>
      <c r="R72" s="10">
        <f t="shared" si="66"/>
        <v>153671732.46300435</v>
      </c>
      <c r="S72" s="10">
        <f>Q72</f>
        <v>153671732.46300435</v>
      </c>
      <c r="T72" s="10">
        <f>R72</f>
        <v>153671732.46300435</v>
      </c>
      <c r="U72" s="10"/>
      <c r="V72" s="11"/>
      <c r="W72" s="11"/>
      <c r="X72" s="11"/>
      <c r="Y72" s="11"/>
    </row>
    <row r="73" spans="1:25" s="1" customFormat="1" x14ac:dyDescent="0.25">
      <c r="A73" s="1" t="s">
        <v>6</v>
      </c>
      <c r="B73" s="1" t="s">
        <v>31</v>
      </c>
      <c r="C73" s="1" t="s">
        <v>18</v>
      </c>
      <c r="D73" s="22">
        <f>1851.428571</f>
        <v>1851.4285709999999</v>
      </c>
      <c r="E73" s="22">
        <v>450</v>
      </c>
      <c r="F73" s="22">
        <v>450</v>
      </c>
      <c r="G73" s="22">
        <f t="shared" ref="G73:G79" si="67">E73/1000</f>
        <v>0.45</v>
      </c>
      <c r="H73" s="22">
        <f t="shared" ref="H73:H79" si="68">F73/1000</f>
        <v>0.45</v>
      </c>
      <c r="I73" s="5">
        <f t="shared" ref="I73:J79" si="69">(10^(2.85*(LOG10(E73*10^-3*1000))-7.62))*0.447</f>
        <v>0.39080776789498056</v>
      </c>
      <c r="J73" s="5">
        <f t="shared" si="69"/>
        <v>0.39080776789498056</v>
      </c>
      <c r="K73" s="5" t="s">
        <v>42</v>
      </c>
      <c r="L73" s="5">
        <f>I73*$D73</f>
        <v>723.55266724950354</v>
      </c>
      <c r="M73" s="5">
        <f>J73*$D73</f>
        <v>723.55266724950354</v>
      </c>
      <c r="P73" s="5" t="s">
        <v>53</v>
      </c>
      <c r="Q73" s="12">
        <f t="shared" si="65"/>
        <v>93424806.030613407</v>
      </c>
      <c r="R73" s="12">
        <f t="shared" si="66"/>
        <v>93424806.030613407</v>
      </c>
    </row>
    <row r="74" spans="1:25" s="1" customFormat="1" x14ac:dyDescent="0.25">
      <c r="A74" s="1" t="s">
        <v>6</v>
      </c>
      <c r="B74" s="1" t="s">
        <v>31</v>
      </c>
      <c r="C74" s="1" t="s">
        <v>9</v>
      </c>
      <c r="D74" s="22">
        <f>1769.795918</f>
        <v>1769.795918</v>
      </c>
      <c r="E74" s="22">
        <v>600</v>
      </c>
      <c r="F74" s="22">
        <v>600</v>
      </c>
      <c r="G74" s="22">
        <f t="shared" si="67"/>
        <v>0.6</v>
      </c>
      <c r="H74" s="22">
        <f t="shared" si="68"/>
        <v>0.6</v>
      </c>
      <c r="I74" s="5">
        <f t="shared" si="69"/>
        <v>0.88723483865811659</v>
      </c>
      <c r="J74" s="5">
        <f t="shared" si="69"/>
        <v>0.88723483865811659</v>
      </c>
      <c r="K74" s="5"/>
      <c r="L74" s="5">
        <f t="shared" ref="L74:L79" si="70">I74*$D74</f>
        <v>1570.2245957645234</v>
      </c>
      <c r="M74" s="5">
        <f t="shared" ref="M74:M79" si="71">J74*$D74</f>
        <v>1570.2245957645234</v>
      </c>
      <c r="N74" s="8"/>
      <c r="O74" s="8"/>
      <c r="P74" s="5" t="s">
        <v>53</v>
      </c>
      <c r="Q74" s="10">
        <f t="shared" si="65"/>
        <v>165171450.23754841</v>
      </c>
      <c r="R74" s="10">
        <f t="shared" si="66"/>
        <v>165171450.23754841</v>
      </c>
      <c r="S74" s="5"/>
      <c r="T74" s="5"/>
      <c r="U74" s="5"/>
    </row>
    <row r="75" spans="1:25" s="1" customFormat="1" x14ac:dyDescent="0.25">
      <c r="A75" s="1" t="s">
        <v>6</v>
      </c>
      <c r="B75" s="1" t="s">
        <v>31</v>
      </c>
      <c r="C75" s="1" t="s">
        <v>10</v>
      </c>
      <c r="D75" s="22">
        <v>1480.272109</v>
      </c>
      <c r="E75" s="22">
        <f>AVERAGE(800,750,450)</f>
        <v>666.66666666666663</v>
      </c>
      <c r="F75" s="22">
        <f>AVERAGE(560,950,850)</f>
        <v>786.66666666666663</v>
      </c>
      <c r="G75" s="22">
        <f t="shared" si="67"/>
        <v>0.66666666666666663</v>
      </c>
      <c r="H75" s="22">
        <f t="shared" si="68"/>
        <v>0.78666666666666663</v>
      </c>
      <c r="I75" s="5">
        <f t="shared" si="69"/>
        <v>1.1979741166682267</v>
      </c>
      <c r="J75" s="5">
        <f t="shared" si="69"/>
        <v>1.9200438871492924</v>
      </c>
      <c r="K75" s="5"/>
      <c r="L75" s="5">
        <f t="shared" si="70"/>
        <v>1773.3276722078881</v>
      </c>
      <c r="M75" s="5">
        <f t="shared" si="71"/>
        <v>2842.187414203041</v>
      </c>
      <c r="N75" s="8"/>
      <c r="O75" s="8"/>
      <c r="P75" s="5" t="s">
        <v>53</v>
      </c>
      <c r="Q75" s="12">
        <f t="shared" si="65"/>
        <v>277347149.15636629</v>
      </c>
      <c r="R75" s="12">
        <f t="shared" si="66"/>
        <v>153795651.1256322</v>
      </c>
      <c r="S75" s="5"/>
      <c r="T75" s="5"/>
      <c r="U75" s="5"/>
    </row>
    <row r="76" spans="1:25" s="1" customFormat="1" x14ac:dyDescent="0.25">
      <c r="A76" s="1" t="s">
        <v>6</v>
      </c>
      <c r="B76" s="1" t="s">
        <v>31</v>
      </c>
      <c r="C76" s="1" t="s">
        <v>11</v>
      </c>
      <c r="D76" s="22">
        <f>137.142857</f>
        <v>137.14285699999999</v>
      </c>
      <c r="E76" s="22">
        <f>AVERAGE(950,850,560)</f>
        <v>786.66666666666663</v>
      </c>
      <c r="F76" s="22">
        <f>AVERAGE(1050,950,700)</f>
        <v>900</v>
      </c>
      <c r="G76" s="22">
        <f t="shared" si="67"/>
        <v>0.78666666666666663</v>
      </c>
      <c r="H76" s="22">
        <f t="shared" si="68"/>
        <v>0.9</v>
      </c>
      <c r="I76" s="5">
        <f t="shared" si="69"/>
        <v>1.9200438871492924</v>
      </c>
      <c r="J76" s="5">
        <f t="shared" si="69"/>
        <v>2.8177254528580589</v>
      </c>
      <c r="K76" s="5"/>
      <c r="L76" s="5">
        <f t="shared" si="70"/>
        <v>263.32030424903951</v>
      </c>
      <c r="M76" s="5">
        <f t="shared" si="71"/>
        <v>386.43091884657298</v>
      </c>
      <c r="N76" s="8"/>
      <c r="O76" s="8"/>
      <c r="P76" s="5" t="s">
        <v>53</v>
      </c>
      <c r="Q76" s="10">
        <f t="shared" si="65"/>
        <v>33514051.413346384</v>
      </c>
      <c r="R76" s="10">
        <f t="shared" si="66"/>
        <v>20748778.397520918</v>
      </c>
      <c r="S76" s="5"/>
      <c r="T76" s="5"/>
      <c r="U76" s="5"/>
    </row>
    <row r="77" spans="1:25" s="1" customFormat="1" x14ac:dyDescent="0.25">
      <c r="A77" s="1" t="s">
        <v>6</v>
      </c>
      <c r="B77" s="1" t="s">
        <v>31</v>
      </c>
      <c r="C77" s="1" t="s">
        <v>12</v>
      </c>
      <c r="D77" s="22">
        <f>65.306122</f>
        <v>65.306122000000002</v>
      </c>
      <c r="E77" s="22">
        <f>AVERAGE(650,1200,950)</f>
        <v>933.33333333333337</v>
      </c>
      <c r="F77" s="22">
        <f>AVERAGE(1300,1100,850)</f>
        <v>1083.3333333333333</v>
      </c>
      <c r="G77" s="22">
        <f t="shared" si="67"/>
        <v>0.93333333333333335</v>
      </c>
      <c r="H77" s="22">
        <f t="shared" si="68"/>
        <v>1.0833333333333333</v>
      </c>
      <c r="I77" s="5">
        <f t="shared" si="69"/>
        <v>3.1254484233881543</v>
      </c>
      <c r="J77" s="5">
        <f t="shared" si="69"/>
        <v>4.7794676451112066</v>
      </c>
      <c r="K77" s="5"/>
      <c r="L77" s="5">
        <f t="shared" si="70"/>
        <v>204.11091604249447</v>
      </c>
      <c r="M77" s="5">
        <f t="shared" si="71"/>
        <v>312.12849712668515</v>
      </c>
      <c r="N77" s="8"/>
      <c r="O77" s="8"/>
      <c r="P77" s="5" t="s">
        <v>53</v>
      </c>
      <c r="Q77" s="12">
        <f t="shared" si="65"/>
        <v>23965593.577401411</v>
      </c>
      <c r="R77" s="12">
        <f t="shared" si="66"/>
        <v>14093024.378779119</v>
      </c>
      <c r="S77" s="5"/>
      <c r="T77" s="5"/>
      <c r="U77" s="5"/>
    </row>
    <row r="78" spans="1:25" s="1" customFormat="1" x14ac:dyDescent="0.25">
      <c r="A78" s="1" t="s">
        <v>6</v>
      </c>
      <c r="B78" s="1" t="s">
        <v>31</v>
      </c>
      <c r="C78" s="1" t="s">
        <v>13</v>
      </c>
      <c r="D78" s="22">
        <f>SUM(4.571429,
1048.163265)</f>
        <v>1052.734694</v>
      </c>
      <c r="E78" s="22">
        <f>AVERAGE(1150,1600,850)</f>
        <v>1200</v>
      </c>
      <c r="F78" s="22">
        <f>AVERAGE(1150,1600,850)</f>
        <v>1200</v>
      </c>
      <c r="G78" s="22">
        <f t="shared" si="67"/>
        <v>1.2</v>
      </c>
      <c r="H78" s="22">
        <f t="shared" si="68"/>
        <v>1.2</v>
      </c>
      <c r="I78" s="5">
        <f t="shared" si="69"/>
        <v>6.3969664702805833</v>
      </c>
      <c r="J78" s="5">
        <f t="shared" si="69"/>
        <v>6.3969664702805833</v>
      </c>
      <c r="K78" s="5"/>
      <c r="L78" s="5">
        <f t="shared" si="70"/>
        <v>6734.30853961909</v>
      </c>
      <c r="M78" s="5">
        <f t="shared" si="71"/>
        <v>6734.30853961909</v>
      </c>
      <c r="N78" s="8"/>
      <c r="O78" s="8"/>
      <c r="P78" s="5" t="s">
        <v>53</v>
      </c>
      <c r="Q78" s="10">
        <f t="shared" si="65"/>
        <v>432297122.21294248</v>
      </c>
      <c r="R78" s="10">
        <f t="shared" si="66"/>
        <v>432297122.21294248</v>
      </c>
      <c r="S78" s="5"/>
      <c r="T78" s="5"/>
      <c r="U78" s="5"/>
    </row>
    <row r="79" spans="1:25" s="1" customFormat="1" x14ac:dyDescent="0.25">
      <c r="A79" s="1" t="s">
        <v>6</v>
      </c>
      <c r="B79" s="1" t="s">
        <v>31</v>
      </c>
      <c r="C79" s="1" t="s">
        <v>14</v>
      </c>
      <c r="D79" s="22">
        <v>45.714286000000001</v>
      </c>
      <c r="E79" s="22">
        <f>AVERAGE(800,1200,1000)</f>
        <v>1000</v>
      </c>
      <c r="F79" s="22">
        <f>AVERAGE(800,1200,1000)</f>
        <v>1000</v>
      </c>
      <c r="G79" s="22">
        <f t="shared" si="67"/>
        <v>1</v>
      </c>
      <c r="H79" s="22">
        <f t="shared" si="68"/>
        <v>1</v>
      </c>
      <c r="I79" s="5">
        <f t="shared" si="69"/>
        <v>3.8045870307646301</v>
      </c>
      <c r="J79" s="5">
        <f t="shared" si="69"/>
        <v>3.8045870307646301</v>
      </c>
      <c r="K79" s="5"/>
      <c r="L79" s="5">
        <f t="shared" si="70"/>
        <v>173.9239796362651</v>
      </c>
      <c r="M79" s="5">
        <f t="shared" si="71"/>
        <v>173.9239796362651</v>
      </c>
      <c r="N79" s="8"/>
      <c r="O79" s="8"/>
      <c r="P79" s="5" t="s">
        <v>53</v>
      </c>
      <c r="Q79" s="12">
        <f t="shared" si="65"/>
        <v>12713509.041655153</v>
      </c>
      <c r="R79" s="12">
        <f t="shared" si="66"/>
        <v>12713509.041655153</v>
      </c>
      <c r="S79" s="5"/>
      <c r="T79" s="5"/>
      <c r="U79" s="5"/>
    </row>
    <row r="80" spans="1:25" s="11" customFormat="1" x14ac:dyDescent="0.25">
      <c r="A80" s="11" t="s">
        <v>6</v>
      </c>
      <c r="B80" s="11" t="s">
        <v>31</v>
      </c>
      <c r="C80" s="11" t="s">
        <v>15</v>
      </c>
      <c r="D80" s="20">
        <f>SUM(4.571429,
6397.823129)</f>
        <v>6402.394558</v>
      </c>
      <c r="E80" s="20"/>
      <c r="F80" s="20"/>
      <c r="G80" s="20"/>
      <c r="H80" s="20"/>
      <c r="I80" s="12"/>
      <c r="J80" s="12"/>
      <c r="K80" s="12"/>
      <c r="L80" s="12"/>
      <c r="M80" s="12"/>
      <c r="N80" s="8">
        <f>SUM(L73:L79)</f>
        <v>11442.768674768804</v>
      </c>
      <c r="O80" s="8">
        <f>SUM(M75:M77)</f>
        <v>3540.7468301762992</v>
      </c>
      <c r="P80" s="12"/>
      <c r="Q80" s="10" t="e">
        <f t="shared" si="65"/>
        <v>#DIV/0!</v>
      </c>
      <c r="R80" s="10" t="e">
        <f t="shared" si="66"/>
        <v>#DIV/0!</v>
      </c>
      <c r="S80" s="12">
        <f>SUM(Q73:Q79)</f>
        <v>1038433681.6698736</v>
      </c>
      <c r="T80" s="12">
        <f>SUM(R73:R79)</f>
        <v>892244341.4246918</v>
      </c>
      <c r="U80" s="12"/>
    </row>
    <row r="81" spans="1:25" s="2" customFormat="1" x14ac:dyDescent="0.25">
      <c r="A81" s="2" t="s">
        <v>6</v>
      </c>
      <c r="B81" s="2" t="s">
        <v>32</v>
      </c>
      <c r="C81" s="2" t="s">
        <v>9</v>
      </c>
      <c r="D81" s="21">
        <v>91.428571000000005</v>
      </c>
      <c r="E81" s="21">
        <v>620</v>
      </c>
      <c r="F81" s="21">
        <v>620</v>
      </c>
      <c r="G81" s="21">
        <f t="shared" ref="G81" si="72">E81/1000</f>
        <v>0.62</v>
      </c>
      <c r="H81" s="21">
        <f t="shared" ref="H81" si="73">F81/1000</f>
        <v>0.62</v>
      </c>
      <c r="I81" s="3">
        <f t="shared" ref="I81:J86" si="74">10^(3.07*LOG10(E81)-8.37)</f>
        <v>1.5945659526775366</v>
      </c>
      <c r="J81" s="3">
        <f t="shared" si="74"/>
        <v>1.5945659526775366</v>
      </c>
      <c r="K81" s="3" t="s">
        <v>48</v>
      </c>
      <c r="L81" s="3">
        <f>I81*$D81</f>
        <v>145.78888641856082</v>
      </c>
      <c r="M81" s="3">
        <f>J81*$D81</f>
        <v>145.78888641856082</v>
      </c>
      <c r="P81" s="3" t="s">
        <v>53</v>
      </c>
      <c r="Q81" s="12">
        <f t="shared" si="65"/>
        <v>13244837.973926619</v>
      </c>
      <c r="R81" s="12">
        <f t="shared" si="66"/>
        <v>13244837.973926619</v>
      </c>
      <c r="S81" s="3"/>
      <c r="T81" s="3"/>
      <c r="U81" s="3"/>
      <c r="V81" s="1"/>
      <c r="W81" s="1"/>
      <c r="X81" s="1"/>
      <c r="Y81" s="1"/>
    </row>
    <row r="82" spans="1:25" s="2" customFormat="1" x14ac:dyDescent="0.25">
      <c r="A82" s="2" t="s">
        <v>6</v>
      </c>
      <c r="B82" s="2" t="s">
        <v>32</v>
      </c>
      <c r="C82" s="2" t="s">
        <v>10</v>
      </c>
      <c r="D82" s="21">
        <v>247.07482999999999</v>
      </c>
      <c r="E82" s="21">
        <v>800</v>
      </c>
      <c r="F82" s="21">
        <v>1000</v>
      </c>
      <c r="G82" s="21">
        <f t="shared" ref="G82:G86" si="75">E82/1000</f>
        <v>0.8</v>
      </c>
      <c r="H82" s="21">
        <f t="shared" ref="H82:H86" si="76">F82/1000</f>
        <v>1</v>
      </c>
      <c r="I82" s="3">
        <f t="shared" si="74"/>
        <v>3.4872755113851293</v>
      </c>
      <c r="J82" s="3">
        <f t="shared" si="74"/>
        <v>6.9183097091893631</v>
      </c>
      <c r="K82" s="3"/>
      <c r="L82" s="3">
        <f t="shared" ref="L82:L86" si="77">I82*$D82</f>
        <v>861.61800413864387</v>
      </c>
      <c r="M82" s="3">
        <f t="shared" ref="M82:M86" si="78">J82*$D82</f>
        <v>1709.3401952853112</v>
      </c>
      <c r="N82" s="7"/>
      <c r="O82" s="7"/>
      <c r="P82" s="3" t="s">
        <v>53</v>
      </c>
      <c r="Q82" s="10">
        <f t="shared" si="65"/>
        <v>127699675.32538781</v>
      </c>
      <c r="R82" s="10">
        <f t="shared" si="66"/>
        <v>54237244.610487506</v>
      </c>
      <c r="S82" s="3"/>
      <c r="T82" s="3"/>
      <c r="U82" s="3"/>
      <c r="V82" s="1"/>
      <c r="W82" s="1"/>
      <c r="X82" s="1"/>
      <c r="Y82" s="1"/>
    </row>
    <row r="83" spans="1:25" s="2" customFormat="1" x14ac:dyDescent="0.25">
      <c r="A83" s="2" t="s">
        <v>6</v>
      </c>
      <c r="B83" s="2" t="s">
        <v>32</v>
      </c>
      <c r="C83" s="2" t="s">
        <v>11</v>
      </c>
      <c r="D83" s="21">
        <v>325.44217700000002</v>
      </c>
      <c r="E83" s="21">
        <v>1000</v>
      </c>
      <c r="F83" s="21">
        <v>1200</v>
      </c>
      <c r="G83" s="21">
        <f t="shared" si="75"/>
        <v>1</v>
      </c>
      <c r="H83" s="21">
        <f t="shared" si="76"/>
        <v>1.2</v>
      </c>
      <c r="I83" s="3">
        <f t="shared" si="74"/>
        <v>6.9183097091893631</v>
      </c>
      <c r="J83" s="3">
        <f t="shared" si="74"/>
        <v>12.108390686820373</v>
      </c>
      <c r="K83" s="3"/>
      <c r="L83" s="3">
        <f t="shared" si="77"/>
        <v>2251.5097729188233</v>
      </c>
      <c r="M83" s="3">
        <f t="shared" si="78"/>
        <v>3940.5810250853474</v>
      </c>
      <c r="N83" s="7"/>
      <c r="O83" s="7"/>
      <c r="P83" s="3" t="s">
        <v>53</v>
      </c>
      <c r="Q83" s="12">
        <f t="shared" si="65"/>
        <v>248052217.96480548</v>
      </c>
      <c r="R83" s="12">
        <f t="shared" si="66"/>
        <v>123221100.42452307</v>
      </c>
      <c r="S83" s="3"/>
      <c r="T83" s="3"/>
      <c r="U83" s="3"/>
      <c r="V83" s="1"/>
      <c r="W83" s="1"/>
      <c r="X83" s="1"/>
      <c r="Y83" s="1"/>
    </row>
    <row r="84" spans="1:25" s="2" customFormat="1" x14ac:dyDescent="0.25">
      <c r="A84" s="2" t="s">
        <v>6</v>
      </c>
      <c r="B84" s="2" t="s">
        <v>32</v>
      </c>
      <c r="C84" s="2" t="s">
        <v>12</v>
      </c>
      <c r="D84" s="21">
        <v>314.55782299999998</v>
      </c>
      <c r="E84" s="21">
        <v>1280</v>
      </c>
      <c r="F84" s="21">
        <v>1700</v>
      </c>
      <c r="G84" s="21">
        <f t="shared" si="75"/>
        <v>1.28</v>
      </c>
      <c r="H84" s="21">
        <f t="shared" si="76"/>
        <v>1.7</v>
      </c>
      <c r="I84" s="3">
        <f t="shared" si="74"/>
        <v>14.76163990041395</v>
      </c>
      <c r="J84" s="3">
        <f t="shared" si="74"/>
        <v>35.275906972016827</v>
      </c>
      <c r="K84" s="3"/>
      <c r="L84" s="3">
        <f t="shared" si="77"/>
        <v>4643.3893109841483</v>
      </c>
      <c r="M84" s="3">
        <f t="shared" si="78"/>
        <v>11096.312501468134</v>
      </c>
      <c r="N84" s="7"/>
      <c r="O84" s="7"/>
      <c r="P84" s="3" t="s">
        <v>53</v>
      </c>
      <c r="Q84" s="10">
        <f t="shared" si="65"/>
        <v>577933514.8327775</v>
      </c>
      <c r="R84" s="10">
        <f t="shared" si="66"/>
        <v>194512897.40519911</v>
      </c>
      <c r="S84" s="3"/>
      <c r="T84" s="3"/>
      <c r="U84" s="3"/>
      <c r="V84" s="1"/>
      <c r="W84" s="1"/>
      <c r="X84" s="1"/>
      <c r="Y84" s="1"/>
    </row>
    <row r="85" spans="1:25" s="2" customFormat="1" x14ac:dyDescent="0.25">
      <c r="A85" s="2" t="s">
        <v>6</v>
      </c>
      <c r="B85" s="2" t="s">
        <v>32</v>
      </c>
      <c r="C85" s="2" t="s">
        <v>13</v>
      </c>
      <c r="D85" s="21">
        <f>SUM(3.047619,
572.517007)</f>
        <v>575.56462600000009</v>
      </c>
      <c r="E85" s="21">
        <v>1600</v>
      </c>
      <c r="F85" s="21">
        <v>1800</v>
      </c>
      <c r="G85" s="21">
        <f t="shared" si="75"/>
        <v>1.6</v>
      </c>
      <c r="H85" s="21">
        <f t="shared" si="76"/>
        <v>1.8</v>
      </c>
      <c r="I85" s="3">
        <f t="shared" si="74"/>
        <v>29.285210277528982</v>
      </c>
      <c r="J85" s="3">
        <f t="shared" si="74"/>
        <v>42.042311984247227</v>
      </c>
      <c r="K85" s="3"/>
      <c r="L85" s="3">
        <f t="shared" si="77"/>
        <v>16855.531100717326</v>
      </c>
      <c r="M85" s="3">
        <f t="shared" si="78"/>
        <v>24198.067573388576</v>
      </c>
      <c r="N85" s="7"/>
      <c r="O85" s="7"/>
      <c r="P85" s="3" t="s">
        <v>53</v>
      </c>
      <c r="Q85" s="12">
        <f t="shared" si="65"/>
        <v>1061943598.6401044</v>
      </c>
      <c r="R85" s="12">
        <f t="shared" si="66"/>
        <v>675777373.34785366</v>
      </c>
      <c r="S85" s="3"/>
      <c r="T85" s="3"/>
      <c r="U85" s="3"/>
      <c r="V85" s="1"/>
      <c r="W85" s="1"/>
      <c r="X85" s="1"/>
      <c r="Y85" s="1"/>
    </row>
    <row r="86" spans="1:25" s="2" customFormat="1" x14ac:dyDescent="0.25">
      <c r="A86" s="2" t="s">
        <v>6</v>
      </c>
      <c r="B86" s="2" t="s">
        <v>32</v>
      </c>
      <c r="C86" s="2" t="s">
        <v>14</v>
      </c>
      <c r="D86" s="21">
        <v>76.190476000000004</v>
      </c>
      <c r="E86" s="21">
        <v>1400</v>
      </c>
      <c r="F86" s="21">
        <v>1600</v>
      </c>
      <c r="G86" s="21">
        <f t="shared" si="75"/>
        <v>1.4</v>
      </c>
      <c r="H86" s="21">
        <f t="shared" si="76"/>
        <v>1.6</v>
      </c>
      <c r="I86" s="3">
        <f t="shared" si="74"/>
        <v>19.436276537345488</v>
      </c>
      <c r="J86" s="3">
        <f t="shared" si="74"/>
        <v>29.285210277528982</v>
      </c>
      <c r="K86" s="3"/>
      <c r="L86" s="3">
        <f t="shared" si="77"/>
        <v>1480.8591610479846</v>
      </c>
      <c r="M86" s="3">
        <f t="shared" si="78"/>
        <v>2231.2541108050254</v>
      </c>
      <c r="N86" s="7"/>
      <c r="O86" s="7"/>
      <c r="P86" s="3" t="s">
        <v>53</v>
      </c>
      <c r="Q86" s="10">
        <f t="shared" si="65"/>
        <v>108487229.6410412</v>
      </c>
      <c r="R86" s="10">
        <f t="shared" si="66"/>
        <v>64988202.127838142</v>
      </c>
      <c r="S86" s="3"/>
      <c r="T86" s="3"/>
      <c r="U86" s="3"/>
      <c r="V86" s="1"/>
      <c r="W86" s="1"/>
      <c r="X86" s="1"/>
      <c r="Y86" s="1"/>
    </row>
    <row r="87" spans="1:25" s="9" customFormat="1" x14ac:dyDescent="0.25">
      <c r="A87" s="9" t="s">
        <v>6</v>
      </c>
      <c r="B87" s="9" t="s">
        <v>32</v>
      </c>
      <c r="C87" s="9" t="s">
        <v>15</v>
      </c>
      <c r="D87" s="19">
        <f>SUM(3.047619,
1627.210884)</f>
        <v>1630.258503</v>
      </c>
      <c r="E87" s="19"/>
      <c r="F87" s="19"/>
      <c r="G87" s="19"/>
      <c r="H87" s="19"/>
      <c r="I87" s="10"/>
      <c r="J87" s="10"/>
      <c r="K87" s="10"/>
      <c r="L87" s="10"/>
      <c r="M87" s="10"/>
      <c r="N87" s="7">
        <f>SUM(L81:L86)</f>
        <v>26238.696236225485</v>
      </c>
      <c r="O87" s="7">
        <f>SUM(M81:M86)</f>
        <v>43321.344292450958</v>
      </c>
      <c r="P87" s="10"/>
      <c r="Q87" s="12" t="e">
        <f t="shared" si="65"/>
        <v>#DIV/0!</v>
      </c>
      <c r="R87" s="12" t="e">
        <f t="shared" si="66"/>
        <v>#DIV/0!</v>
      </c>
      <c r="S87" s="10">
        <f>SUM(Q81:Q86)</f>
        <v>2137361074.3780432</v>
      </c>
      <c r="T87" s="10">
        <f>SUM(R81:R86)</f>
        <v>1125981655.8898282</v>
      </c>
      <c r="U87" s="10"/>
      <c r="V87" s="11"/>
      <c r="W87" s="11"/>
      <c r="X87" s="11"/>
      <c r="Y87" s="11"/>
    </row>
    <row r="88" spans="1:25" s="11" customFormat="1" x14ac:dyDescent="0.25">
      <c r="A88" s="11" t="s">
        <v>6</v>
      </c>
      <c r="B88" s="11" t="s">
        <v>33</v>
      </c>
      <c r="C88" s="11" t="s">
        <v>4</v>
      </c>
      <c r="D88" s="20">
        <f>SUM(133.790476,
45.714286)</f>
        <v>179.50476200000003</v>
      </c>
      <c r="E88" s="20">
        <v>31</v>
      </c>
      <c r="F88" s="20">
        <v>31</v>
      </c>
      <c r="G88" s="20">
        <f>E88</f>
        <v>31</v>
      </c>
      <c r="H88" s="20">
        <f>F88</f>
        <v>31</v>
      </c>
      <c r="I88" s="12">
        <f>0.4*(0.0049*(E88)^2.957)</f>
        <v>50.374714760229551</v>
      </c>
      <c r="J88" s="12">
        <f>0.4*(0.0049*(F88)^2.957)</f>
        <v>50.374714760229551</v>
      </c>
      <c r="K88" s="12" t="s">
        <v>43</v>
      </c>
      <c r="L88" s="12">
        <f>I88*$D88</f>
        <v>9042.5011838528935</v>
      </c>
      <c r="M88" s="12">
        <f>J88*$D88</f>
        <v>9042.5011838528935</v>
      </c>
      <c r="N88" s="8">
        <f>L88</f>
        <v>9042.5011838528935</v>
      </c>
      <c r="O88" s="8">
        <f>M88</f>
        <v>9042.5011838528935</v>
      </c>
      <c r="P88" s="12" t="s">
        <v>51</v>
      </c>
      <c r="Q88" s="10">
        <f t="shared" si="65"/>
        <v>346511998.38032514</v>
      </c>
      <c r="R88" s="10">
        <f t="shared" si="66"/>
        <v>346511998.38032514</v>
      </c>
      <c r="S88" s="12">
        <v>346511998.38032514</v>
      </c>
      <c r="T88" s="12">
        <v>346511998.38032514</v>
      </c>
      <c r="U88" s="12"/>
    </row>
    <row r="89" spans="1:25" s="2" customFormat="1" x14ac:dyDescent="0.25">
      <c r="A89" s="2" t="s">
        <v>6</v>
      </c>
      <c r="B89" s="2" t="s">
        <v>34</v>
      </c>
      <c r="C89" s="2" t="s">
        <v>13</v>
      </c>
      <c r="D89" s="21">
        <f>SUM(25.6,
2637.278912)</f>
        <v>2662.8789120000001</v>
      </c>
      <c r="E89" s="21">
        <v>400</v>
      </c>
      <c r="F89" s="21">
        <v>450</v>
      </c>
      <c r="G89" s="21">
        <f t="shared" ref="G89" si="79">E89/1000</f>
        <v>0.4</v>
      </c>
      <c r="H89" s="21">
        <f t="shared" ref="H89" si="80">F89/1000</f>
        <v>0.45</v>
      </c>
      <c r="I89" s="3">
        <f t="shared" ref="I89:I90" si="81">9.4676*10^-7*(E89*10^-3*1000)^2.16</f>
        <v>0.3950840365236063</v>
      </c>
      <c r="J89" s="3">
        <f t="shared" ref="J89:J90" si="82">9.4676*10^-7*(F89*10^-3*1000)^2.16</f>
        <v>0.50954076026517292</v>
      </c>
      <c r="K89" s="3" t="s">
        <v>44</v>
      </c>
      <c r="L89" s="3">
        <f t="shared" ref="L89:M90" si="83">I89*$D89</f>
        <v>1052.060949326549</v>
      </c>
      <c r="M89" s="3">
        <f>J89*$D89</f>
        <v>1356.8453453145767</v>
      </c>
      <c r="N89" s="3"/>
      <c r="O89" s="7"/>
      <c r="P89" s="3" t="s">
        <v>53</v>
      </c>
      <c r="Q89" s="12">
        <f t="shared" si="65"/>
        <v>174719280.038225</v>
      </c>
      <c r="R89" s="12">
        <f t="shared" si="66"/>
        <v>127124430.63976783</v>
      </c>
      <c r="S89" s="3"/>
      <c r="T89" s="3"/>
      <c r="U89" s="3"/>
      <c r="V89" s="1"/>
      <c r="W89" s="1"/>
      <c r="X89" s="1"/>
      <c r="Y89" s="1"/>
    </row>
    <row r="90" spans="1:25" s="2" customFormat="1" x14ac:dyDescent="0.25">
      <c r="A90" s="2" t="s">
        <v>6</v>
      </c>
      <c r="B90" s="2" t="s">
        <v>34</v>
      </c>
      <c r="C90" s="2" t="s">
        <v>14</v>
      </c>
      <c r="D90" s="21">
        <f>70.748299</f>
        <v>70.748299000000003</v>
      </c>
      <c r="E90" s="21">
        <v>292</v>
      </c>
      <c r="F90" s="21">
        <v>315</v>
      </c>
      <c r="G90" s="21"/>
      <c r="H90" s="21"/>
      <c r="I90" s="3">
        <f t="shared" si="81"/>
        <v>0.20020128473370938</v>
      </c>
      <c r="J90" s="3">
        <f t="shared" si="82"/>
        <v>0.23582546375970134</v>
      </c>
      <c r="K90" s="3"/>
      <c r="L90" s="3">
        <f t="shared" si="83"/>
        <v>14.163900352524607</v>
      </c>
      <c r="M90" s="3">
        <f t="shared" si="83"/>
        <v>16.684250421885015</v>
      </c>
      <c r="N90" s="3"/>
      <c r="O90" s="7"/>
      <c r="P90" s="3" t="s">
        <v>53</v>
      </c>
      <c r="Q90" s="10">
        <f t="shared" si="65"/>
        <v>2546377.7898386191</v>
      </c>
      <c r="R90" s="10">
        <f t="shared" si="66"/>
        <v>2074999.7144371129</v>
      </c>
      <c r="S90" s="3"/>
      <c r="T90" s="3"/>
      <c r="U90" s="3"/>
      <c r="V90" s="1"/>
      <c r="W90" s="1"/>
      <c r="X90" s="1"/>
      <c r="Y90" s="1"/>
    </row>
    <row r="91" spans="1:25" s="9" customFormat="1" ht="16.899999999999999" customHeight="1" thickBot="1" x14ac:dyDescent="0.3">
      <c r="A91" s="9" t="s">
        <v>6</v>
      </c>
      <c r="B91" s="9" t="s">
        <v>34</v>
      </c>
      <c r="C91" s="9" t="s">
        <v>15</v>
      </c>
      <c r="D91" s="19">
        <f>SUM(25.6,
2708.027211)</f>
        <v>2733.627211</v>
      </c>
      <c r="E91" s="24"/>
      <c r="F91" s="24"/>
      <c r="G91" s="24"/>
      <c r="H91" s="24"/>
      <c r="I91" s="13"/>
      <c r="J91" s="13"/>
      <c r="K91" s="13"/>
      <c r="L91" s="13"/>
      <c r="M91" s="13"/>
      <c r="N91" s="7">
        <f>SUM(L89:L90)</f>
        <v>1066.2248496790737</v>
      </c>
      <c r="O91" s="7">
        <f>SUM(M89:M90)</f>
        <v>1373.5295957364617</v>
      </c>
      <c r="P91" s="10"/>
      <c r="Q91" s="12" t="e">
        <f t="shared" si="65"/>
        <v>#DIV/0!</v>
      </c>
      <c r="R91" s="12" t="e">
        <f t="shared" si="66"/>
        <v>#DIV/0!</v>
      </c>
      <c r="S91" s="10">
        <f>SUM(Q89:Q90)</f>
        <v>177265657.82806361</v>
      </c>
      <c r="T91" s="10">
        <f>SUM(R89:R90)</f>
        <v>129199430.35420494</v>
      </c>
      <c r="U91" s="10"/>
      <c r="V91" s="11"/>
      <c r="W91" s="11"/>
      <c r="X91" s="11"/>
      <c r="Y91" s="11"/>
    </row>
    <row r="92" spans="1:25" s="25" customFormat="1" ht="16.5" thickTop="1" x14ac:dyDescent="0.25">
      <c r="A92" s="25" t="s">
        <v>35</v>
      </c>
      <c r="B92" s="25" t="s">
        <v>3</v>
      </c>
      <c r="C92" s="25" t="s">
        <v>4</v>
      </c>
      <c r="D92" s="26">
        <f>SUM(273.613675,
183.589744)</f>
        <v>457.203419</v>
      </c>
      <c r="E92" s="20">
        <v>10</v>
      </c>
      <c r="F92" s="20">
        <v>22</v>
      </c>
      <c r="G92" s="20">
        <f>E92</f>
        <v>10</v>
      </c>
      <c r="H92" s="20">
        <f>F92</f>
        <v>22</v>
      </c>
      <c r="I92" s="12">
        <f>0.17*(0.00194*(E92)^3.05)*1000</f>
        <v>370.04168622878763</v>
      </c>
      <c r="J92" s="12">
        <f>0.17*(0.00194*(F92)^3.05)*1000</f>
        <v>4098.640506337576</v>
      </c>
      <c r="K92" s="12" t="s">
        <v>43</v>
      </c>
      <c r="L92" s="12">
        <f>I92*D92</f>
        <v>169184.32411632693</v>
      </c>
      <c r="M92" s="12">
        <f>J92*D92</f>
        <v>1873912.4527494309</v>
      </c>
      <c r="N92" s="8">
        <f>L92</f>
        <v>169184.32411632693</v>
      </c>
      <c r="O92" s="8">
        <f>M92</f>
        <v>1873912.4527494309</v>
      </c>
      <c r="P92" s="12" t="s">
        <v>51</v>
      </c>
      <c r="Q92" s="10">
        <f t="shared" si="65"/>
        <v>43618375537.760956</v>
      </c>
      <c r="R92" s="10">
        <f t="shared" si="66"/>
        <v>2158653898.8793774</v>
      </c>
      <c r="S92" s="27">
        <f>Q92</f>
        <v>43618375537.760956</v>
      </c>
      <c r="T92" s="27">
        <f>R92</f>
        <v>2158653898.8793774</v>
      </c>
      <c r="U92" s="27"/>
    </row>
    <row r="93" spans="1:25" s="9" customFormat="1" x14ac:dyDescent="0.25">
      <c r="A93" s="14" t="s">
        <v>35</v>
      </c>
      <c r="B93" s="9" t="s">
        <v>7</v>
      </c>
      <c r="C93" s="9" t="s">
        <v>4</v>
      </c>
      <c r="D93" s="19">
        <f>SUM(206.878632,
889.230769)</f>
        <v>1096.1094009999999</v>
      </c>
      <c r="E93" s="19">
        <v>3</v>
      </c>
      <c r="F93" s="19">
        <v>3.5</v>
      </c>
      <c r="G93" s="19">
        <f>E93</f>
        <v>3</v>
      </c>
      <c r="H93" s="19">
        <f>F93</f>
        <v>3.5</v>
      </c>
      <c r="I93" s="10">
        <f>((0.0228*(E93)^2.3698)/0.9)*0.4*1000</f>
        <v>136.90971875758837</v>
      </c>
      <c r="J93" s="10">
        <f>((0.0228*(F93)^2.3698)/0.9)*0.4*1000</f>
        <v>197.28078183567442</v>
      </c>
      <c r="K93" s="10" t="s">
        <v>46</v>
      </c>
      <c r="L93" s="10">
        <f>I93*D93</f>
        <v>150068.02981845863</v>
      </c>
      <c r="M93" s="10">
        <f>J93*D93</f>
        <v>216241.31960671276</v>
      </c>
      <c r="N93" s="7">
        <f>L93</f>
        <v>150068.02981845863</v>
      </c>
      <c r="O93" s="7">
        <f>M93</f>
        <v>216241.31960671276</v>
      </c>
      <c r="P93" s="10" t="s">
        <v>53</v>
      </c>
      <c r="Q93" s="12">
        <f t="shared" si="65"/>
        <v>6453762307.4057417</v>
      </c>
      <c r="R93" s="12">
        <f t="shared" si="66"/>
        <v>4087896002.6289935</v>
      </c>
      <c r="S93" s="10">
        <f>Q93</f>
        <v>6453762307.4057417</v>
      </c>
      <c r="T93" s="10">
        <f>R93</f>
        <v>4087896002.6289935</v>
      </c>
      <c r="U93" s="10"/>
      <c r="V93" s="11"/>
      <c r="W93" s="11"/>
      <c r="X93" s="11"/>
      <c r="Y93" s="11"/>
    </row>
    <row r="94" spans="1:25" s="1" customFormat="1" x14ac:dyDescent="0.25">
      <c r="A94" s="16" t="s">
        <v>35</v>
      </c>
      <c r="B94" s="1" t="s">
        <v>8</v>
      </c>
      <c r="C94" s="1" t="s">
        <v>18</v>
      </c>
      <c r="D94" s="22">
        <v>20.512820999999999</v>
      </c>
      <c r="E94" s="22">
        <v>560</v>
      </c>
      <c r="F94" s="22">
        <v>850</v>
      </c>
      <c r="G94" s="22">
        <f>E94/1000</f>
        <v>0.56000000000000005</v>
      </c>
      <c r="H94" s="22">
        <f>F94/1000</f>
        <v>0.85</v>
      </c>
      <c r="I94" s="5">
        <f t="shared" ref="I94:I96" si="84">0.0048*(E94*10^-3)^3.5687*1000</f>
        <v>0.60617755177674504</v>
      </c>
      <c r="J94" s="5">
        <f t="shared" ref="J94:J96" si="85">0.0048*(F94*10^-3)^3.5687*1000</f>
        <v>2.6875624065207009</v>
      </c>
      <c r="K94" s="5" t="s">
        <v>47</v>
      </c>
      <c r="L94" s="12">
        <f>I94*$D94</f>
        <v>12.434411613814602</v>
      </c>
      <c r="M94" s="12">
        <f>J94*$D94</f>
        <v>55.129486571288368</v>
      </c>
      <c r="N94" s="8"/>
      <c r="O94" s="8"/>
      <c r="P94" s="5" t="s">
        <v>52</v>
      </c>
      <c r="Q94" s="10">
        <f t="shared" si="65"/>
        <v>6378474.7166662514</v>
      </c>
      <c r="R94" s="10">
        <f t="shared" si="66"/>
        <v>991444.6032555768</v>
      </c>
      <c r="S94" s="5"/>
      <c r="T94" s="5"/>
      <c r="U94" s="5"/>
    </row>
    <row r="95" spans="1:25" s="1" customFormat="1" x14ac:dyDescent="0.25">
      <c r="A95" s="16" t="s">
        <v>35</v>
      </c>
      <c r="B95" s="1" t="s">
        <v>8</v>
      </c>
      <c r="C95" s="1" t="s">
        <v>9</v>
      </c>
      <c r="D95" s="22">
        <f>SUM(2.461538,
55.384615)</f>
        <v>57.846152999999994</v>
      </c>
      <c r="E95" s="22">
        <v>730</v>
      </c>
      <c r="F95" s="22">
        <v>1200</v>
      </c>
      <c r="G95" s="22">
        <f t="shared" ref="G95:G99" si="86">E95/1000</f>
        <v>0.73</v>
      </c>
      <c r="H95" s="22">
        <f t="shared" ref="H95:H99" si="87">F95/1000</f>
        <v>1.2</v>
      </c>
      <c r="I95" s="5">
        <f t="shared" si="84"/>
        <v>1.561282631007372</v>
      </c>
      <c r="J95" s="5">
        <f t="shared" si="85"/>
        <v>9.2005830554977788</v>
      </c>
      <c r="K95" s="5"/>
      <c r="L95" s="12">
        <f>I95*$D95</f>
        <v>90.314193949494978</v>
      </c>
      <c r="M95" s="12">
        <f t="shared" ref="M95:M99" si="88">J95*$D95</f>
        <v>532.21833511753198</v>
      </c>
      <c r="N95" s="8"/>
      <c r="O95" s="8"/>
      <c r="P95" s="5" t="s">
        <v>52</v>
      </c>
      <c r="Q95" s="12">
        <f t="shared" si="65"/>
        <v>48607390.09566579</v>
      </c>
      <c r="R95" s="12">
        <f t="shared" si="66"/>
        <v>5294013.2698152727</v>
      </c>
      <c r="S95" s="5"/>
      <c r="T95" s="5"/>
      <c r="U95" s="5"/>
    </row>
    <row r="96" spans="1:25" s="1" customFormat="1" x14ac:dyDescent="0.25">
      <c r="A96" s="16" t="s">
        <v>35</v>
      </c>
      <c r="B96" s="1" t="s">
        <v>8</v>
      </c>
      <c r="C96" s="1" t="s">
        <v>11</v>
      </c>
      <c r="D96" s="22">
        <f>SUM(12.307692,
51.282051)</f>
        <v>63.589742999999999</v>
      </c>
      <c r="E96" s="22">
        <v>1300</v>
      </c>
      <c r="F96" s="22">
        <v>1500</v>
      </c>
      <c r="G96" s="22">
        <f t="shared" si="86"/>
        <v>1.3</v>
      </c>
      <c r="H96" s="22">
        <f t="shared" si="87"/>
        <v>1.5</v>
      </c>
      <c r="I96" s="5">
        <f t="shared" si="84"/>
        <v>12.242521594866513</v>
      </c>
      <c r="J96" s="5">
        <f t="shared" si="85"/>
        <v>20.401312748969502</v>
      </c>
      <c r="K96" s="5"/>
      <c r="L96" s="12">
        <f t="shared" ref="L96:L99" si="89">I96*$D96</f>
        <v>778.4988018895117</v>
      </c>
      <c r="M96" s="12">
        <f t="shared" si="88"/>
        <v>1297.3142345695942</v>
      </c>
      <c r="N96" s="8"/>
      <c r="O96" s="8"/>
      <c r="P96" s="5" t="s">
        <v>52</v>
      </c>
      <c r="Q96" s="10">
        <f t="shared" si="65"/>
        <v>70804411.350497991</v>
      </c>
      <c r="R96" s="10">
        <f t="shared" si="66"/>
        <v>37396096.603881262</v>
      </c>
      <c r="S96" s="5"/>
      <c r="T96" s="5"/>
      <c r="U96" s="5"/>
    </row>
    <row r="97" spans="1:25" s="1" customFormat="1" x14ac:dyDescent="0.25">
      <c r="A97" s="16" t="s">
        <v>35</v>
      </c>
      <c r="B97" s="1" t="s">
        <v>8</v>
      </c>
      <c r="C97" s="1" t="s">
        <v>12</v>
      </c>
      <c r="D97" s="22">
        <f>SUM(454.673504,
274.871795)</f>
        <v>729.545299</v>
      </c>
      <c r="E97" s="22">
        <v>2000</v>
      </c>
      <c r="F97" s="22">
        <v>3000</v>
      </c>
      <c r="G97" s="22">
        <f t="shared" si="86"/>
        <v>2</v>
      </c>
      <c r="H97" s="22">
        <f t="shared" si="87"/>
        <v>3</v>
      </c>
      <c r="I97" s="5">
        <f>0.0048*(E97*10^-3)^3.5687*1000</f>
        <v>56.954360901634594</v>
      </c>
      <c r="J97" s="5">
        <f>0.0048*(F97*10^-3)^3.5687*1000</f>
        <v>242.07161024415183</v>
      </c>
      <c r="K97" s="5"/>
      <c r="L97" s="12">
        <f t="shared" si="89"/>
        <v>41550.786253336919</v>
      </c>
      <c r="M97" s="12">
        <f t="shared" si="88"/>
        <v>176602.20527498121</v>
      </c>
      <c r="N97" s="8"/>
      <c r="O97" s="8"/>
      <c r="P97" s="5" t="s">
        <v>52</v>
      </c>
      <c r="Q97" s="12">
        <f t="shared" si="65"/>
        <v>6562921801.2101955</v>
      </c>
      <c r="R97" s="12">
        <f t="shared" si="66"/>
        <v>1075415110.3331451</v>
      </c>
      <c r="S97" s="5"/>
      <c r="T97" s="5"/>
      <c r="U97" s="5"/>
    </row>
    <row r="98" spans="1:25" s="1" customFormat="1" x14ac:dyDescent="0.25">
      <c r="A98" s="16" t="s">
        <v>35</v>
      </c>
      <c r="B98" s="1" t="s">
        <v>8</v>
      </c>
      <c r="C98" s="1" t="s">
        <v>13</v>
      </c>
      <c r="D98" s="22">
        <f>SUM(569.217094,
65.641026)</f>
        <v>634.85811999999999</v>
      </c>
      <c r="E98" s="22">
        <v>1860</v>
      </c>
      <c r="F98" s="22">
        <v>3200</v>
      </c>
      <c r="G98" s="22">
        <f t="shared" si="86"/>
        <v>1.86</v>
      </c>
      <c r="H98" s="22">
        <f t="shared" si="87"/>
        <v>3.2</v>
      </c>
      <c r="I98" s="5">
        <f t="shared" ref="I98:I99" si="90">0.0048*(E98*10^-3)^3.5687*1000</f>
        <v>43.959432925065776</v>
      </c>
      <c r="J98" s="5">
        <f t="shared" ref="J98:J99" si="91">0.0048*(F98*10^-3)^3.5687*1000</f>
        <v>304.7684210199219</v>
      </c>
      <c r="K98" s="5"/>
      <c r="L98" s="12">
        <f t="shared" si="89"/>
        <v>27908.002943073359</v>
      </c>
      <c r="M98" s="12">
        <f t="shared" si="88"/>
        <v>193484.70680407609</v>
      </c>
      <c r="N98" s="8"/>
      <c r="O98" s="8"/>
      <c r="P98" s="5" t="s">
        <v>52</v>
      </c>
      <c r="Q98" s="10">
        <f t="shared" si="65"/>
        <v>7671256004.5243769</v>
      </c>
      <c r="R98" s="10">
        <f t="shared" si="66"/>
        <v>681897536.91081417</v>
      </c>
      <c r="S98" s="5"/>
      <c r="T98" s="5"/>
      <c r="U98" s="5"/>
    </row>
    <row r="99" spans="1:25" s="1" customFormat="1" x14ac:dyDescent="0.25">
      <c r="A99" s="16" t="s">
        <v>35</v>
      </c>
      <c r="B99" s="1" t="s">
        <v>8</v>
      </c>
      <c r="C99" s="1" t="s">
        <v>14</v>
      </c>
      <c r="D99" s="22">
        <v>3.2820510000000001</v>
      </c>
      <c r="E99" s="22">
        <v>1950</v>
      </c>
      <c r="F99" s="22">
        <v>2800</v>
      </c>
      <c r="G99" s="22">
        <f t="shared" si="86"/>
        <v>1.95</v>
      </c>
      <c r="H99" s="22">
        <f t="shared" si="87"/>
        <v>2.8</v>
      </c>
      <c r="I99" s="5">
        <f t="shared" si="90"/>
        <v>52.034064977684302</v>
      </c>
      <c r="J99" s="5">
        <f t="shared" si="91"/>
        <v>189.24050739954041</v>
      </c>
      <c r="K99" s="5"/>
      <c r="L99" s="12">
        <f t="shared" si="89"/>
        <v>170.77845499407374</v>
      </c>
      <c r="M99" s="12">
        <f t="shared" si="88"/>
        <v>621.09699655116901</v>
      </c>
      <c r="N99" s="8"/>
      <c r="O99" s="8"/>
      <c r="P99" s="5" t="s">
        <v>52</v>
      </c>
      <c r="Q99" s="12">
        <f t="shared" si="65"/>
        <v>23608605.939866781</v>
      </c>
      <c r="R99" s="12">
        <f t="shared" si="66"/>
        <v>4700698.6133070886</v>
      </c>
      <c r="S99" s="5"/>
      <c r="T99" s="5"/>
      <c r="U99" s="5"/>
    </row>
    <row r="100" spans="1:25" s="11" customFormat="1" x14ac:dyDescent="0.25">
      <c r="A100" s="17" t="s">
        <v>35</v>
      </c>
      <c r="B100" s="11" t="s">
        <v>8</v>
      </c>
      <c r="C100" s="11" t="s">
        <v>15</v>
      </c>
      <c r="D100" s="20">
        <f>SUM(1041.94188,
467.692308)</f>
        <v>1509.634188</v>
      </c>
      <c r="E100" s="20"/>
      <c r="F100" s="20"/>
      <c r="G100" s="20"/>
      <c r="H100" s="20"/>
      <c r="I100" s="12"/>
      <c r="J100" s="12"/>
      <c r="K100" s="12"/>
      <c r="L100" s="12"/>
      <c r="M100" s="12"/>
      <c r="N100" s="8">
        <f>SUM(L94:L99)</f>
        <v>70510.815058857173</v>
      </c>
      <c r="O100" s="8">
        <f>SUM(M94:M99)</f>
        <v>372592.67113186687</v>
      </c>
      <c r="P100" s="12"/>
      <c r="Q100" s="10" t="e">
        <f t="shared" si="65"/>
        <v>#DIV/0!</v>
      </c>
      <c r="R100" s="10" t="e">
        <f t="shared" si="66"/>
        <v>#DIV/0!</v>
      </c>
      <c r="S100" s="12">
        <f>SUM(Q94:Q99)</f>
        <v>14383576687.837271</v>
      </c>
      <c r="T100" s="12">
        <f>SUM(R94:R99)</f>
        <v>1805694900.3342185</v>
      </c>
      <c r="U100" s="12"/>
    </row>
    <row r="101" spans="1:25" s="2" customFormat="1" x14ac:dyDescent="0.25">
      <c r="A101" s="15" t="s">
        <v>35</v>
      </c>
      <c r="B101" s="2" t="s">
        <v>16</v>
      </c>
      <c r="C101" s="2" t="s">
        <v>18</v>
      </c>
      <c r="D101" s="21">
        <f>SUM(16.136752,
465.641026)</f>
        <v>481.77777800000001</v>
      </c>
      <c r="E101" s="21">
        <v>600</v>
      </c>
      <c r="F101" s="21">
        <v>1000</v>
      </c>
      <c r="G101" s="21">
        <f>E101/1000</f>
        <v>0.6</v>
      </c>
      <c r="H101" s="21">
        <f>F101/1000</f>
        <v>1</v>
      </c>
      <c r="I101" s="3">
        <f>4.742*(E101*10^-3)^3.452</f>
        <v>0.81309195862009598</v>
      </c>
      <c r="J101" s="3">
        <f>4.742*(F101*10^-3)^3.452</f>
        <v>4.742</v>
      </c>
      <c r="K101" s="3" t="s">
        <v>41</v>
      </c>
      <c r="L101" s="10">
        <f>I101*$D101</f>
        <v>391.72963713365777</v>
      </c>
      <c r="M101" s="10">
        <f>J101*$D101</f>
        <v>2284.590223276</v>
      </c>
      <c r="N101" s="7"/>
      <c r="O101" s="7"/>
      <c r="P101" s="3" t="s">
        <v>52</v>
      </c>
      <c r="Q101" s="12">
        <f t="shared" si="65"/>
        <v>245615771.49870828</v>
      </c>
      <c r="R101" s="12">
        <f t="shared" si="66"/>
        <v>27100599.349557187</v>
      </c>
      <c r="S101" s="3"/>
      <c r="T101" s="3"/>
      <c r="U101" s="3"/>
      <c r="V101" s="1"/>
      <c r="W101" s="1"/>
      <c r="X101" s="1"/>
      <c r="Y101" s="1"/>
    </row>
    <row r="102" spans="1:25" s="2" customFormat="1" x14ac:dyDescent="0.25">
      <c r="A102" s="15" t="s">
        <v>35</v>
      </c>
      <c r="B102" s="2" t="s">
        <v>16</v>
      </c>
      <c r="C102" s="2" t="s">
        <v>9</v>
      </c>
      <c r="D102" s="21">
        <f>333.333333</f>
        <v>333.33333299999998</v>
      </c>
      <c r="E102" s="21">
        <v>1100</v>
      </c>
      <c r="F102" s="21">
        <v>1370</v>
      </c>
      <c r="G102" s="21">
        <f t="shared" ref="G102:G107" si="92">E102/1000</f>
        <v>1.1000000000000001</v>
      </c>
      <c r="H102" s="21">
        <f t="shared" ref="H102:H107" si="93">F102/1000</f>
        <v>1.37</v>
      </c>
      <c r="I102" s="3">
        <f t="shared" ref="I102:I106" si="94">4.742*(E102*10^-3)^3.452</f>
        <v>6.5894489660089315</v>
      </c>
      <c r="J102" s="3">
        <f t="shared" ref="J102:J106" si="95">4.742*(F102*10^-3)^3.452</f>
        <v>14.057916113595834</v>
      </c>
      <c r="K102" s="3"/>
      <c r="L102" s="10">
        <f t="shared" ref="L102:L107" si="96">I102*$D102</f>
        <v>2196.4829864731605</v>
      </c>
      <c r="M102" s="10">
        <f t="shared" ref="M102:M107" si="97">J102*$D102</f>
        <v>4685.972033179306</v>
      </c>
      <c r="N102" s="7"/>
      <c r="O102" s="7"/>
      <c r="P102" s="3" t="s">
        <v>52</v>
      </c>
      <c r="Q102" s="10">
        <f t="shared" si="65"/>
        <v>298586570.41531736</v>
      </c>
      <c r="R102" s="10">
        <f t="shared" si="66"/>
        <v>115805839.6209702</v>
      </c>
      <c r="S102" s="3"/>
      <c r="T102" s="3"/>
      <c r="U102" s="3"/>
      <c r="V102" s="1"/>
      <c r="W102" s="1"/>
      <c r="X102" s="1"/>
      <c r="Y102" s="1"/>
    </row>
    <row r="103" spans="1:25" s="2" customFormat="1" x14ac:dyDescent="0.25">
      <c r="A103" s="15" t="s">
        <v>35</v>
      </c>
      <c r="B103" s="2" t="s">
        <v>16</v>
      </c>
      <c r="C103" s="2" t="s">
        <v>10</v>
      </c>
      <c r="D103" s="21">
        <f>SUM(2.461538,
81.025641)</f>
        <v>83.487178999999998</v>
      </c>
      <c r="E103" s="21">
        <v>1400</v>
      </c>
      <c r="F103" s="21">
        <v>2000</v>
      </c>
      <c r="G103" s="21">
        <f t="shared" si="92"/>
        <v>1.4</v>
      </c>
      <c r="H103" s="21">
        <f t="shared" si="93"/>
        <v>2</v>
      </c>
      <c r="I103" s="3">
        <f t="shared" si="94"/>
        <v>15.149403351788706</v>
      </c>
      <c r="J103" s="3">
        <f t="shared" si="95"/>
        <v>51.893993688844894</v>
      </c>
      <c r="K103" s="3"/>
      <c r="L103" s="10">
        <f t="shared" si="96"/>
        <v>1264.7809493739837</v>
      </c>
      <c r="M103" s="10">
        <f t="shared" si="97"/>
        <v>4332.4831401254642</v>
      </c>
      <c r="N103" s="7"/>
      <c r="O103" s="7"/>
      <c r="P103" s="3" t="s">
        <v>52</v>
      </c>
      <c r="Q103" s="12">
        <f t="shared" si="65"/>
        <v>224192382.36601624</v>
      </c>
      <c r="R103" s="12">
        <f t="shared" si="66"/>
        <v>48108176.391135484</v>
      </c>
      <c r="S103" s="3"/>
      <c r="T103" s="3"/>
      <c r="U103" s="3"/>
      <c r="V103" s="1"/>
      <c r="W103" s="1"/>
      <c r="X103" s="1"/>
      <c r="Y103" s="1"/>
    </row>
    <row r="104" spans="1:25" s="2" customFormat="1" x14ac:dyDescent="0.25">
      <c r="A104" s="15" t="s">
        <v>35</v>
      </c>
      <c r="B104" s="2" t="s">
        <v>16</v>
      </c>
      <c r="C104" s="2" t="s">
        <v>11</v>
      </c>
      <c r="D104" s="21">
        <f>SUM(9.846154,
163.076923)</f>
        <v>172.92307700000001</v>
      </c>
      <c r="E104" s="21">
        <v>2000</v>
      </c>
      <c r="F104" s="21">
        <v>2700</v>
      </c>
      <c r="G104" s="21">
        <f t="shared" si="92"/>
        <v>2</v>
      </c>
      <c r="H104" s="21">
        <f t="shared" si="93"/>
        <v>2.7</v>
      </c>
      <c r="I104" s="3">
        <f t="shared" si="94"/>
        <v>51.893993688844894</v>
      </c>
      <c r="J104" s="3">
        <f t="shared" si="95"/>
        <v>146.22757018221634</v>
      </c>
      <c r="K104" s="3"/>
      <c r="L104" s="10">
        <f t="shared" si="96"/>
        <v>8973.6690664936395</v>
      </c>
      <c r="M104" s="10">
        <f t="shared" si="97"/>
        <v>25286.121378142299</v>
      </c>
      <c r="N104" s="7"/>
      <c r="O104" s="7"/>
      <c r="P104" s="3" t="s">
        <v>52</v>
      </c>
      <c r="Q104" s="10">
        <f t="shared" si="65"/>
        <v>961802269.48345137</v>
      </c>
      <c r="R104" s="10">
        <f t="shared" si="66"/>
        <v>263448412.81949747</v>
      </c>
      <c r="S104" s="3"/>
      <c r="T104" s="3"/>
      <c r="U104" s="3"/>
      <c r="V104" s="1"/>
      <c r="W104" s="1"/>
      <c r="X104" s="1"/>
      <c r="Y104" s="1"/>
    </row>
    <row r="105" spans="1:25" s="2" customFormat="1" x14ac:dyDescent="0.25">
      <c r="A105" s="15" t="s">
        <v>35</v>
      </c>
      <c r="B105" s="2" t="s">
        <v>16</v>
      </c>
      <c r="C105" s="2" t="s">
        <v>12</v>
      </c>
      <c r="D105" s="21">
        <f>96</f>
        <v>96</v>
      </c>
      <c r="E105" s="21">
        <v>2700</v>
      </c>
      <c r="F105" s="21">
        <v>3500</v>
      </c>
      <c r="G105" s="21">
        <f t="shared" si="92"/>
        <v>2.7</v>
      </c>
      <c r="H105" s="21">
        <f t="shared" si="93"/>
        <v>3.5</v>
      </c>
      <c r="I105" s="3">
        <f t="shared" si="94"/>
        <v>146.22757018221634</v>
      </c>
      <c r="J105" s="3">
        <f t="shared" si="95"/>
        <v>358.1660676243805</v>
      </c>
      <c r="K105" s="3"/>
      <c r="L105" s="10">
        <f t="shared" si="96"/>
        <v>14037.846737492768</v>
      </c>
      <c r="M105" s="10">
        <f t="shared" si="97"/>
        <v>34383.942491940528</v>
      </c>
      <c r="N105" s="7"/>
      <c r="O105" s="7"/>
      <c r="P105" s="3" t="s">
        <v>52</v>
      </c>
      <c r="Q105" s="12">
        <f t="shared" si="65"/>
        <v>1009441624.0288295</v>
      </c>
      <c r="R105" s="12">
        <f t="shared" si="66"/>
        <v>329429312.37050891</v>
      </c>
      <c r="S105" s="3"/>
      <c r="T105" s="3"/>
      <c r="U105" s="3"/>
      <c r="V105" s="1"/>
      <c r="W105" s="1"/>
      <c r="X105" s="1"/>
      <c r="Y105" s="1"/>
    </row>
    <row r="106" spans="1:25" s="2" customFormat="1" x14ac:dyDescent="0.25">
      <c r="A106" s="15" t="s">
        <v>35</v>
      </c>
      <c r="B106" s="2" t="s">
        <v>16</v>
      </c>
      <c r="C106" s="2" t="s">
        <v>13</v>
      </c>
      <c r="D106" s="21">
        <v>12.307691999999999</v>
      </c>
      <c r="E106" s="21">
        <v>3400</v>
      </c>
      <c r="F106" s="21">
        <v>4800</v>
      </c>
      <c r="G106" s="21">
        <f t="shared" si="92"/>
        <v>3.4</v>
      </c>
      <c r="H106" s="21">
        <f t="shared" si="93"/>
        <v>4.8</v>
      </c>
      <c r="I106" s="3">
        <f t="shared" si="94"/>
        <v>324.06100256862544</v>
      </c>
      <c r="J106" s="3">
        <f t="shared" si="95"/>
        <v>1065.6296629826547</v>
      </c>
      <c r="K106" s="3"/>
      <c r="L106" s="10">
        <f t="shared" si="96"/>
        <v>3988.4430088258505</v>
      </c>
      <c r="M106" s="10">
        <f t="shared" si="97"/>
        <v>13115.441678054316</v>
      </c>
      <c r="N106" s="7"/>
      <c r="O106" s="7"/>
      <c r="P106" s="3" t="s">
        <v>52</v>
      </c>
      <c r="Q106" s="10">
        <f t="shared" si="65"/>
        <v>315579715.71622056</v>
      </c>
      <c r="R106" s="10">
        <f t="shared" si="66"/>
        <v>71266374.937587783</v>
      </c>
      <c r="S106" s="3"/>
      <c r="T106" s="3"/>
      <c r="U106" s="3"/>
      <c r="V106" s="1"/>
      <c r="W106" s="1"/>
      <c r="X106" s="1"/>
      <c r="Y106" s="1"/>
    </row>
    <row r="107" spans="1:25" s="2" customFormat="1" x14ac:dyDescent="0.25">
      <c r="A107" s="15" t="s">
        <v>35</v>
      </c>
      <c r="B107" s="2" t="s">
        <v>16</v>
      </c>
      <c r="C107" s="2" t="s">
        <v>14</v>
      </c>
      <c r="D107" s="21">
        <v>2.461538</v>
      </c>
      <c r="E107" s="21">
        <v>2000</v>
      </c>
      <c r="F107" s="21">
        <v>4000</v>
      </c>
      <c r="G107" s="21">
        <f t="shared" si="92"/>
        <v>2</v>
      </c>
      <c r="H107" s="21">
        <f t="shared" si="93"/>
        <v>4</v>
      </c>
      <c r="I107" s="3">
        <f>4.742*(E107*10^-3)^3.452</f>
        <v>51.893993688844894</v>
      </c>
      <c r="J107" s="3">
        <f>4.742*(F107*10^-3)^3.452</f>
        <v>567.90100821971191</v>
      </c>
      <c r="K107" s="3"/>
      <c r="L107" s="10">
        <f t="shared" si="96"/>
        <v>127.73903743685189</v>
      </c>
      <c r="M107" s="10">
        <f t="shared" si="97"/>
        <v>1397.9099119711332</v>
      </c>
      <c r="N107" s="7"/>
      <c r="O107" s="7"/>
      <c r="P107" s="3" t="s">
        <v>52</v>
      </c>
      <c r="Q107" s="12">
        <f t="shared" si="65"/>
        <v>53171971.523851998</v>
      </c>
      <c r="R107" s="12">
        <f t="shared" si="66"/>
        <v>2671396.3743259418</v>
      </c>
      <c r="S107" s="3"/>
      <c r="T107" s="3"/>
      <c r="U107" s="3"/>
      <c r="V107" s="1"/>
      <c r="W107" s="1"/>
      <c r="X107" s="1"/>
      <c r="Y107" s="1"/>
    </row>
    <row r="108" spans="1:25" s="9" customFormat="1" x14ac:dyDescent="0.25">
      <c r="A108" s="14" t="s">
        <v>35</v>
      </c>
      <c r="B108" s="9" t="s">
        <v>16</v>
      </c>
      <c r="C108" s="9" t="s">
        <v>15</v>
      </c>
      <c r="D108" s="19">
        <f>SUM(D101:D107)</f>
        <v>1182.2905969999999</v>
      </c>
      <c r="E108" s="19"/>
      <c r="F108" s="19"/>
      <c r="G108" s="19"/>
      <c r="H108" s="19"/>
      <c r="I108" s="10"/>
      <c r="J108" s="10"/>
      <c r="K108" s="10"/>
      <c r="L108" s="10"/>
      <c r="M108" s="10"/>
      <c r="N108" s="7">
        <f>SUM(L101:L107)</f>
        <v>30980.691423229913</v>
      </c>
      <c r="O108" s="7">
        <f>SUM(M101:M107)</f>
        <v>85486.460856689038</v>
      </c>
      <c r="P108" s="10"/>
      <c r="Q108" s="10" t="e">
        <f t="shared" si="65"/>
        <v>#DIV/0!</v>
      </c>
      <c r="R108" s="10" t="e">
        <f t="shared" si="66"/>
        <v>#DIV/0!</v>
      </c>
      <c r="S108" s="10">
        <f>SUM(Q101:Q107)</f>
        <v>3108390305.0323949</v>
      </c>
      <c r="T108" s="10">
        <f>SUM(R101:R107)</f>
        <v>857830111.86358297</v>
      </c>
      <c r="U108" s="10"/>
      <c r="V108" s="11"/>
      <c r="W108" s="11"/>
      <c r="X108" s="11"/>
      <c r="Y108" s="11"/>
    </row>
    <row r="109" spans="1:25" s="1" customFormat="1" x14ac:dyDescent="0.25">
      <c r="A109" s="16" t="s">
        <v>35</v>
      </c>
      <c r="B109" s="1" t="s">
        <v>17</v>
      </c>
      <c r="C109" s="1" t="s">
        <v>18</v>
      </c>
      <c r="D109" s="22">
        <v>65.641025999999997</v>
      </c>
      <c r="E109" s="22">
        <v>950</v>
      </c>
      <c r="F109" s="22">
        <v>1500</v>
      </c>
      <c r="G109" s="22">
        <f>E109/1000</f>
        <v>0.95</v>
      </c>
      <c r="H109" s="22">
        <f>F109/1000</f>
        <v>1.5</v>
      </c>
      <c r="I109" s="5">
        <f>7.263*(E109*10^-3)^3.106</f>
        <v>6.1933491234965805</v>
      </c>
      <c r="J109" s="5">
        <f>7.263*(F109*10^-3)^3.106</f>
        <v>25.589128476667867</v>
      </c>
      <c r="K109" s="5" t="s">
        <v>41</v>
      </c>
      <c r="L109" s="5">
        <f>I109*$D109</f>
        <v>406.53779084251624</v>
      </c>
      <c r="M109" s="5">
        <f t="shared" ref="M109:M114" si="98">J109*$D109</f>
        <v>1679.6966476542957</v>
      </c>
      <c r="P109" s="5" t="s">
        <v>52</v>
      </c>
      <c r="Q109" s="12">
        <f t="shared" si="65"/>
        <v>108700694.23146893</v>
      </c>
      <c r="R109" s="12">
        <f t="shared" si="66"/>
        <v>18453124.082021877</v>
      </c>
      <c r="S109" s="5"/>
      <c r="T109" s="5"/>
      <c r="U109" s="5"/>
    </row>
    <row r="110" spans="1:25" s="1" customFormat="1" x14ac:dyDescent="0.25">
      <c r="A110" s="16" t="s">
        <v>35</v>
      </c>
      <c r="B110" s="1" t="s">
        <v>17</v>
      </c>
      <c r="C110" s="1" t="s">
        <v>9</v>
      </c>
      <c r="D110" s="22">
        <f>SUM(13.128205,
1031.794872)</f>
        <v>1044.9230769999999</v>
      </c>
      <c r="E110" s="22">
        <v>1500</v>
      </c>
      <c r="F110" s="22">
        <v>2600</v>
      </c>
      <c r="G110" s="22">
        <f t="shared" ref="G110:G115" si="99">E110/1000</f>
        <v>1.5</v>
      </c>
      <c r="H110" s="22">
        <f t="shared" ref="H110:H115" si="100">F110/1000</f>
        <v>2.6</v>
      </c>
      <c r="I110" s="5">
        <f t="shared" ref="I110:I115" si="101">7.263*(E110*10^-3)^3.106</f>
        <v>25.589128476667867</v>
      </c>
      <c r="J110" s="5">
        <f t="shared" ref="J110:J115" si="102">7.263*(F110*10^-3)^3.106</f>
        <v>141.26132091409403</v>
      </c>
      <c r="K110" s="5"/>
      <c r="L110" s="5">
        <f t="shared" ref="L110:L114" si="103">I110*$D110</f>
        <v>26738.670865588108</v>
      </c>
      <c r="M110" s="5">
        <f t="shared" si="98"/>
        <v>147607.21411063959</v>
      </c>
      <c r="N110" s="8"/>
      <c r="O110" s="8"/>
      <c r="P110" s="5" t="s">
        <v>52</v>
      </c>
      <c r="Q110" s="10">
        <f t="shared" si="65"/>
        <v>6700027153.048481</v>
      </c>
      <c r="R110" s="10">
        <f t="shared" si="66"/>
        <v>791802470.66020143</v>
      </c>
      <c r="S110" s="5"/>
      <c r="T110" s="5"/>
      <c r="U110" s="5"/>
    </row>
    <row r="111" spans="1:25" s="1" customFormat="1" x14ac:dyDescent="0.25">
      <c r="A111" s="16" t="s">
        <v>35</v>
      </c>
      <c r="B111" s="1" t="s">
        <v>17</v>
      </c>
      <c r="C111" s="1" t="s">
        <v>10</v>
      </c>
      <c r="D111" s="22">
        <f>SUM(349.374359,
363.076923)</f>
        <v>712.45128199999999</v>
      </c>
      <c r="E111" s="22">
        <v>2600</v>
      </c>
      <c r="F111" s="22">
        <v>3500</v>
      </c>
      <c r="G111" s="22">
        <f t="shared" si="99"/>
        <v>2.6</v>
      </c>
      <c r="H111" s="22">
        <f t="shared" si="100"/>
        <v>3.5</v>
      </c>
      <c r="I111" s="5">
        <f t="shared" si="101"/>
        <v>141.26132091409403</v>
      </c>
      <c r="J111" s="5">
        <f t="shared" si="102"/>
        <v>355.62426808540175</v>
      </c>
      <c r="K111" s="5"/>
      <c r="L111" s="5">
        <f t="shared" si="103"/>
        <v>100641.80918225971</v>
      </c>
      <c r="M111" s="5">
        <f>J111*$D111</f>
        <v>253364.96570775617</v>
      </c>
      <c r="N111" s="8"/>
      <c r="O111" s="8"/>
      <c r="P111" s="5" t="s">
        <v>52</v>
      </c>
      <c r="Q111" s="12">
        <f t="shared" si="65"/>
        <v>7502803966.3827953</v>
      </c>
      <c r="R111" s="12">
        <f t="shared" si="66"/>
        <v>2365992919.6068788</v>
      </c>
      <c r="S111" s="5"/>
      <c r="T111" s="5"/>
      <c r="U111" s="5"/>
    </row>
    <row r="112" spans="1:25" s="1" customFormat="1" x14ac:dyDescent="0.25">
      <c r="A112" s="16" t="s">
        <v>35</v>
      </c>
      <c r="B112" s="1" t="s">
        <v>17</v>
      </c>
      <c r="C112" s="1" t="s">
        <v>11</v>
      </c>
      <c r="D112" s="22">
        <v>321.476923</v>
      </c>
      <c r="E112" s="22">
        <v>3500</v>
      </c>
      <c r="F112" s="22">
        <v>4200</v>
      </c>
      <c r="G112" s="22">
        <f t="shared" si="99"/>
        <v>3.5</v>
      </c>
      <c r="H112" s="22">
        <f t="shared" si="100"/>
        <v>4.2</v>
      </c>
      <c r="I112" s="5">
        <f t="shared" si="101"/>
        <v>355.62426808540175</v>
      </c>
      <c r="J112" s="5">
        <f t="shared" si="102"/>
        <v>626.5104800772491</v>
      </c>
      <c r="K112" s="5"/>
      <c r="L112" s="5">
        <f t="shared" si="103"/>
        <v>114324.99544822205</v>
      </c>
      <c r="M112" s="5">
        <f t="shared" si="98"/>
        <v>201408.66136248683</v>
      </c>
      <c r="N112" s="8"/>
      <c r="O112" s="8"/>
      <c r="P112" s="5" t="s">
        <v>52</v>
      </c>
      <c r="Q112" s="10">
        <f t="shared" si="65"/>
        <v>4734925480.8024893</v>
      </c>
      <c r="R112" s="10">
        <f t="shared" si="66"/>
        <v>2332877640.3251891</v>
      </c>
      <c r="S112" s="5"/>
      <c r="T112" s="5"/>
      <c r="U112" s="5"/>
    </row>
    <row r="113" spans="1:25" s="1" customFormat="1" x14ac:dyDescent="0.25">
      <c r="A113" s="16" t="s">
        <v>35</v>
      </c>
      <c r="B113" s="1" t="s">
        <v>17</v>
      </c>
      <c r="C113" s="1" t="s">
        <v>12</v>
      </c>
      <c r="D113" s="22">
        <v>1650.54359</v>
      </c>
      <c r="E113" s="22">
        <v>4600</v>
      </c>
      <c r="F113" s="22">
        <v>5400</v>
      </c>
      <c r="G113" s="22">
        <f t="shared" si="99"/>
        <v>4.5999999999999996</v>
      </c>
      <c r="H113" s="22">
        <f t="shared" si="100"/>
        <v>5.4</v>
      </c>
      <c r="I113" s="5">
        <f t="shared" si="101"/>
        <v>831.07815957792832</v>
      </c>
      <c r="J113" s="5">
        <f t="shared" si="102"/>
        <v>1367.5117360953927</v>
      </c>
      <c r="K113" s="5"/>
      <c r="L113" s="5">
        <f t="shared" si="103"/>
        <v>1371730.7290803466</v>
      </c>
      <c r="M113" s="5">
        <f t="shared" si="98"/>
        <v>2257137.730262022</v>
      </c>
      <c r="N113" s="8"/>
      <c r="O113" s="8"/>
      <c r="P113" s="5" t="s">
        <v>52</v>
      </c>
      <c r="Q113" s="12">
        <f t="shared" si="65"/>
        <v>42917107701.319809</v>
      </c>
      <c r="R113" s="12">
        <f t="shared" si="66"/>
        <v>23028675228.351059</v>
      </c>
      <c r="S113" s="5"/>
      <c r="T113" s="5"/>
      <c r="U113" s="5"/>
    </row>
    <row r="114" spans="1:25" s="1" customFormat="1" x14ac:dyDescent="0.25">
      <c r="A114" s="16" t="s">
        <v>35</v>
      </c>
      <c r="B114" s="1" t="s">
        <v>17</v>
      </c>
      <c r="C114" s="1" t="s">
        <v>13</v>
      </c>
      <c r="D114" s="22">
        <v>757.98974399999997</v>
      </c>
      <c r="E114" s="22">
        <v>6600</v>
      </c>
      <c r="F114" s="22">
        <v>7200</v>
      </c>
      <c r="G114" s="22">
        <f t="shared" si="99"/>
        <v>6.6</v>
      </c>
      <c r="H114" s="22">
        <f t="shared" si="100"/>
        <v>7.2</v>
      </c>
      <c r="I114" s="5">
        <f t="shared" si="101"/>
        <v>2550.465821375426</v>
      </c>
      <c r="J114" s="5">
        <f t="shared" si="102"/>
        <v>3341.8794371620952</v>
      </c>
      <c r="K114" s="5"/>
      <c r="L114" s="5">
        <f t="shared" si="103"/>
        <v>1933226.9350251087</v>
      </c>
      <c r="M114" s="5">
        <f t="shared" si="98"/>
        <v>2533110.3390533607</v>
      </c>
      <c r="N114" s="8"/>
      <c r="O114" s="8"/>
      <c r="P114" s="5" t="s">
        <v>52</v>
      </c>
      <c r="Q114" s="10">
        <f t="shared" si="65"/>
        <v>36390002330.581421</v>
      </c>
      <c r="R114" s="10">
        <f t="shared" si="66"/>
        <v>25957806801.576141</v>
      </c>
      <c r="S114" s="5"/>
      <c r="T114" s="5"/>
      <c r="U114" s="5"/>
    </row>
    <row r="115" spans="1:25" s="1" customFormat="1" x14ac:dyDescent="0.25">
      <c r="A115" s="16" t="s">
        <v>35</v>
      </c>
      <c r="B115" s="1" t="s">
        <v>17</v>
      </c>
      <c r="C115" s="1" t="s">
        <v>14</v>
      </c>
      <c r="D115" s="22">
        <v>2.461538</v>
      </c>
      <c r="E115" s="22">
        <v>4900</v>
      </c>
      <c r="F115" s="22">
        <v>5600</v>
      </c>
      <c r="G115" s="22">
        <f t="shared" si="99"/>
        <v>4.9000000000000004</v>
      </c>
      <c r="H115" s="22">
        <f t="shared" si="100"/>
        <v>5.6</v>
      </c>
      <c r="I115" s="5">
        <f t="shared" si="101"/>
        <v>1011.2652147179986</v>
      </c>
      <c r="J115" s="5">
        <f t="shared" si="102"/>
        <v>1531.0453543271549</v>
      </c>
      <c r="K115" s="5"/>
      <c r="L115" s="5">
        <f t="shared" ref="L115" si="104">I115*$D115</f>
        <v>2489.2677541065127</v>
      </c>
      <c r="M115" s="5">
        <f t="shared" ref="M115" si="105">J115*$D115</f>
        <v>3768.726319399756</v>
      </c>
      <c r="N115" s="8"/>
      <c r="O115" s="8"/>
      <c r="P115" s="5" t="s">
        <v>52</v>
      </c>
      <c r="Q115" s="12">
        <f t="shared" si="65"/>
        <v>68227771.502259016</v>
      </c>
      <c r="R115" s="12">
        <f t="shared" si="66"/>
        <v>40626316.930551171</v>
      </c>
      <c r="S115" s="5"/>
      <c r="T115" s="5"/>
      <c r="U115" s="5"/>
    </row>
    <row r="116" spans="1:25" s="1" customFormat="1" x14ac:dyDescent="0.25">
      <c r="A116" s="16" t="s">
        <v>35</v>
      </c>
      <c r="B116" s="1" t="s">
        <v>17</v>
      </c>
      <c r="C116" s="1" t="s">
        <v>15</v>
      </c>
      <c r="D116" s="22">
        <f>SUM(D109:D115)</f>
        <v>4555.4871800000001</v>
      </c>
      <c r="E116" s="22"/>
      <c r="F116" s="22"/>
      <c r="G116" s="22"/>
      <c r="H116" s="22"/>
      <c r="I116" s="5"/>
      <c r="J116" s="5"/>
      <c r="K116" s="5"/>
      <c r="L116" s="5"/>
      <c r="M116" s="5"/>
      <c r="N116" s="8">
        <f>SUM(L109:L115)</f>
        <v>3549558.9451464741</v>
      </c>
      <c r="O116" s="8">
        <f>SUM(M109:M115)</f>
        <v>5398077.3334633196</v>
      </c>
      <c r="P116" s="5"/>
      <c r="Q116" s="10" t="e">
        <f t="shared" si="65"/>
        <v>#DIV/0!</v>
      </c>
      <c r="R116" s="10" t="e">
        <f t="shared" si="66"/>
        <v>#DIV/0!</v>
      </c>
      <c r="S116" s="12">
        <f>SUM(Q109:Q115)</f>
        <v>98421795097.868729</v>
      </c>
      <c r="T116" s="12">
        <f>SUM(R109:R115)</f>
        <v>54536234501.532043</v>
      </c>
      <c r="U116" s="5"/>
    </row>
    <row r="117" spans="1:25" s="9" customFormat="1" x14ac:dyDescent="0.25">
      <c r="A117" s="14" t="s">
        <v>35</v>
      </c>
      <c r="B117" s="9" t="s">
        <v>19</v>
      </c>
      <c r="C117" s="9" t="s">
        <v>4</v>
      </c>
      <c r="D117" s="19">
        <f>SUM(65.859829,
169.230769)</f>
        <v>235.090598</v>
      </c>
      <c r="E117" s="19">
        <f>1.7</f>
        <v>1.7</v>
      </c>
      <c r="F117" s="19">
        <f>2.8</f>
        <v>2.8</v>
      </c>
      <c r="G117" s="19">
        <f>E117</f>
        <v>1.7</v>
      </c>
      <c r="H117" s="19">
        <f>F117</f>
        <v>2.8</v>
      </c>
      <c r="I117" s="10">
        <f>((0.0228*(E117)^2.3698)/0.9)*0.4*1000</f>
        <v>35.63446006817815</v>
      </c>
      <c r="J117" s="10">
        <f>((0.0228*(F117)^2.3698)/0.9)*0.4*1000</f>
        <v>116.259227141754</v>
      </c>
      <c r="K117" s="10" t="s">
        <v>46</v>
      </c>
      <c r="L117" s="10">
        <f t="shared" ref="L117:M119" si="106">I117*$D117</f>
        <v>8377.3265268351224</v>
      </c>
      <c r="M117" s="10">
        <f t="shared" si="106"/>
        <v>27331.451231772779</v>
      </c>
      <c r="N117" s="7">
        <f>L117</f>
        <v>8377.3265268351224</v>
      </c>
      <c r="O117" s="7">
        <f>M117</f>
        <v>27331.451231772779</v>
      </c>
      <c r="P117" s="10" t="s">
        <v>54</v>
      </c>
      <c r="Q117" s="12">
        <f t="shared" si="65"/>
        <v>1142031280.3380163</v>
      </c>
      <c r="R117" s="12">
        <f t="shared" si="66"/>
        <v>260454243.97683495</v>
      </c>
      <c r="S117" s="10">
        <f>Q117</f>
        <v>1142031280.3380163</v>
      </c>
      <c r="T117" s="10">
        <f>R117</f>
        <v>260454243.97683495</v>
      </c>
      <c r="U117" s="10"/>
      <c r="V117" s="11"/>
      <c r="W117" s="11"/>
      <c r="X117" s="11"/>
      <c r="Y117" s="11"/>
    </row>
    <row r="118" spans="1:25" s="11" customFormat="1" x14ac:dyDescent="0.25">
      <c r="A118" s="17" t="s">
        <v>35</v>
      </c>
      <c r="B118" s="11" t="s">
        <v>20</v>
      </c>
      <c r="C118" s="11" t="s">
        <v>4</v>
      </c>
      <c r="D118" s="20">
        <f>SUM(1043.364103,
885.128205)</f>
        <v>1928.4923079999999</v>
      </c>
      <c r="E118" s="20">
        <v>11.6871446</v>
      </c>
      <c r="F118" s="20">
        <v>11.6871446</v>
      </c>
      <c r="G118" s="20">
        <f>E118</f>
        <v>11.6871446</v>
      </c>
      <c r="H118" s="20">
        <f>F118</f>
        <v>11.6871446</v>
      </c>
      <c r="I118" s="12">
        <f>0.4*(0.00032*(E118)^3)*1000</f>
        <v>204.33145234296978</v>
      </c>
      <c r="J118" s="12">
        <f>0.4*(0.00032*(F118)^3)*1000</f>
        <v>204.33145234296978</v>
      </c>
      <c r="K118" s="12" t="s">
        <v>43</v>
      </c>
      <c r="L118" s="12">
        <f t="shared" si="106"/>
        <v>394051.63412588579</v>
      </c>
      <c r="M118" s="12">
        <f t="shared" si="106"/>
        <v>394051.63412588579</v>
      </c>
      <c r="N118" s="8">
        <f>L118</f>
        <v>394051.63412588579</v>
      </c>
      <c r="O118" s="8">
        <f>M118</f>
        <v>394051.63412588579</v>
      </c>
      <c r="P118" s="12" t="s">
        <v>51</v>
      </c>
      <c r="Q118" s="10">
        <f t="shared" si="65"/>
        <v>10640258529.301691</v>
      </c>
      <c r="R118" s="10">
        <f t="shared" si="66"/>
        <v>10640258529.301691</v>
      </c>
      <c r="S118" s="12">
        <f>Q118</f>
        <v>10640258529.301691</v>
      </c>
      <c r="T118" s="12">
        <f>R118</f>
        <v>10640258529.301691</v>
      </c>
      <c r="U118" s="12"/>
    </row>
    <row r="119" spans="1:25" s="2" customFormat="1" x14ac:dyDescent="0.25">
      <c r="A119" s="15" t="s">
        <v>35</v>
      </c>
      <c r="B119" s="2" t="s">
        <v>21</v>
      </c>
      <c r="C119" s="2" t="s">
        <v>11</v>
      </c>
      <c r="D119" s="21">
        <f>SUM(36.102564,
56.410256)</f>
        <v>92.512820000000005</v>
      </c>
      <c r="E119" s="21">
        <v>1800</v>
      </c>
      <c r="F119" s="21">
        <v>2200</v>
      </c>
      <c r="G119" s="21">
        <f>E119/1000</f>
        <v>1.8</v>
      </c>
      <c r="H119" s="21">
        <f>F119/1000</f>
        <v>2.2000000000000002</v>
      </c>
      <c r="I119" s="3">
        <f>((0.0089*(E119*10^-3)^3.4119)/0.9)*0.47*1000</f>
        <v>34.531036561114568</v>
      </c>
      <c r="J119" s="3">
        <f>((0.0089*(F119*10^-3)^3.4119)/0.9)*0.47*1000</f>
        <v>68.478982676295388</v>
      </c>
      <c r="K119" s="3" t="s">
        <v>46</v>
      </c>
      <c r="L119" s="3">
        <f t="shared" si="106"/>
        <v>3194.5635697918115</v>
      </c>
      <c r="M119" s="3">
        <f t="shared" si="106"/>
        <v>6335.1837981152339</v>
      </c>
      <c r="N119" s="7"/>
      <c r="O119" s="7"/>
      <c r="P119" s="3" t="s">
        <v>51</v>
      </c>
      <c r="Q119" s="12">
        <f t="shared" si="65"/>
        <v>266802360.92704406</v>
      </c>
      <c r="R119" s="12">
        <f t="shared" si="66"/>
        <v>113371805.39937773</v>
      </c>
      <c r="S119" s="3"/>
      <c r="T119" s="3"/>
      <c r="U119" s="3"/>
      <c r="V119" s="1"/>
      <c r="W119" s="1"/>
      <c r="X119" s="1"/>
      <c r="Y119" s="1"/>
    </row>
    <row r="120" spans="1:25" s="2" customFormat="1" x14ac:dyDescent="0.25">
      <c r="A120" s="15" t="s">
        <v>35</v>
      </c>
      <c r="B120" s="2" t="s">
        <v>21</v>
      </c>
      <c r="C120" s="2" t="s">
        <v>12</v>
      </c>
      <c r="D120" s="21">
        <f>SUM(76.252991,
41.025641)</f>
        <v>117.27863199999999</v>
      </c>
      <c r="E120" s="21">
        <v>2200</v>
      </c>
      <c r="F120" s="21">
        <v>2800</v>
      </c>
      <c r="G120" s="21">
        <f t="shared" ref="G120:G122" si="107">E120/1000</f>
        <v>2.2000000000000002</v>
      </c>
      <c r="H120" s="21">
        <f t="shared" ref="H120:H122" si="108">F120/1000</f>
        <v>2.8</v>
      </c>
      <c r="I120" s="3">
        <f t="shared" ref="I120:I122" si="109">((0.0089*(E120*10^-3)^3.4119)/0.9)*0.47*1000</f>
        <v>68.478982676295388</v>
      </c>
      <c r="J120" s="3">
        <f t="shared" ref="J120:J122" si="110">((0.0089*(F120*10^-3)^3.4119)/0.9)*0.47*1000</f>
        <v>155.9207238445286</v>
      </c>
      <c r="K120" s="3"/>
      <c r="L120" s="3">
        <f t="shared" ref="L120:L122" si="111">I120*$D120</f>
        <v>8031.1214090276208</v>
      </c>
      <c r="M120" s="3">
        <f>J120*$D120</f>
        <v>18286.169192936093</v>
      </c>
      <c r="N120" s="7"/>
      <c r="O120" s="7"/>
      <c r="P120" s="3" t="s">
        <v>51</v>
      </c>
      <c r="Q120" s="10">
        <f t="shared" si="65"/>
        <v>648957508.57659483</v>
      </c>
      <c r="R120" s="10">
        <f t="shared" si="66"/>
        <v>232024092.98479649</v>
      </c>
      <c r="S120" s="3"/>
      <c r="T120" s="3"/>
      <c r="U120" s="3"/>
      <c r="V120" s="1"/>
      <c r="W120" s="1"/>
      <c r="X120" s="1"/>
      <c r="Y120" s="1"/>
    </row>
    <row r="121" spans="1:25" s="2" customFormat="1" x14ac:dyDescent="0.25">
      <c r="A121" s="15" t="s">
        <v>35</v>
      </c>
      <c r="B121" s="2" t="s">
        <v>21</v>
      </c>
      <c r="C121" s="2" t="s">
        <v>13</v>
      </c>
      <c r="D121" s="21">
        <f>77.511111</f>
        <v>77.511111</v>
      </c>
      <c r="E121" s="21">
        <v>2700</v>
      </c>
      <c r="F121" s="21">
        <v>3200</v>
      </c>
      <c r="G121" s="21">
        <f t="shared" si="107"/>
        <v>2.7</v>
      </c>
      <c r="H121" s="21">
        <f t="shared" si="108"/>
        <v>3.2</v>
      </c>
      <c r="I121" s="3">
        <f t="shared" si="109"/>
        <v>137.72582485028883</v>
      </c>
      <c r="J121" s="3">
        <f t="shared" si="110"/>
        <v>245.90455088187281</v>
      </c>
      <c r="K121" s="3"/>
      <c r="L121" s="3">
        <f t="shared" si="111"/>
        <v>10675.281697537295</v>
      </c>
      <c r="M121" s="3">
        <f t="shared" ref="M121:M122" si="112">J121*$D121</f>
        <v>19060.334938809992</v>
      </c>
      <c r="N121" s="7"/>
      <c r="O121" s="7"/>
      <c r="P121" s="3" t="s">
        <v>51</v>
      </c>
      <c r="Q121" s="12">
        <f t="shared" si="65"/>
        <v>568014647.89162493</v>
      </c>
      <c r="R121" s="12">
        <f t="shared" si="66"/>
        <v>275214020.78393769</v>
      </c>
      <c r="S121" s="3"/>
      <c r="T121" s="3"/>
      <c r="U121" s="3"/>
      <c r="V121" s="1"/>
      <c r="W121" s="1"/>
      <c r="X121" s="1"/>
      <c r="Y121" s="1"/>
    </row>
    <row r="122" spans="1:25" s="2" customFormat="1" x14ac:dyDescent="0.25">
      <c r="A122" s="15" t="s">
        <v>35</v>
      </c>
      <c r="B122" s="2" t="s">
        <v>21</v>
      </c>
      <c r="C122" s="2" t="s">
        <v>14</v>
      </c>
      <c r="D122" s="21">
        <f>4.923077</f>
        <v>4.9230770000000001</v>
      </c>
      <c r="E122" s="21">
        <v>2900</v>
      </c>
      <c r="F122" s="21">
        <v>3200</v>
      </c>
      <c r="G122" s="21">
        <f t="shared" si="107"/>
        <v>2.9</v>
      </c>
      <c r="H122" s="21">
        <f t="shared" si="108"/>
        <v>3.2</v>
      </c>
      <c r="I122" s="3">
        <f t="shared" si="109"/>
        <v>175.75232711616172</v>
      </c>
      <c r="J122" s="3">
        <f t="shared" si="110"/>
        <v>245.90455088187281</v>
      </c>
      <c r="K122" s="3"/>
      <c r="L122" s="3">
        <f t="shared" si="111"/>
        <v>865.24223932205211</v>
      </c>
      <c r="M122" s="3">
        <f t="shared" si="112"/>
        <v>1210.6070386418778</v>
      </c>
      <c r="N122" s="7"/>
      <c r="O122" s="7"/>
      <c r="P122" s="3" t="s">
        <v>51</v>
      </c>
      <c r="Q122" s="10">
        <f t="shared" si="65"/>
        <v>33943824.745055102</v>
      </c>
      <c r="R122" s="10">
        <f t="shared" si="66"/>
        <v>22306371.146239076</v>
      </c>
      <c r="S122" s="3"/>
      <c r="T122" s="3"/>
      <c r="U122" s="3"/>
      <c r="V122" s="1"/>
      <c r="W122" s="1"/>
      <c r="X122" s="1"/>
      <c r="Y122" s="1"/>
    </row>
    <row r="123" spans="1:25" s="9" customFormat="1" x14ac:dyDescent="0.25">
      <c r="A123" s="14" t="s">
        <v>35</v>
      </c>
      <c r="B123" s="9" t="s">
        <v>21</v>
      </c>
      <c r="C123" s="9" t="s">
        <v>15</v>
      </c>
      <c r="D123" s="19">
        <f>SUM(194.789744,
97.435897)</f>
        <v>292.225641</v>
      </c>
      <c r="E123" s="19"/>
      <c r="F123" s="19"/>
      <c r="G123" s="19"/>
      <c r="H123" s="19"/>
      <c r="I123" s="10"/>
      <c r="J123" s="10"/>
      <c r="K123" s="10"/>
      <c r="L123" s="10"/>
      <c r="M123" s="10"/>
      <c r="N123" s="7">
        <f>SUM(L119:L122)</f>
        <v>22766.208915678781</v>
      </c>
      <c r="O123" s="7">
        <f>SUM(M119:M122)</f>
        <v>44892.2949685032</v>
      </c>
      <c r="P123" s="10"/>
      <c r="Q123" s="12" t="e">
        <f t="shared" si="65"/>
        <v>#DIV/0!</v>
      </c>
      <c r="R123" s="12" t="e">
        <f t="shared" si="66"/>
        <v>#DIV/0!</v>
      </c>
      <c r="S123" s="10">
        <f>SUM(Q119:Q122)</f>
        <v>1517718342.1403189</v>
      </c>
      <c r="T123" s="10">
        <f>SUM(R119:R122)</f>
        <v>642916290.31435096</v>
      </c>
      <c r="U123" s="10"/>
      <c r="V123" s="11"/>
      <c r="W123" s="11"/>
      <c r="X123" s="11"/>
      <c r="Y123" s="11"/>
    </row>
    <row r="124" spans="1:25" s="1" customFormat="1" x14ac:dyDescent="0.25">
      <c r="A124" s="16" t="s">
        <v>35</v>
      </c>
      <c r="B124" s="1" t="s">
        <v>22</v>
      </c>
      <c r="C124" s="1" t="s">
        <v>10</v>
      </c>
      <c r="D124" s="22">
        <v>13.675214</v>
      </c>
      <c r="E124" s="22">
        <v>1400</v>
      </c>
      <c r="F124" s="22">
        <v>1700</v>
      </c>
      <c r="G124" s="22">
        <f>E124/1000</f>
        <v>1.4</v>
      </c>
      <c r="H124" s="22">
        <f>F124/1000</f>
        <v>1.7</v>
      </c>
      <c r="I124" s="5">
        <f>((0.0031*(E124*10^-3)^4.7164)/0.9)*0.4*1000</f>
        <v>6.7356179121466413</v>
      </c>
      <c r="J124" s="5">
        <f>((0.0031*(F124*10^-3)^4.7164)/0.9)*0.4*1000</f>
        <v>16.829393632447292</v>
      </c>
      <c r="K124" s="5" t="s">
        <v>61</v>
      </c>
      <c r="L124" s="5">
        <f>I124*$D124</f>
        <v>92.111016370838527</v>
      </c>
      <c r="M124" s="5">
        <f>J124*$D124</f>
        <v>230.14555941395406</v>
      </c>
      <c r="N124" s="8"/>
      <c r="O124" s="8"/>
      <c r="P124" s="5" t="s">
        <v>51</v>
      </c>
      <c r="Q124" s="10">
        <f t="shared" si="65"/>
        <v>14584484.787415486</v>
      </c>
      <c r="R124" s="10">
        <f t="shared" si="66"/>
        <v>4642771.5036068242</v>
      </c>
      <c r="S124" s="5"/>
      <c r="T124" s="5"/>
      <c r="U124" s="5"/>
    </row>
    <row r="125" spans="1:25" s="1" customFormat="1" x14ac:dyDescent="0.25">
      <c r="A125" s="16" t="s">
        <v>35</v>
      </c>
      <c r="B125" s="1" t="s">
        <v>22</v>
      </c>
      <c r="C125" s="1" t="s">
        <v>12</v>
      </c>
      <c r="D125" s="22">
        <v>2.461538</v>
      </c>
      <c r="E125" s="22">
        <v>2000</v>
      </c>
      <c r="F125" s="22">
        <v>2800</v>
      </c>
      <c r="G125" s="22">
        <f t="shared" ref="G125:G127" si="113">E125/1000</f>
        <v>2</v>
      </c>
      <c r="H125" s="22">
        <f t="shared" ref="H125:H127" si="114">F125/1000</f>
        <v>2.8</v>
      </c>
      <c r="I125" s="5">
        <f t="shared" ref="I125:I127" si="115">((0.0031*(E125*10^-3)^4.7164)/0.9)*0.4*1000</f>
        <v>36.220717351897861</v>
      </c>
      <c r="J125" s="5">
        <f t="shared" ref="J125:J127" si="116">((0.0031*(F125*10^-3)^4.7164)/0.9)*0.4*1000</f>
        <v>177.07421074808025</v>
      </c>
      <c r="K125" s="5"/>
      <c r="L125" s="5">
        <f t="shared" ref="L125:L127" si="117">I125*$D125</f>
        <v>89.158672148955958</v>
      </c>
      <c r="M125" s="5">
        <f t="shared" ref="M125:M127" si="118">J125*$D125</f>
        <v>435.87489857640793</v>
      </c>
      <c r="N125" s="8"/>
      <c r="O125" s="8"/>
      <c r="P125" s="5" t="s">
        <v>51</v>
      </c>
      <c r="Q125" s="12">
        <f t="shared" si="65"/>
        <v>18138670.447068017</v>
      </c>
      <c r="R125" s="12">
        <f t="shared" si="66"/>
        <v>2495212.9518722631</v>
      </c>
      <c r="S125" s="5"/>
      <c r="T125" s="5"/>
      <c r="U125" s="5"/>
    </row>
    <row r="126" spans="1:25" s="1" customFormat="1" x14ac:dyDescent="0.25">
      <c r="A126" s="16" t="s">
        <v>35</v>
      </c>
      <c r="B126" s="1" t="s">
        <v>22</v>
      </c>
      <c r="C126" s="1" t="s">
        <v>13</v>
      </c>
      <c r="D126" s="22">
        <v>7.3846150000000002</v>
      </c>
      <c r="E126" s="22">
        <v>2900</v>
      </c>
      <c r="F126" s="22">
        <v>3700</v>
      </c>
      <c r="G126" s="22">
        <f t="shared" si="113"/>
        <v>2.9</v>
      </c>
      <c r="H126" s="22">
        <f t="shared" si="114"/>
        <v>3.7</v>
      </c>
      <c r="I126" s="5">
        <f t="shared" si="115"/>
        <v>208.94553401978536</v>
      </c>
      <c r="J126" s="5">
        <f t="shared" si="116"/>
        <v>659.24339476966725</v>
      </c>
      <c r="K126" s="5"/>
      <c r="L126" s="5">
        <f t="shared" si="117"/>
        <v>1542.9823247055172</v>
      </c>
      <c r="M126" s="5">
        <f>J126*$D126</f>
        <v>4868.258661667006</v>
      </c>
      <c r="N126" s="8"/>
      <c r="O126" s="8"/>
      <c r="P126" s="5" t="s">
        <v>51</v>
      </c>
      <c r="Q126" s="10">
        <f t="shared" si="65"/>
        <v>130721861.85846402</v>
      </c>
      <c r="R126" s="10">
        <f t="shared" si="66"/>
        <v>31087253.684618354</v>
      </c>
      <c r="S126" s="5"/>
      <c r="T126" s="5"/>
      <c r="U126" s="5"/>
    </row>
    <row r="127" spans="1:25" s="1" customFormat="1" x14ac:dyDescent="0.25">
      <c r="A127" s="16" t="s">
        <v>35</v>
      </c>
      <c r="B127" s="1" t="s">
        <v>22</v>
      </c>
      <c r="C127" s="1" t="s">
        <v>14</v>
      </c>
      <c r="D127" s="22">
        <v>18.871794999999999</v>
      </c>
      <c r="E127" s="22">
        <v>2600</v>
      </c>
      <c r="F127" s="22">
        <v>3000</v>
      </c>
      <c r="G127" s="22">
        <f t="shared" si="113"/>
        <v>2.6</v>
      </c>
      <c r="H127" s="22">
        <f t="shared" si="114"/>
        <v>3</v>
      </c>
      <c r="I127" s="5">
        <f t="shared" si="115"/>
        <v>124.84164255560299</v>
      </c>
      <c r="J127" s="5">
        <f t="shared" si="116"/>
        <v>245.17368887396498</v>
      </c>
      <c r="K127" s="5"/>
      <c r="L127" s="5">
        <f t="shared" si="117"/>
        <v>2355.9858857726153</v>
      </c>
      <c r="M127" s="5">
        <f t="shared" si="118"/>
        <v>4626.8675958232479</v>
      </c>
      <c r="N127" s="8"/>
      <c r="O127" s="8"/>
      <c r="P127" s="5" t="s">
        <v>51</v>
      </c>
      <c r="Q127" s="12">
        <f t="shared" si="65"/>
        <v>141312329.63053232</v>
      </c>
      <c r="R127" s="12">
        <f t="shared" si="66"/>
        <v>60783691.478615999</v>
      </c>
      <c r="S127" s="5"/>
      <c r="T127" s="5"/>
      <c r="U127" s="5"/>
    </row>
    <row r="128" spans="1:25" s="11" customFormat="1" x14ac:dyDescent="0.25">
      <c r="A128" s="17" t="s">
        <v>35</v>
      </c>
      <c r="B128" s="11" t="s">
        <v>22</v>
      </c>
      <c r="C128" s="11" t="s">
        <v>15</v>
      </c>
      <c r="D128" s="20">
        <v>44.854700999999999</v>
      </c>
      <c r="E128" s="20"/>
      <c r="F128" s="20"/>
      <c r="G128" s="20"/>
      <c r="H128" s="20"/>
      <c r="I128" s="12"/>
      <c r="J128" s="12"/>
      <c r="K128" s="12"/>
      <c r="L128" s="12"/>
      <c r="M128" s="12"/>
      <c r="N128" s="8">
        <f>SUM(L124:L127)</f>
        <v>4080.237898997927</v>
      </c>
      <c r="O128" s="8">
        <f>SUM(M124:M127)</f>
        <v>10161.146715480616</v>
      </c>
      <c r="P128" s="12"/>
      <c r="Q128" s="10" t="e">
        <f t="shared" si="65"/>
        <v>#DIV/0!</v>
      </c>
      <c r="R128" s="10" t="e">
        <f t="shared" si="66"/>
        <v>#DIV/0!</v>
      </c>
      <c r="S128" s="12">
        <f>SUM(Q124:Q127)</f>
        <v>304757346.72347987</v>
      </c>
      <c r="T128" s="12">
        <f>SUM(R124:R127)</f>
        <v>99008929.618713439</v>
      </c>
      <c r="U128" s="12"/>
    </row>
    <row r="129" spans="1:25" s="2" customFormat="1" x14ac:dyDescent="0.25">
      <c r="A129" s="15" t="s">
        <v>35</v>
      </c>
      <c r="B129" s="2" t="s">
        <v>23</v>
      </c>
      <c r="C129" s="2" t="s">
        <v>9</v>
      </c>
      <c r="D129" s="21">
        <f>SUM(14.769231,
86.153846)</f>
        <v>100.92307700000001</v>
      </c>
      <c r="E129" s="21">
        <v>650</v>
      </c>
      <c r="F129" s="21">
        <v>1000</v>
      </c>
      <c r="G129" s="21">
        <f>E129/1000</f>
        <v>0.65</v>
      </c>
      <c r="H129" s="21">
        <f>F129/1000</f>
        <v>1</v>
      </c>
      <c r="I129" s="3">
        <f>10^(3.07*LOG10(E129)-8.37)</f>
        <v>1.8435036630733526</v>
      </c>
      <c r="J129" s="3">
        <f t="shared" ref="J129:J134" si="119">10^(3.07*LOG10(F129)-8.37)</f>
        <v>6.9183097091893631</v>
      </c>
      <c r="K129" s="3" t="s">
        <v>48</v>
      </c>
      <c r="L129" s="3">
        <f>I129*$D129</f>
        <v>186.05206213813403</v>
      </c>
      <c r="M129" s="3">
        <f>J129*$D129</f>
        <v>698.21710349036573</v>
      </c>
      <c r="N129" s="7"/>
      <c r="O129" s="7"/>
      <c r="P129" s="3" t="s">
        <v>53</v>
      </c>
      <c r="Q129" s="12">
        <f t="shared" si="65"/>
        <v>61173359.937813826</v>
      </c>
      <c r="R129" s="12">
        <f t="shared" si="66"/>
        <v>11711629.928809904</v>
      </c>
      <c r="S129" s="3"/>
      <c r="T129" s="3"/>
      <c r="U129" s="3"/>
      <c r="V129" s="1"/>
      <c r="W129" s="1"/>
      <c r="X129" s="1"/>
      <c r="Y129" s="1"/>
    </row>
    <row r="130" spans="1:25" s="2" customFormat="1" x14ac:dyDescent="0.25">
      <c r="A130" s="15" t="s">
        <v>35</v>
      </c>
      <c r="B130" s="2" t="s">
        <v>23</v>
      </c>
      <c r="C130" s="2" t="s">
        <v>10</v>
      </c>
      <c r="D130" s="21">
        <f>SUM(8.205128,
15.384615)</f>
        <v>23.589742999999999</v>
      </c>
      <c r="E130" s="21">
        <v>1000</v>
      </c>
      <c r="F130" s="21">
        <v>1300</v>
      </c>
      <c r="G130" s="21">
        <f t="shared" ref="G130:G134" si="120">E130/1000</f>
        <v>1</v>
      </c>
      <c r="H130" s="21">
        <f t="shared" ref="H130:H134" si="121">F130/1000</f>
        <v>1.3</v>
      </c>
      <c r="I130" s="3">
        <f t="shared" ref="I130:I134" si="122">10^(3.07*LOG10(E130)-8.37)</f>
        <v>6.9183097091893631</v>
      </c>
      <c r="J130" s="3">
        <f>10^(3.07*LOG10(F130)-8.37)</f>
        <v>15.4812524115867</v>
      </c>
      <c r="K130" s="3"/>
      <c r="L130" s="3">
        <f t="shared" ref="L130:L134" si="123">I130*$D130</f>
        <v>163.20114803418181</v>
      </c>
      <c r="M130" s="3">
        <f t="shared" ref="M130:M134" si="124">J130*$D130</f>
        <v>365.19876570746044</v>
      </c>
      <c r="N130" s="7"/>
      <c r="O130" s="7"/>
      <c r="P130" s="3" t="s">
        <v>53</v>
      </c>
      <c r="Q130" s="10">
        <f t="shared" si="65"/>
        <v>22988580.428893201</v>
      </c>
      <c r="R130" s="10">
        <f t="shared" si="66"/>
        <v>8399521.3715213537</v>
      </c>
      <c r="S130" s="3"/>
      <c r="T130" s="3"/>
      <c r="U130" s="3"/>
      <c r="V130" s="1"/>
      <c r="W130" s="1"/>
      <c r="X130" s="1"/>
      <c r="Y130" s="1"/>
    </row>
    <row r="131" spans="1:25" s="2" customFormat="1" x14ac:dyDescent="0.25">
      <c r="A131" s="15" t="s">
        <v>35</v>
      </c>
      <c r="B131" s="2" t="s">
        <v>23</v>
      </c>
      <c r="C131" s="2" t="s">
        <v>11</v>
      </c>
      <c r="D131" s="21">
        <f>SUM(2.461538,
20.512821)</f>
        <v>22.974359</v>
      </c>
      <c r="E131" s="21">
        <v>1450</v>
      </c>
      <c r="F131" s="21">
        <v>1800</v>
      </c>
      <c r="G131" s="21">
        <f t="shared" si="120"/>
        <v>1.45</v>
      </c>
      <c r="H131" s="21">
        <f t="shared" si="121"/>
        <v>1.8</v>
      </c>
      <c r="I131" s="3">
        <f t="shared" si="122"/>
        <v>21.647102166396493</v>
      </c>
      <c r="J131" s="3">
        <f t="shared" si="119"/>
        <v>42.042311984247227</v>
      </c>
      <c r="K131" s="3"/>
      <c r="L131" s="3">
        <f t="shared" si="123"/>
        <v>497.32829648047078</v>
      </c>
      <c r="M131" s="3">
        <f t="shared" si="124"/>
        <v>965.89516871609817</v>
      </c>
      <c r="N131" s="7"/>
      <c r="O131" s="7"/>
      <c r="P131" s="3" t="s">
        <v>53</v>
      </c>
      <c r="Q131" s="12">
        <f t="shared" si="65"/>
        <v>45715440.088673644</v>
      </c>
      <c r="R131" s="12">
        <f t="shared" si="66"/>
        <v>19939045.994986914</v>
      </c>
      <c r="S131" s="3"/>
      <c r="T131" s="3"/>
      <c r="U131" s="3"/>
      <c r="V131" s="1"/>
      <c r="W131" s="1"/>
      <c r="X131" s="1"/>
      <c r="Y131" s="1"/>
    </row>
    <row r="132" spans="1:25" s="2" customFormat="1" x14ac:dyDescent="0.25">
      <c r="A132" s="15" t="s">
        <v>35</v>
      </c>
      <c r="B132" s="2" t="s">
        <v>23</v>
      </c>
      <c r="C132" s="2" t="s">
        <v>12</v>
      </c>
      <c r="D132" s="21">
        <v>18.051282</v>
      </c>
      <c r="E132" s="21">
        <v>2300</v>
      </c>
      <c r="F132" s="21">
        <v>3300</v>
      </c>
      <c r="G132" s="21">
        <f t="shared" si="120"/>
        <v>2.2999999999999998</v>
      </c>
      <c r="H132" s="21">
        <f t="shared" si="121"/>
        <v>3.3</v>
      </c>
      <c r="I132" s="3">
        <f t="shared" si="122"/>
        <v>89.228677586730711</v>
      </c>
      <c r="J132" s="3">
        <f t="shared" si="119"/>
        <v>270.29486517128805</v>
      </c>
      <c r="K132" s="3"/>
      <c r="L132" s="3">
        <f t="shared" si="123"/>
        <v>1610.6920216051556</v>
      </c>
      <c r="M132" s="3">
        <f>J132*$D132</f>
        <v>4879.1688343588994</v>
      </c>
      <c r="N132" s="7"/>
      <c r="O132" s="7"/>
      <c r="P132" s="3" t="s">
        <v>53</v>
      </c>
      <c r="Q132" s="10">
        <f t="shared" ref="Q132:Q187" si="125">(14*(I132*10^6)^-0.25)*EXP(0.0693*(-1.17-20))*(M132*10^6)</f>
        <v>162069982.42927557</v>
      </c>
      <c r="R132" s="10">
        <f t="shared" ref="R132:R187" si="126">(14*(J132*10^6)^-0.25)*EXP(0.0693*(-1.17-20))*(L132*10^6)</f>
        <v>40554206.801993616</v>
      </c>
      <c r="S132" s="3"/>
      <c r="T132" s="3"/>
      <c r="U132" s="3"/>
      <c r="V132" s="1"/>
      <c r="W132" s="1"/>
      <c r="X132" s="1"/>
      <c r="Y132" s="1"/>
    </row>
    <row r="133" spans="1:25" s="2" customFormat="1" x14ac:dyDescent="0.25">
      <c r="A133" s="15" t="s">
        <v>35</v>
      </c>
      <c r="B133" s="2" t="s">
        <v>23</v>
      </c>
      <c r="C133" s="2" t="s">
        <v>13</v>
      </c>
      <c r="D133" s="21">
        <v>70.400000000000006</v>
      </c>
      <c r="E133" s="21">
        <v>3375</v>
      </c>
      <c r="F133" s="21">
        <v>3800</v>
      </c>
      <c r="G133" s="21">
        <f t="shared" si="120"/>
        <v>3.375</v>
      </c>
      <c r="H133" s="21">
        <f t="shared" si="121"/>
        <v>3.8</v>
      </c>
      <c r="I133" s="3">
        <f t="shared" si="122"/>
        <v>289.60129256866611</v>
      </c>
      <c r="J133" s="3">
        <f t="shared" si="119"/>
        <v>416.807611897897</v>
      </c>
      <c r="K133" s="3"/>
      <c r="L133" s="3">
        <f t="shared" si="123"/>
        <v>20387.930996834097</v>
      </c>
      <c r="M133" s="3">
        <f t="shared" si="124"/>
        <v>29343.255877611951</v>
      </c>
      <c r="N133" s="7"/>
      <c r="O133" s="7"/>
      <c r="P133" s="3" t="s">
        <v>53</v>
      </c>
      <c r="Q133" s="12">
        <f t="shared" si="125"/>
        <v>726174559.00424969</v>
      </c>
      <c r="R133" s="12">
        <f t="shared" si="126"/>
        <v>460651084.03907144</v>
      </c>
      <c r="S133" s="3"/>
      <c r="T133" s="3"/>
      <c r="U133" s="3"/>
      <c r="V133" s="1"/>
      <c r="W133" s="1"/>
      <c r="X133" s="1"/>
      <c r="Y133" s="1"/>
    </row>
    <row r="134" spans="1:25" s="2" customFormat="1" x14ac:dyDescent="0.25">
      <c r="A134" s="15" t="s">
        <v>35</v>
      </c>
      <c r="B134" s="2" t="s">
        <v>23</v>
      </c>
      <c r="C134" s="2" t="s">
        <v>14</v>
      </c>
      <c r="D134" s="21">
        <f>SUM(40.369231,5.579487)</f>
        <v>45.948718</v>
      </c>
      <c r="E134" s="21">
        <v>3375</v>
      </c>
      <c r="F134" s="21">
        <v>3700</v>
      </c>
      <c r="G134" s="21">
        <f t="shared" si="120"/>
        <v>3.375</v>
      </c>
      <c r="H134" s="21">
        <f t="shared" si="121"/>
        <v>3.7</v>
      </c>
      <c r="I134" s="3">
        <f t="shared" si="122"/>
        <v>289.60129256866611</v>
      </c>
      <c r="J134" s="3">
        <f t="shared" si="119"/>
        <v>384.04250418385305</v>
      </c>
      <c r="K134" s="3"/>
      <c r="L134" s="3">
        <f t="shared" si="123"/>
        <v>13306.808124673134</v>
      </c>
      <c r="M134" s="3">
        <f t="shared" si="124"/>
        <v>17646.260724757685</v>
      </c>
      <c r="N134" s="7"/>
      <c r="O134" s="7"/>
      <c r="P134" s="3" t="s">
        <v>53</v>
      </c>
      <c r="Q134" s="10">
        <f t="shared" si="125"/>
        <v>436702240.99609333</v>
      </c>
      <c r="R134" s="10">
        <f t="shared" si="126"/>
        <v>306875293.15096503</v>
      </c>
      <c r="S134" s="3"/>
      <c r="T134" s="3"/>
      <c r="U134" s="3"/>
      <c r="V134" s="1"/>
      <c r="W134" s="1"/>
      <c r="X134" s="1"/>
      <c r="Y134" s="1"/>
    </row>
    <row r="135" spans="1:25" s="9" customFormat="1" x14ac:dyDescent="0.25">
      <c r="A135" s="14" t="s">
        <v>35</v>
      </c>
      <c r="B135" s="9" t="s">
        <v>23</v>
      </c>
      <c r="C135" s="9" t="s">
        <v>15</v>
      </c>
      <c r="D135" s="19">
        <f>SUM(159.835897,
122.051282)</f>
        <v>281.887179</v>
      </c>
      <c r="E135" s="19"/>
      <c r="F135" s="19"/>
      <c r="G135" s="19"/>
      <c r="H135" s="19"/>
      <c r="I135" s="10"/>
      <c r="J135" s="10"/>
      <c r="K135" s="10"/>
      <c r="L135" s="10"/>
      <c r="M135" s="10"/>
      <c r="N135" s="7"/>
      <c r="O135" s="7"/>
      <c r="P135" s="10"/>
      <c r="Q135" s="12" t="e">
        <f t="shared" si="125"/>
        <v>#DIV/0!</v>
      </c>
      <c r="R135" s="12" t="e">
        <f t="shared" si="126"/>
        <v>#DIV/0!</v>
      </c>
      <c r="S135" s="10">
        <f>SUM(Q129:Q134)</f>
        <v>1454824162.8849993</v>
      </c>
      <c r="T135" s="10">
        <f>SUM(R129:R134)</f>
        <v>848130781.28734827</v>
      </c>
      <c r="U135" s="10"/>
      <c r="V135" s="11"/>
      <c r="W135" s="11"/>
      <c r="X135" s="11"/>
      <c r="Y135" s="11"/>
    </row>
    <row r="136" spans="1:25" s="11" customFormat="1" x14ac:dyDescent="0.25">
      <c r="A136" s="17" t="s">
        <v>35</v>
      </c>
      <c r="B136" s="11" t="s">
        <v>24</v>
      </c>
      <c r="C136" s="11" t="s">
        <v>4</v>
      </c>
      <c r="D136" s="61">
        <v>308.57</v>
      </c>
      <c r="E136" s="20">
        <v>5</v>
      </c>
      <c r="F136" s="20">
        <v>13</v>
      </c>
      <c r="G136" s="20">
        <f>E136</f>
        <v>5</v>
      </c>
      <c r="H136" s="20">
        <f>F136</f>
        <v>13</v>
      </c>
      <c r="I136" s="12">
        <f>0.4*((0.039*(E136)^3.5032)/0.9)*1000</f>
        <v>4869.8300822155998</v>
      </c>
      <c r="J136" s="12">
        <f>0.4*((0.039*(F136)^3.5032)/0.9)*1000</f>
        <v>138435.80826961316</v>
      </c>
      <c r="K136" s="12" t="s">
        <v>43</v>
      </c>
      <c r="L136" s="12">
        <f>I136*$D136</f>
        <v>1502683.4684692675</v>
      </c>
      <c r="M136" s="12">
        <f>J136*$D136</f>
        <v>42717137.357754529</v>
      </c>
      <c r="N136" s="8">
        <f>L136</f>
        <v>1502683.4684692675</v>
      </c>
      <c r="O136" s="8">
        <f>M136</f>
        <v>42717137.357754529</v>
      </c>
      <c r="P136" s="12" t="s">
        <v>53</v>
      </c>
      <c r="Q136" s="10">
        <f t="shared" si="125"/>
        <v>522043318937.13635</v>
      </c>
      <c r="R136" s="10">
        <f t="shared" si="126"/>
        <v>7953133111.738843</v>
      </c>
      <c r="S136" s="12">
        <f>Q136</f>
        <v>522043318937.13635</v>
      </c>
      <c r="T136" s="12">
        <f>R136</f>
        <v>7953133111.738843</v>
      </c>
      <c r="U136" s="12"/>
    </row>
    <row r="137" spans="1:25" s="2" customFormat="1" x14ac:dyDescent="0.25">
      <c r="A137" s="15" t="s">
        <v>35</v>
      </c>
      <c r="B137" s="2" t="s">
        <v>25</v>
      </c>
      <c r="C137" s="2" t="s">
        <v>18</v>
      </c>
      <c r="D137" s="21">
        <f>SUM(2.461538,
369.230769)</f>
        <v>371.69230700000003</v>
      </c>
      <c r="E137" s="21">
        <v>550</v>
      </c>
      <c r="F137" s="21">
        <v>810</v>
      </c>
      <c r="G137" s="21">
        <f>E137/1000</f>
        <v>0.55000000000000004</v>
      </c>
      <c r="H137" s="21">
        <f>F137/1000</f>
        <v>0.81</v>
      </c>
      <c r="I137" s="3">
        <f>7.498*(E137*10^-3)^3.225</f>
        <v>1.0904734839613437</v>
      </c>
      <c r="J137" s="3">
        <f>7.498*(F137*10^-3)^3.225</f>
        <v>3.8002277240591043</v>
      </c>
      <c r="K137" s="3" t="s">
        <v>41</v>
      </c>
      <c r="L137" s="3">
        <f>I137*$D137</f>
        <v>405.32060497591937</v>
      </c>
      <c r="M137" s="3">
        <f>J137*$D137</f>
        <v>1412.515409880888</v>
      </c>
      <c r="P137" s="3" t="s">
        <v>53</v>
      </c>
      <c r="Q137" s="12">
        <f t="shared" si="125"/>
        <v>141114704.2549445</v>
      </c>
      <c r="R137" s="12">
        <f t="shared" si="126"/>
        <v>29636651.248089422</v>
      </c>
      <c r="S137" s="3"/>
      <c r="T137" s="3"/>
      <c r="U137" s="3"/>
      <c r="V137" s="1"/>
      <c r="W137" s="1"/>
      <c r="X137" s="1"/>
      <c r="Y137" s="1"/>
    </row>
    <row r="138" spans="1:25" s="2" customFormat="1" x14ac:dyDescent="0.25">
      <c r="A138" s="15" t="s">
        <v>35</v>
      </c>
      <c r="B138" s="2" t="s">
        <v>25</v>
      </c>
      <c r="C138" s="2" t="s">
        <v>9</v>
      </c>
      <c r="D138" s="21">
        <f>SUM(2.461538,
567.179487)</f>
        <v>569.64102500000001</v>
      </c>
      <c r="E138" s="21">
        <v>810</v>
      </c>
      <c r="F138" s="21">
        <v>960</v>
      </c>
      <c r="G138" s="21">
        <f t="shared" ref="G138:G143" si="127">E138/1000</f>
        <v>0.81</v>
      </c>
      <c r="H138" s="21">
        <f t="shared" ref="H138:H143" si="128">F138/1000</f>
        <v>0.96</v>
      </c>
      <c r="I138" s="3">
        <f t="shared" ref="I138:I143" si="129">7.498*(E138*10^-3)^3.225</f>
        <v>3.8002277240591043</v>
      </c>
      <c r="J138" s="3">
        <f t="shared" ref="J138:J143" si="130">7.498*(F138*10^-3)^3.225</f>
        <v>6.5730988370014938</v>
      </c>
      <c r="K138" s="3"/>
      <c r="L138" s="3">
        <f t="shared" ref="L138:L143" si="131">I138*$D138</f>
        <v>2164.7656159664452</v>
      </c>
      <c r="M138" s="3">
        <f t="shared" ref="M138:M143" si="132">J138*$D138</f>
        <v>3744.3067589358388</v>
      </c>
      <c r="N138" s="7"/>
      <c r="O138" s="7"/>
      <c r="P138" s="3" t="s">
        <v>53</v>
      </c>
      <c r="Q138" s="10">
        <f t="shared" si="125"/>
        <v>273780094.61679918</v>
      </c>
      <c r="R138" s="10">
        <f t="shared" si="126"/>
        <v>138022914.39037818</v>
      </c>
      <c r="S138" s="3"/>
      <c r="T138" s="3"/>
      <c r="U138" s="3"/>
      <c r="V138" s="1"/>
      <c r="W138" s="1"/>
      <c r="X138" s="1"/>
      <c r="Y138" s="1"/>
    </row>
    <row r="139" spans="1:25" s="2" customFormat="1" x14ac:dyDescent="0.25">
      <c r="A139" s="15" t="s">
        <v>35</v>
      </c>
      <c r="B139" s="2" t="s">
        <v>25</v>
      </c>
      <c r="C139" s="2" t="s">
        <v>10</v>
      </c>
      <c r="D139" s="21">
        <f>SUM(16.246154,
704.615385)</f>
        <v>720.86153899999999</v>
      </c>
      <c r="E139" s="21">
        <v>960</v>
      </c>
      <c r="F139" s="21">
        <v>1190</v>
      </c>
      <c r="G139" s="21">
        <f t="shared" si="127"/>
        <v>0.96</v>
      </c>
      <c r="H139" s="21">
        <f t="shared" si="128"/>
        <v>1.19</v>
      </c>
      <c r="I139" s="3">
        <f t="shared" si="129"/>
        <v>6.5730988370014938</v>
      </c>
      <c r="J139" s="3">
        <f t="shared" si="130"/>
        <v>13.13966783459518</v>
      </c>
      <c r="K139" s="3"/>
      <c r="L139" s="3">
        <f t="shared" si="131"/>
        <v>4738.294143640007</v>
      </c>
      <c r="M139" s="3">
        <f t="shared" si="132"/>
        <v>9471.8811771950786</v>
      </c>
      <c r="N139" s="7"/>
      <c r="O139" s="7"/>
      <c r="P139" s="3" t="s">
        <v>53</v>
      </c>
      <c r="Q139" s="12">
        <f t="shared" si="125"/>
        <v>603916024.53098786</v>
      </c>
      <c r="R139" s="12">
        <f t="shared" si="126"/>
        <v>254073150.91506672</v>
      </c>
      <c r="S139" s="3"/>
      <c r="T139" s="3"/>
      <c r="U139" s="3"/>
      <c r="V139" s="1"/>
      <c r="W139" s="1"/>
      <c r="X139" s="1"/>
      <c r="Y139" s="1"/>
    </row>
    <row r="140" spans="1:25" s="2" customFormat="1" x14ac:dyDescent="0.25">
      <c r="A140" s="15" t="s">
        <v>35</v>
      </c>
      <c r="B140" s="2" t="s">
        <v>25</v>
      </c>
      <c r="C140" s="2" t="s">
        <v>11</v>
      </c>
      <c r="D140" s="21">
        <f>SUM(120.013675,
1902.564103)</f>
        <v>2022.5777779999999</v>
      </c>
      <c r="E140" s="21">
        <v>1200</v>
      </c>
      <c r="F140" s="21">
        <v>1700</v>
      </c>
      <c r="G140" s="21">
        <f t="shared" si="127"/>
        <v>1.2</v>
      </c>
      <c r="H140" s="21">
        <f t="shared" si="128"/>
        <v>1.7</v>
      </c>
      <c r="I140" s="3">
        <f t="shared" si="129"/>
        <v>13.4991043523647</v>
      </c>
      <c r="J140" s="3">
        <f t="shared" si="130"/>
        <v>41.509089526501782</v>
      </c>
      <c r="K140" s="3"/>
      <c r="L140" s="3">
        <f t="shared" si="131"/>
        <v>27302.988485995924</v>
      </c>
      <c r="M140" s="3">
        <f t="shared" si="132"/>
        <v>83955.362061315042</v>
      </c>
      <c r="N140" s="7"/>
      <c r="O140" s="7"/>
      <c r="P140" s="3" t="s">
        <v>53</v>
      </c>
      <c r="Q140" s="10">
        <f t="shared" si="125"/>
        <v>4471518718.3763561</v>
      </c>
      <c r="R140" s="10">
        <f t="shared" si="126"/>
        <v>1098138801.0129859</v>
      </c>
      <c r="S140" s="3"/>
      <c r="T140" s="3"/>
      <c r="U140" s="3"/>
      <c r="V140" s="1"/>
      <c r="W140" s="1"/>
      <c r="X140" s="1"/>
      <c r="Y140" s="1"/>
    </row>
    <row r="141" spans="1:25" s="2" customFormat="1" x14ac:dyDescent="0.25">
      <c r="A141" s="15" t="s">
        <v>35</v>
      </c>
      <c r="B141" s="2" t="s">
        <v>25</v>
      </c>
      <c r="C141" s="2" t="s">
        <v>12</v>
      </c>
      <c r="D141" s="21">
        <f>SUM(829.976068,
429.74359)</f>
        <v>1259.719658</v>
      </c>
      <c r="E141" s="21">
        <v>1770</v>
      </c>
      <c r="F141" s="21">
        <v>2120</v>
      </c>
      <c r="G141" s="21">
        <f t="shared" si="127"/>
        <v>1.77</v>
      </c>
      <c r="H141" s="21">
        <f t="shared" si="128"/>
        <v>2.12</v>
      </c>
      <c r="I141" s="3">
        <f t="shared" si="129"/>
        <v>47.27801347584105</v>
      </c>
      <c r="J141" s="3">
        <f t="shared" si="130"/>
        <v>84.601602145198584</v>
      </c>
      <c r="K141" s="3"/>
      <c r="L141" s="3">
        <f t="shared" si="131"/>
        <v>59557.042966705878</v>
      </c>
      <c r="M141" s="3">
        <f t="shared" si="132"/>
        <v>106574.30132060162</v>
      </c>
      <c r="N141" s="7"/>
      <c r="O141" s="7"/>
      <c r="P141" s="3" t="s">
        <v>53</v>
      </c>
      <c r="Q141" s="12">
        <f t="shared" si="125"/>
        <v>4149258974.7083836</v>
      </c>
      <c r="R141" s="12">
        <f t="shared" si="126"/>
        <v>2004801288.0736184</v>
      </c>
      <c r="S141" s="3"/>
      <c r="T141" s="3"/>
      <c r="U141" s="3"/>
      <c r="V141" s="1"/>
      <c r="W141" s="1"/>
      <c r="X141" s="1"/>
      <c r="Y141" s="1"/>
    </row>
    <row r="142" spans="1:25" s="2" customFormat="1" x14ac:dyDescent="0.25">
      <c r="A142" s="15" t="s">
        <v>35</v>
      </c>
      <c r="B142" s="2" t="s">
        <v>25</v>
      </c>
      <c r="C142" s="2" t="s">
        <v>13</v>
      </c>
      <c r="D142" s="21">
        <f>SUM(3882.611966)</f>
        <v>3882.6119659999999</v>
      </c>
      <c r="E142" s="21">
        <v>2500</v>
      </c>
      <c r="F142" s="21">
        <v>3000</v>
      </c>
      <c r="G142" s="21">
        <f t="shared" si="127"/>
        <v>2.5</v>
      </c>
      <c r="H142" s="21">
        <f t="shared" si="128"/>
        <v>3</v>
      </c>
      <c r="I142" s="3">
        <f t="shared" si="129"/>
        <v>143.97993197907149</v>
      </c>
      <c r="J142" s="3">
        <f t="shared" si="130"/>
        <v>259.21580773964502</v>
      </c>
      <c r="K142" s="3"/>
      <c r="L142" s="3">
        <f t="shared" si="131"/>
        <v>559018.20676580898</v>
      </c>
      <c r="M142" s="3">
        <f t="shared" si="132"/>
        <v>1006434.3969063011</v>
      </c>
      <c r="N142" s="7"/>
      <c r="O142" s="7"/>
      <c r="P142" s="3" t="s">
        <v>53</v>
      </c>
      <c r="Q142" s="10">
        <f t="shared" si="125"/>
        <v>29661481102.867889</v>
      </c>
      <c r="R142" s="10">
        <f t="shared" si="126"/>
        <v>14223072865.848152</v>
      </c>
      <c r="S142" s="3"/>
      <c r="T142" s="3"/>
      <c r="U142" s="3"/>
      <c r="V142" s="1"/>
      <c r="W142" s="1"/>
      <c r="X142" s="1"/>
      <c r="Y142" s="1"/>
    </row>
    <row r="143" spans="1:25" s="2" customFormat="1" x14ac:dyDescent="0.25">
      <c r="A143" s="15" t="s">
        <v>35</v>
      </c>
      <c r="B143" s="2" t="s">
        <v>25</v>
      </c>
      <c r="C143" s="2" t="s">
        <v>14</v>
      </c>
      <c r="D143" s="21">
        <f>SUM(515.82906,
97.435897)</f>
        <v>613.26495699999998</v>
      </c>
      <c r="E143" s="21">
        <v>1960</v>
      </c>
      <c r="F143" s="21">
        <v>2400</v>
      </c>
      <c r="G143" s="21">
        <f t="shared" si="127"/>
        <v>1.96</v>
      </c>
      <c r="H143" s="21">
        <f t="shared" si="128"/>
        <v>2.4</v>
      </c>
      <c r="I143" s="3">
        <f t="shared" si="129"/>
        <v>65.685765602486825</v>
      </c>
      <c r="J143" s="3">
        <f t="shared" si="130"/>
        <v>126.2195683439836</v>
      </c>
      <c r="K143" s="3"/>
      <c r="L143" s="3">
        <f t="shared" si="131"/>
        <v>40282.778217721163</v>
      </c>
      <c r="M143" s="3">
        <f t="shared" si="132"/>
        <v>77406.038153031652</v>
      </c>
      <c r="N143" s="7"/>
      <c r="O143" s="7"/>
      <c r="P143" s="3" t="s">
        <v>53</v>
      </c>
      <c r="Q143" s="12">
        <f t="shared" si="125"/>
        <v>2775810894.8154306</v>
      </c>
      <c r="R143" s="12">
        <f t="shared" si="126"/>
        <v>1226932287.9492939</v>
      </c>
      <c r="S143" s="3"/>
      <c r="T143" s="3"/>
      <c r="U143" s="3"/>
      <c r="V143" s="1"/>
      <c r="W143" s="1"/>
      <c r="X143" s="1"/>
      <c r="Y143" s="1"/>
    </row>
    <row r="144" spans="1:25" s="9" customFormat="1" x14ac:dyDescent="0.25">
      <c r="A144" s="14" t="s">
        <v>35</v>
      </c>
      <c r="B144" s="2" t="s">
        <v>25</v>
      </c>
      <c r="C144" s="9" t="s">
        <v>15</v>
      </c>
      <c r="D144" s="19">
        <f>SUM(D137:D143)</f>
        <v>9440.3692300000002</v>
      </c>
      <c r="E144" s="19"/>
      <c r="F144" s="19"/>
      <c r="G144" s="19"/>
      <c r="H144" s="19"/>
      <c r="I144" s="10"/>
      <c r="J144" s="10"/>
      <c r="K144" s="10"/>
      <c r="L144" s="10"/>
      <c r="M144" s="10"/>
      <c r="N144" s="7">
        <f>SUM(L137:L143)</f>
        <v>693469.39680081431</v>
      </c>
      <c r="O144" s="7">
        <f>SUM(M137:M143)</f>
        <v>1288998.8017872612</v>
      </c>
      <c r="P144" s="10"/>
      <c r="Q144" s="10" t="e">
        <f t="shared" si="125"/>
        <v>#DIV/0!</v>
      </c>
      <c r="R144" s="10" t="e">
        <f t="shared" si="126"/>
        <v>#DIV/0!</v>
      </c>
      <c r="S144" s="10">
        <f>SUM(Q137:Q143)</f>
        <v>42076880514.170792</v>
      </c>
      <c r="T144" s="10">
        <f>SUM(R137:R143)</f>
        <v>18974677959.437584</v>
      </c>
      <c r="U144" s="10"/>
      <c r="V144" s="11"/>
      <c r="W144" s="11"/>
      <c r="X144" s="11"/>
      <c r="Y144" s="11"/>
    </row>
    <row r="145" spans="1:25" s="1" customFormat="1" x14ac:dyDescent="0.25">
      <c r="A145" s="16" t="s">
        <v>35</v>
      </c>
      <c r="B145" s="1" t="s">
        <v>26</v>
      </c>
      <c r="C145" s="1" t="s">
        <v>18</v>
      </c>
      <c r="D145" s="22">
        <f>20.512821</f>
        <v>20.512820999999999</v>
      </c>
      <c r="E145" s="22">
        <v>250</v>
      </c>
      <c r="F145" s="22">
        <v>250</v>
      </c>
      <c r="G145" s="22">
        <f>E145/1000</f>
        <v>0.25</v>
      </c>
      <c r="H145" s="22">
        <f>F145/1000</f>
        <v>0.25</v>
      </c>
      <c r="I145" s="5">
        <f>10^(3.07*LOG10(E145)-8.37)</f>
        <v>9.8101540367281956E-2</v>
      </c>
      <c r="J145" s="5">
        <f>10^(3.07*LOG10(F145)-8.37)</f>
        <v>9.8101540367281956E-2</v>
      </c>
      <c r="K145" s="5" t="s">
        <v>48</v>
      </c>
      <c r="L145" s="5">
        <f>I145*$D145</f>
        <v>2.0123393373783287</v>
      </c>
      <c r="M145" s="5">
        <f>J145*$D145</f>
        <v>2.0123393373783287</v>
      </c>
      <c r="P145" s="5" t="s">
        <v>53</v>
      </c>
      <c r="Q145" s="12">
        <f t="shared" si="125"/>
        <v>367083.7106658378</v>
      </c>
      <c r="R145" s="12">
        <f t="shared" si="126"/>
        <v>367083.7106658378</v>
      </c>
      <c r="S145" s="5"/>
      <c r="T145" s="5"/>
      <c r="U145" s="5"/>
    </row>
    <row r="146" spans="1:25" s="1" customFormat="1" x14ac:dyDescent="0.25">
      <c r="A146" s="16" t="s">
        <v>35</v>
      </c>
      <c r="B146" s="1" t="s">
        <v>26</v>
      </c>
      <c r="C146" s="1" t="s">
        <v>9</v>
      </c>
      <c r="D146" s="22">
        <f>SUM(24.615385,
275.897436)</f>
        <v>300.51282100000003</v>
      </c>
      <c r="E146" s="22">
        <f>AVERAGE(230,280)</f>
        <v>255</v>
      </c>
      <c r="F146" s="22">
        <f>AVERAGE(340,370)</f>
        <v>355</v>
      </c>
      <c r="G146" s="22">
        <f t="shared" ref="G146:G151" si="133">E146/1000</f>
        <v>0.255</v>
      </c>
      <c r="H146" s="22">
        <f t="shared" ref="H146:H151" si="134">F146/1000</f>
        <v>0.35499999999999998</v>
      </c>
      <c r="I146" s="5">
        <f t="shared" ref="I146:I150" si="135">10^(3.07*LOG10(E146)-8.37)</f>
        <v>0.10425054977210545</v>
      </c>
      <c r="J146" s="5">
        <f t="shared" ref="J146:J150" si="136">10^(3.07*LOG10(F146)-8.37)</f>
        <v>0.28787307302032633</v>
      </c>
      <c r="K146" s="5"/>
      <c r="L146" s="5">
        <f t="shared" ref="L146:L151" si="137">I146*$D146</f>
        <v>31.32862680281632</v>
      </c>
      <c r="M146" s="5">
        <f>J146*$D146</f>
        <v>86.509549263277265</v>
      </c>
      <c r="N146" s="8"/>
      <c r="O146" s="8"/>
      <c r="P146" s="5" t="s">
        <v>53</v>
      </c>
      <c r="Q146" s="10">
        <f t="shared" si="125"/>
        <v>15542730.389671937</v>
      </c>
      <c r="R146" s="10">
        <f t="shared" si="126"/>
        <v>4366404.3520744182</v>
      </c>
      <c r="S146" s="5"/>
      <c r="T146" s="5"/>
      <c r="U146" s="5"/>
    </row>
    <row r="147" spans="1:25" s="1" customFormat="1" x14ac:dyDescent="0.25">
      <c r="A147" s="16" t="s">
        <v>35</v>
      </c>
      <c r="B147" s="1" t="s">
        <v>26</v>
      </c>
      <c r="C147" s="1" t="s">
        <v>10</v>
      </c>
      <c r="D147" s="22">
        <f>SUM(112.62906,
4259.487179)</f>
        <v>4372.116239</v>
      </c>
      <c r="E147" s="22">
        <f>AVERAGE(310,410)</f>
        <v>360</v>
      </c>
      <c r="F147" s="22">
        <f>AVERAGE(340,470)</f>
        <v>405</v>
      </c>
      <c r="G147" s="22">
        <f t="shared" si="133"/>
        <v>0.36</v>
      </c>
      <c r="H147" s="22">
        <f t="shared" si="134"/>
        <v>0.40500000000000003</v>
      </c>
      <c r="I147" s="5">
        <f>10^(3.07*LOG10(E147)-8.37)</f>
        <v>0.30050290681026581</v>
      </c>
      <c r="J147" s="5">
        <f t="shared" si="136"/>
        <v>0.43140673536445334</v>
      </c>
      <c r="K147" s="5"/>
      <c r="L147" s="5">
        <f t="shared" si="137"/>
        <v>1313.8336387318668</v>
      </c>
      <c r="M147" s="5">
        <f t="shared" ref="M147:M151" si="138">J147*$D147</f>
        <v>1886.1603933009021</v>
      </c>
      <c r="N147" s="8"/>
      <c r="O147" s="8"/>
      <c r="P147" s="5" t="s">
        <v>53</v>
      </c>
      <c r="Q147" s="12">
        <f t="shared" si="125"/>
        <v>260075417.64558631</v>
      </c>
      <c r="R147" s="12">
        <f t="shared" si="126"/>
        <v>165501334.37778223</v>
      </c>
      <c r="S147" s="5"/>
      <c r="T147" s="5"/>
      <c r="U147" s="5"/>
    </row>
    <row r="148" spans="1:25" s="1" customFormat="1" x14ac:dyDescent="0.25">
      <c r="A148" s="16" t="s">
        <v>35</v>
      </c>
      <c r="B148" s="1" t="s">
        <v>26</v>
      </c>
      <c r="C148" s="1" t="s">
        <v>11</v>
      </c>
      <c r="D148" s="22">
        <f>SUM(138.502564,
10486.153846)</f>
        <v>10624.65641</v>
      </c>
      <c r="E148" s="22">
        <f>AVERAGE(450,340)</f>
        <v>395</v>
      </c>
      <c r="F148" s="22">
        <f>AVERAGE(520,420)</f>
        <v>470</v>
      </c>
      <c r="G148" s="22">
        <f t="shared" si="133"/>
        <v>0.39500000000000002</v>
      </c>
      <c r="H148" s="22">
        <f t="shared" si="134"/>
        <v>0.47</v>
      </c>
      <c r="I148" s="5">
        <f t="shared" si="135"/>
        <v>0.39953339306854257</v>
      </c>
      <c r="J148" s="5">
        <f t="shared" si="136"/>
        <v>0.68130319229582648</v>
      </c>
      <c r="K148" s="5"/>
      <c r="L148" s="5">
        <f t="shared" si="137"/>
        <v>4244.9050256747405</v>
      </c>
      <c r="M148" s="5">
        <f t="shared" si="138"/>
        <v>7238.6123291793156</v>
      </c>
      <c r="N148" s="8"/>
      <c r="O148" s="8"/>
      <c r="P148" s="5" t="s">
        <v>53</v>
      </c>
      <c r="Q148" s="10">
        <f t="shared" si="125"/>
        <v>929501083.10974932</v>
      </c>
      <c r="R148" s="10">
        <f t="shared" si="126"/>
        <v>476997084.78245997</v>
      </c>
      <c r="S148" s="5"/>
      <c r="T148" s="5"/>
      <c r="U148" s="5"/>
    </row>
    <row r="149" spans="1:25" s="1" customFormat="1" x14ac:dyDescent="0.25">
      <c r="A149" s="16" t="s">
        <v>35</v>
      </c>
      <c r="B149" s="1" t="s">
        <v>26</v>
      </c>
      <c r="C149" s="1" t="s">
        <v>12</v>
      </c>
      <c r="D149" s="22">
        <f>SUM(76.964103,
5761.025641)</f>
        <v>5837.9897440000004</v>
      </c>
      <c r="E149" s="22">
        <f>470</f>
        <v>470</v>
      </c>
      <c r="F149" s="22">
        <v>580</v>
      </c>
      <c r="G149" s="22">
        <f t="shared" si="133"/>
        <v>0.47</v>
      </c>
      <c r="H149" s="22">
        <f t="shared" si="134"/>
        <v>0.57999999999999996</v>
      </c>
      <c r="I149" s="5">
        <f t="shared" si="135"/>
        <v>0.68130319229582648</v>
      </c>
      <c r="J149" s="5">
        <f>10^(3.07*LOG10(F149)-8.37)</f>
        <v>1.2993433864335129</v>
      </c>
      <c r="K149" s="5"/>
      <c r="L149" s="5">
        <f t="shared" si="137"/>
        <v>3977.4410491774952</v>
      </c>
      <c r="M149" s="5">
        <f t="shared" si="138"/>
        <v>7585.5533639330779</v>
      </c>
      <c r="N149" s="8"/>
      <c r="O149" s="8"/>
      <c r="P149" s="5" t="s">
        <v>53</v>
      </c>
      <c r="Q149" s="12">
        <f t="shared" si="125"/>
        <v>852383461.86148727</v>
      </c>
      <c r="R149" s="12">
        <f t="shared" si="126"/>
        <v>380325652.80015349</v>
      </c>
      <c r="S149" s="5"/>
      <c r="T149" s="5"/>
      <c r="U149" s="5"/>
    </row>
    <row r="150" spans="1:25" s="1" customFormat="1" x14ac:dyDescent="0.25">
      <c r="A150" s="16" t="s">
        <v>35</v>
      </c>
      <c r="B150" s="1" t="s">
        <v>26</v>
      </c>
      <c r="C150" s="1" t="s">
        <v>13</v>
      </c>
      <c r="D150" s="22">
        <f>SUM(153.435897,
6732.307692)</f>
        <v>6885.7435890000006</v>
      </c>
      <c r="E150" s="22">
        <v>540</v>
      </c>
      <c r="F150" s="22">
        <v>630</v>
      </c>
      <c r="G150" s="22">
        <f t="shared" si="133"/>
        <v>0.54</v>
      </c>
      <c r="H150" s="22">
        <f t="shared" si="134"/>
        <v>0.63</v>
      </c>
      <c r="I150" s="5">
        <f t="shared" si="135"/>
        <v>1.043395219650612</v>
      </c>
      <c r="J150" s="5">
        <f t="shared" si="136"/>
        <v>1.6748483387596196</v>
      </c>
      <c r="K150" s="5"/>
      <c r="L150" s="5">
        <f t="shared" si="137"/>
        <v>7184.5519445024493</v>
      </c>
      <c r="M150" s="5">
        <f t="shared" si="138"/>
        <v>11532.576211161351</v>
      </c>
      <c r="N150" s="8"/>
      <c r="O150" s="8"/>
      <c r="P150" s="5" t="s">
        <v>53</v>
      </c>
      <c r="Q150" s="10">
        <f t="shared" si="125"/>
        <v>1164922344.1486981</v>
      </c>
      <c r="R150" s="10">
        <f t="shared" si="126"/>
        <v>644746020.48404348</v>
      </c>
      <c r="S150" s="5"/>
      <c r="T150" s="5"/>
      <c r="U150" s="5"/>
    </row>
    <row r="151" spans="1:25" s="1" customFormat="1" x14ac:dyDescent="0.25">
      <c r="A151" s="16" t="s">
        <v>35</v>
      </c>
      <c r="B151" s="1" t="s">
        <v>26</v>
      </c>
      <c r="C151" s="1" t="s">
        <v>14</v>
      </c>
      <c r="D151" s="22">
        <f>SUM(20.239316,
520)</f>
        <v>540.23931600000003</v>
      </c>
      <c r="E151" s="22">
        <v>500</v>
      </c>
      <c r="F151" s="22">
        <v>570</v>
      </c>
      <c r="G151" s="22">
        <f t="shared" si="133"/>
        <v>0.5</v>
      </c>
      <c r="H151" s="22">
        <f t="shared" si="134"/>
        <v>0.56999999999999995</v>
      </c>
      <c r="I151" s="5">
        <f>10^(3.07*LOG10(E151)-8.37)</f>
        <v>0.8238305889012606</v>
      </c>
      <c r="J151" s="5">
        <f>10^(3.07*LOG10(F151)-8.37)</f>
        <v>1.2317875405449858</v>
      </c>
      <c r="K151" s="5"/>
      <c r="L151" s="5">
        <f t="shared" si="137"/>
        <v>445.06567384789423</v>
      </c>
      <c r="M151" s="5">
        <f t="shared" si="138"/>
        <v>665.46005836134543</v>
      </c>
      <c r="N151" s="8"/>
      <c r="O151" s="8"/>
      <c r="P151" s="5" t="s">
        <v>53</v>
      </c>
      <c r="Q151" s="12">
        <f t="shared" si="125"/>
        <v>71309167.83002314</v>
      </c>
      <c r="R151" s="12">
        <f t="shared" si="126"/>
        <v>43129358.772783734</v>
      </c>
      <c r="S151" s="5"/>
      <c r="T151" s="5"/>
      <c r="U151" s="5"/>
    </row>
    <row r="152" spans="1:25" s="11" customFormat="1" x14ac:dyDescent="0.25">
      <c r="A152" s="17" t="s">
        <v>35</v>
      </c>
      <c r="B152" s="11" t="s">
        <v>26</v>
      </c>
      <c r="C152" s="11" t="s">
        <v>15</v>
      </c>
      <c r="D152" s="20">
        <f>SUM(D145:D151)</f>
        <v>28581.770939999999</v>
      </c>
      <c r="E152" s="20"/>
      <c r="F152" s="20"/>
      <c r="G152" s="20"/>
      <c r="H152" s="20"/>
      <c r="I152" s="12"/>
      <c r="J152" s="12"/>
      <c r="K152" s="12"/>
      <c r="L152" s="12"/>
      <c r="M152" s="12"/>
      <c r="N152" s="8">
        <f>SUM(L147:L151)</f>
        <v>17165.797331934446</v>
      </c>
      <c r="O152" s="8">
        <f>SUM(M147:M151)</f>
        <v>28908.362355935995</v>
      </c>
      <c r="P152" s="12"/>
      <c r="Q152" s="10" t="e">
        <f t="shared" si="125"/>
        <v>#DIV/0!</v>
      </c>
      <c r="R152" s="10" t="e">
        <f t="shared" si="126"/>
        <v>#DIV/0!</v>
      </c>
      <c r="S152" s="12">
        <f>SUM(Q145:Q151)</f>
        <v>3294101288.6958823</v>
      </c>
      <c r="T152" s="12">
        <f>SUM(R145:R151)</f>
        <v>1715432939.279963</v>
      </c>
      <c r="U152" s="12"/>
    </row>
    <row r="153" spans="1:25" s="2" customFormat="1" x14ac:dyDescent="0.25">
      <c r="A153" s="15" t="s">
        <v>35</v>
      </c>
      <c r="B153" s="2" t="s">
        <v>27</v>
      </c>
      <c r="C153" s="2" t="s">
        <v>18</v>
      </c>
      <c r="D153" s="21">
        <f>106.666667</f>
        <v>106.666667</v>
      </c>
      <c r="E153" s="21">
        <v>200</v>
      </c>
      <c r="F153" s="21">
        <v>240</v>
      </c>
      <c r="G153" s="21">
        <f>E153/1000</f>
        <v>0.2</v>
      </c>
      <c r="H153" s="21">
        <f>F153/1000</f>
        <v>0.24</v>
      </c>
      <c r="I153" s="3">
        <f>9.4676*10^-7*(E153*10^-3*1000)^2.16</f>
        <v>8.8402529453012677E-2</v>
      </c>
      <c r="J153" s="3">
        <f>9.4676*10^-7*(F153*10^-3*1000)^2.16</f>
        <v>0.13106785230452156</v>
      </c>
      <c r="K153" s="3" t="s">
        <v>44</v>
      </c>
      <c r="L153" s="3">
        <f>I153*$D153</f>
        <v>9.4296031711221957</v>
      </c>
      <c r="M153" s="3">
        <f>J153*$D153</f>
        <v>13.980570956171585</v>
      </c>
      <c r="P153" s="3" t="s">
        <v>53</v>
      </c>
      <c r="Q153" s="12">
        <f t="shared" si="125"/>
        <v>2617529.5184146715</v>
      </c>
      <c r="R153" s="12">
        <f t="shared" si="126"/>
        <v>1599934.5748430386</v>
      </c>
      <c r="S153" s="3"/>
      <c r="T153" s="3"/>
      <c r="U153" s="3"/>
      <c r="V153" s="1"/>
      <c r="W153" s="1"/>
      <c r="X153" s="1"/>
      <c r="Y153" s="1"/>
    </row>
    <row r="154" spans="1:25" s="2" customFormat="1" x14ac:dyDescent="0.25">
      <c r="A154" s="15" t="s">
        <v>35</v>
      </c>
      <c r="B154" s="2" t="s">
        <v>27</v>
      </c>
      <c r="C154" s="2" t="s">
        <v>9</v>
      </c>
      <c r="D154" s="21">
        <f>SUM(2.461538,
458.461538)</f>
        <v>460.92307600000004</v>
      </c>
      <c r="E154" s="21">
        <v>240</v>
      </c>
      <c r="F154" s="21">
        <v>280</v>
      </c>
      <c r="G154" s="21">
        <f t="shared" ref="G154:G159" si="139">E154/1000</f>
        <v>0.24</v>
      </c>
      <c r="H154" s="21">
        <f t="shared" ref="H154:H159" si="140">F154/1000</f>
        <v>0.28000000000000003</v>
      </c>
      <c r="I154" s="3">
        <f t="shared" ref="I154:I159" si="141">9.4676*10^-7*(E154*10^-3*1000)^2.16</f>
        <v>0.13106785230452156</v>
      </c>
      <c r="J154" s="3">
        <f t="shared" ref="J154:J156" si="142">9.4676*10^-7*(F154*10^-3*1000)^2.16</f>
        <v>0.18285264576036406</v>
      </c>
      <c r="K154" s="3"/>
      <c r="L154" s="3">
        <f t="shared" ref="L154:M159" si="143">I154*$D154</f>
        <v>60.412197648913768</v>
      </c>
      <c r="M154" s="3">
        <f>J154*$D154</f>
        <v>84.281003938605366</v>
      </c>
      <c r="N154" s="7"/>
      <c r="O154" s="7"/>
      <c r="P154" s="3" t="s">
        <v>53</v>
      </c>
      <c r="Q154" s="10">
        <f t="shared" si="125"/>
        <v>14300081.324398888</v>
      </c>
      <c r="R154" s="10">
        <f t="shared" si="126"/>
        <v>9431530.5386178587</v>
      </c>
      <c r="S154" s="3"/>
      <c r="T154" s="3"/>
      <c r="U154" s="3"/>
      <c r="V154" s="1"/>
      <c r="W154" s="1"/>
      <c r="X154" s="1"/>
      <c r="Y154" s="1"/>
    </row>
    <row r="155" spans="1:25" s="2" customFormat="1" x14ac:dyDescent="0.25">
      <c r="A155" s="15" t="s">
        <v>35</v>
      </c>
      <c r="B155" s="2" t="s">
        <v>27</v>
      </c>
      <c r="C155" s="2" t="s">
        <v>10</v>
      </c>
      <c r="D155" s="21">
        <f>SUM(2.461538,
395.897436)</f>
        <v>398.35897400000005</v>
      </c>
      <c r="E155" s="21">
        <v>280</v>
      </c>
      <c r="F155" s="21">
        <v>320</v>
      </c>
      <c r="G155" s="21">
        <f t="shared" si="139"/>
        <v>0.28000000000000003</v>
      </c>
      <c r="H155" s="21">
        <f t="shared" si="140"/>
        <v>0.32</v>
      </c>
      <c r="I155" s="3">
        <f t="shared" si="141"/>
        <v>0.18285264576036406</v>
      </c>
      <c r="J155" s="3">
        <f t="shared" si="142"/>
        <v>0.24398540846373284</v>
      </c>
      <c r="K155" s="3"/>
      <c r="L155" s="3">
        <f t="shared" si="143"/>
        <v>72.840992358284083</v>
      </c>
      <c r="M155" s="3">
        <f>J155*$D155</f>
        <v>97.193776986583543</v>
      </c>
      <c r="N155" s="7"/>
      <c r="O155" s="7"/>
      <c r="P155" s="3" t="s">
        <v>53</v>
      </c>
      <c r="Q155" s="12">
        <f t="shared" si="125"/>
        <v>15173857.457394758</v>
      </c>
      <c r="R155" s="12">
        <f t="shared" si="126"/>
        <v>10580781.430456748</v>
      </c>
      <c r="S155" s="3"/>
      <c r="T155" s="3"/>
      <c r="U155" s="3"/>
      <c r="V155" s="1"/>
      <c r="W155" s="1"/>
      <c r="X155" s="1"/>
      <c r="Y155" s="1"/>
    </row>
    <row r="156" spans="1:25" s="2" customFormat="1" x14ac:dyDescent="0.25">
      <c r="A156" s="15" t="s">
        <v>35</v>
      </c>
      <c r="B156" s="2" t="s">
        <v>27</v>
      </c>
      <c r="C156" s="2" t="s">
        <v>11</v>
      </c>
      <c r="D156" s="21">
        <f>SUM(27.623932,
1778.461538)</f>
        <v>1806.08547</v>
      </c>
      <c r="E156" s="21">
        <v>320</v>
      </c>
      <c r="F156" s="21">
        <v>360</v>
      </c>
      <c r="G156" s="21">
        <f t="shared" si="139"/>
        <v>0.32</v>
      </c>
      <c r="H156" s="21">
        <f t="shared" si="140"/>
        <v>0.36</v>
      </c>
      <c r="I156" s="3">
        <f t="shared" si="141"/>
        <v>0.24398540846373284</v>
      </c>
      <c r="J156" s="3">
        <f t="shared" si="142"/>
        <v>0.31466852373011789</v>
      </c>
      <c r="K156" s="3"/>
      <c r="L156" s="3">
        <f t="shared" si="143"/>
        <v>440.65850111836289</v>
      </c>
      <c r="M156" s="3">
        <f>J156*$D156</f>
        <v>568.31824857531615</v>
      </c>
      <c r="N156" s="7"/>
      <c r="O156" s="7"/>
      <c r="P156" s="3" t="s">
        <v>53</v>
      </c>
      <c r="Q156" s="10">
        <f t="shared" si="125"/>
        <v>82553119.835846543</v>
      </c>
      <c r="R156" s="10">
        <f t="shared" si="126"/>
        <v>60065027.479351617</v>
      </c>
      <c r="S156" s="3"/>
      <c r="T156" s="3"/>
      <c r="U156" s="3"/>
      <c r="V156" s="1"/>
      <c r="W156" s="1"/>
      <c r="X156" s="1"/>
      <c r="Y156" s="1"/>
    </row>
    <row r="157" spans="1:25" s="2" customFormat="1" x14ac:dyDescent="0.25">
      <c r="A157" s="15" t="s">
        <v>35</v>
      </c>
      <c r="B157" s="2" t="s">
        <v>27</v>
      </c>
      <c r="C157" s="2" t="s">
        <v>12</v>
      </c>
      <c r="D157" s="21">
        <f>SUM(155.842735,
6822.564103)</f>
        <v>6978.4068379999999</v>
      </c>
      <c r="E157" s="21">
        <v>400</v>
      </c>
      <c r="F157" s="21">
        <v>400</v>
      </c>
      <c r="G157" s="21">
        <f t="shared" si="139"/>
        <v>0.4</v>
      </c>
      <c r="H157" s="21">
        <f t="shared" si="140"/>
        <v>0.4</v>
      </c>
      <c r="I157" s="3">
        <f t="shared" si="141"/>
        <v>0.3950840365236063</v>
      </c>
      <c r="J157" s="3">
        <f>9.4676*10^-7*(F157*10^-3*1000)^2.16</f>
        <v>0.3950840365236063</v>
      </c>
      <c r="K157" s="3"/>
      <c r="L157" s="3">
        <f t="shared" si="143"/>
        <v>2757.0571420609758</v>
      </c>
      <c r="M157" s="3">
        <f t="shared" si="143"/>
        <v>2757.0571420609758</v>
      </c>
      <c r="N157" s="7"/>
      <c r="O157" s="7"/>
      <c r="P157" s="3" t="s">
        <v>53</v>
      </c>
      <c r="Q157" s="12">
        <f t="shared" si="125"/>
        <v>355022803.8505435</v>
      </c>
      <c r="R157" s="12">
        <f t="shared" si="126"/>
        <v>355022803.8505435</v>
      </c>
      <c r="S157" s="3"/>
      <c r="T157" s="3"/>
      <c r="U157" s="3"/>
      <c r="V157" s="1"/>
      <c r="W157" s="1"/>
      <c r="X157" s="1"/>
      <c r="Y157" s="1"/>
    </row>
    <row r="158" spans="1:25" s="2" customFormat="1" x14ac:dyDescent="0.25">
      <c r="A158" s="15" t="s">
        <v>35</v>
      </c>
      <c r="B158" s="2" t="s">
        <v>27</v>
      </c>
      <c r="C158" s="2" t="s">
        <v>13</v>
      </c>
      <c r="D158" s="21">
        <f>SUM(499.528205,
17543.589744)</f>
        <v>18043.117948999999</v>
      </c>
      <c r="E158" s="21">
        <v>420</v>
      </c>
      <c r="F158" s="21">
        <v>500</v>
      </c>
      <c r="G158" s="21">
        <f t="shared" si="139"/>
        <v>0.42</v>
      </c>
      <c r="H158" s="21">
        <f t="shared" si="140"/>
        <v>0.5</v>
      </c>
      <c r="I158" s="3">
        <f t="shared" si="141"/>
        <v>0.43899378138795536</v>
      </c>
      <c r="J158" s="3">
        <f t="shared" ref="J158:J159" si="144">9.4676*10^-7*(F158*10^-3*1000)^2.16</f>
        <v>0.63975709407633896</v>
      </c>
      <c r="K158" s="3"/>
      <c r="L158" s="3">
        <f t="shared" si="143"/>
        <v>7920.8165764603991</v>
      </c>
      <c r="M158" s="3">
        <f>J158*$D158</f>
        <v>11543.212707128872</v>
      </c>
      <c r="N158" s="7"/>
      <c r="O158" s="7"/>
      <c r="P158" s="3" t="s">
        <v>53</v>
      </c>
      <c r="Q158" s="10">
        <f t="shared" si="125"/>
        <v>1447754619.3227437</v>
      </c>
      <c r="R158" s="10">
        <f t="shared" si="126"/>
        <v>904167789.93187809</v>
      </c>
      <c r="S158" s="3"/>
      <c r="T158" s="3"/>
      <c r="U158" s="3"/>
      <c r="V158" s="1"/>
      <c r="W158" s="1"/>
      <c r="X158" s="1"/>
      <c r="Y158" s="1"/>
    </row>
    <row r="159" spans="1:25" s="2" customFormat="1" x14ac:dyDescent="0.25">
      <c r="A159" s="15" t="s">
        <v>35</v>
      </c>
      <c r="B159" s="2" t="s">
        <v>27</v>
      </c>
      <c r="C159" s="2" t="s">
        <v>14</v>
      </c>
      <c r="D159" s="21">
        <f>SUM(54.263248,
1571.282051)</f>
        <v>1625.5452989999999</v>
      </c>
      <c r="E159" s="21">
        <v>380</v>
      </c>
      <c r="F159" s="21">
        <v>420</v>
      </c>
      <c r="G159" s="21">
        <f t="shared" si="139"/>
        <v>0.38</v>
      </c>
      <c r="H159" s="21">
        <f t="shared" si="140"/>
        <v>0.42</v>
      </c>
      <c r="I159" s="3">
        <f t="shared" si="141"/>
        <v>0.35364902873926202</v>
      </c>
      <c r="J159" s="3">
        <f t="shared" si="144"/>
        <v>0.43899378138795536</v>
      </c>
      <c r="K159" s="3"/>
      <c r="L159" s="3">
        <f t="shared" si="143"/>
        <v>574.87251616302319</v>
      </c>
      <c r="M159" s="3">
        <f>J159*$D159</f>
        <v>713.60427762542452</v>
      </c>
      <c r="N159" s="7"/>
      <c r="O159" s="7"/>
      <c r="P159" s="3" t="s">
        <v>53</v>
      </c>
      <c r="Q159" s="12">
        <f t="shared" si="125"/>
        <v>94470710.180388451</v>
      </c>
      <c r="R159" s="12">
        <f t="shared" si="126"/>
        <v>72100754.08925873</v>
      </c>
      <c r="S159" s="3"/>
      <c r="T159" s="3"/>
      <c r="U159" s="3"/>
      <c r="V159" s="1"/>
      <c r="W159" s="1"/>
      <c r="X159" s="1"/>
      <c r="Y159" s="1"/>
    </row>
    <row r="160" spans="1:25" s="9" customFormat="1" x14ac:dyDescent="0.25">
      <c r="A160" s="14" t="s">
        <v>35</v>
      </c>
      <c r="B160" s="9" t="s">
        <v>27</v>
      </c>
      <c r="C160" s="9" t="s">
        <v>15</v>
      </c>
      <c r="D160" s="19">
        <f>SUM(D153:D159)</f>
        <v>29419.104273000001</v>
      </c>
      <c r="E160" s="19"/>
      <c r="F160" s="19"/>
      <c r="G160" s="19"/>
      <c r="H160" s="19"/>
      <c r="I160" s="10"/>
      <c r="J160" s="10"/>
      <c r="K160" s="10"/>
      <c r="L160" s="10"/>
      <c r="M160" s="10"/>
      <c r="N160" s="7">
        <f>SUM(L153:L159)</f>
        <v>11836.087528981081</v>
      </c>
      <c r="O160" s="7">
        <f>SUM(M153:M159)</f>
        <v>15777.647727271949</v>
      </c>
      <c r="P160" s="10"/>
      <c r="Q160" s="10" t="e">
        <f t="shared" si="125"/>
        <v>#DIV/0!</v>
      </c>
      <c r="R160" s="10" t="e">
        <f t="shared" si="126"/>
        <v>#DIV/0!</v>
      </c>
      <c r="S160" s="10">
        <f>SUM(Q153:Q159)</f>
        <v>2011892721.4897304</v>
      </c>
      <c r="T160" s="10">
        <f>SUM(R153:R159)</f>
        <v>1412968621.8949494</v>
      </c>
      <c r="U160" s="10"/>
      <c r="V160" s="11"/>
      <c r="W160" s="11"/>
      <c r="X160" s="11"/>
      <c r="Y160" s="11"/>
    </row>
    <row r="161" spans="1:25" s="11" customFormat="1" x14ac:dyDescent="0.25">
      <c r="A161" s="17" t="s">
        <v>35</v>
      </c>
      <c r="B161" s="11" t="s">
        <v>28</v>
      </c>
      <c r="C161" s="11" t="s">
        <v>13</v>
      </c>
      <c r="D161" s="20">
        <f>SUM(21.169231,
3217.435897)</f>
        <v>3238.6051279999997</v>
      </c>
      <c r="E161" s="20">
        <v>400</v>
      </c>
      <c r="F161" s="20">
        <v>540</v>
      </c>
      <c r="G161" s="22">
        <f t="shared" ref="G161" si="145">E161/1000</f>
        <v>0.4</v>
      </c>
      <c r="H161" s="22">
        <f t="shared" ref="H161" si="146">F161/1000</f>
        <v>0.54</v>
      </c>
      <c r="I161" s="12">
        <f>0.4*((10^((3.16*LOG10(E161))-8.18))/0.9)</f>
        <v>0.49014779640231004</v>
      </c>
      <c r="J161" s="12">
        <f>0.4*((10^((3.16*LOG10(F161))-8.18))/0.9)</f>
        <v>1.2652657815422117</v>
      </c>
      <c r="K161" s="12" t="s">
        <v>43</v>
      </c>
      <c r="L161" s="12">
        <f>I161*$D161</f>
        <v>1587.3951669064211</v>
      </c>
      <c r="M161" s="12">
        <f>J161*$D161</f>
        <v>4097.6962483855341</v>
      </c>
      <c r="N161" s="8">
        <f>L161</f>
        <v>1587.3951669064211</v>
      </c>
      <c r="O161" s="8">
        <f>M161</f>
        <v>4097.6962483855341</v>
      </c>
      <c r="P161" s="12" t="s">
        <v>53</v>
      </c>
      <c r="Q161" s="12">
        <f t="shared" si="125"/>
        <v>499966437.550798</v>
      </c>
      <c r="R161" s="12">
        <f t="shared" si="126"/>
        <v>152799687.42646</v>
      </c>
      <c r="S161" s="12">
        <f>Q161</f>
        <v>499966437.550798</v>
      </c>
      <c r="T161" s="12">
        <f>R161</f>
        <v>152799687.42646</v>
      </c>
      <c r="U161" s="12"/>
    </row>
    <row r="162" spans="1:25" s="2" customFormat="1" x14ac:dyDescent="0.25">
      <c r="A162" s="15" t="s">
        <v>35</v>
      </c>
      <c r="B162" s="2" t="s">
        <v>29</v>
      </c>
      <c r="C162" s="2" t="s">
        <v>18</v>
      </c>
      <c r="D162" s="21">
        <f>SUM(4.923077,
219.487179)</f>
        <v>224.410256</v>
      </c>
      <c r="E162" s="21">
        <f>AVERAGE(1160,1000)</f>
        <v>1080</v>
      </c>
      <c r="F162" s="21">
        <f>AVERAGE(1160,1000)</f>
        <v>1080</v>
      </c>
      <c r="G162" s="21">
        <f>E162/1000</f>
        <v>1.08</v>
      </c>
      <c r="H162" s="21">
        <f>F162/1000</f>
        <v>1.08</v>
      </c>
      <c r="I162" s="3">
        <f>((0.0075*(E162*10^-3)^3.274)/0.9)*0.447*1000</f>
        <v>4.7924286142003751</v>
      </c>
      <c r="J162" s="3">
        <f>((0.0075*(F162*10^-3)^3.274)/0.9)*0.447*1000</f>
        <v>4.7924286142003751</v>
      </c>
      <c r="K162" s="3" t="s">
        <v>46</v>
      </c>
      <c r="L162" s="3">
        <f>I162*$D162</f>
        <v>1075.4701321744315</v>
      </c>
      <c r="M162" s="3">
        <f>J162*$D162</f>
        <v>1075.4701321744315</v>
      </c>
      <c r="P162" s="3" t="s">
        <v>51</v>
      </c>
      <c r="Q162" s="10">
        <f t="shared" si="125"/>
        <v>74206558.979112655</v>
      </c>
      <c r="R162" s="10">
        <f t="shared" si="126"/>
        <v>74206558.979112655</v>
      </c>
      <c r="S162" s="3"/>
      <c r="T162" s="3"/>
      <c r="U162" s="3"/>
      <c r="V162" s="1"/>
      <c r="W162" s="1"/>
      <c r="X162" s="1"/>
      <c r="Y162" s="1"/>
    </row>
    <row r="163" spans="1:25" s="2" customFormat="1" x14ac:dyDescent="0.25">
      <c r="A163" s="15" t="s">
        <v>35</v>
      </c>
      <c r="B163" s="2" t="s">
        <v>29</v>
      </c>
      <c r="C163" s="2" t="s">
        <v>9</v>
      </c>
      <c r="D163" s="21">
        <f>SUM(7.384615,
197.948718)</f>
        <v>205.33333300000001</v>
      </c>
      <c r="E163" s="21">
        <v>1500</v>
      </c>
      <c r="F163" s="21">
        <v>1500</v>
      </c>
      <c r="G163" s="21">
        <f t="shared" ref="G163:G166" si="147">E163/1000</f>
        <v>1.5</v>
      </c>
      <c r="H163" s="21">
        <f t="shared" ref="H163:H166" si="148">F163/1000</f>
        <v>1.5</v>
      </c>
      <c r="I163" s="3">
        <f t="shared" ref="I163:I166" si="149">((0.0075*(E163*10^-3)^3.274)/0.9)*0.447*1000</f>
        <v>14.049117968657727</v>
      </c>
      <c r="J163" s="3">
        <f t="shared" ref="J163:J166" si="150">((0.0075*(F163*10^-3)^3.274)/0.9)*0.447*1000</f>
        <v>14.049117968657727</v>
      </c>
      <c r="K163" s="3"/>
      <c r="L163" s="3">
        <f t="shared" ref="L163:L166" si="151">I163*$D163</f>
        <v>2884.7522182146809</v>
      </c>
      <c r="M163" s="3">
        <f t="shared" ref="M163:M166" si="152">J163*$D163</f>
        <v>2884.7522182146809</v>
      </c>
      <c r="N163" s="7"/>
      <c r="O163" s="7"/>
      <c r="P163" s="3" t="s">
        <v>51</v>
      </c>
      <c r="Q163" s="12">
        <f t="shared" si="125"/>
        <v>152117473.63322505</v>
      </c>
      <c r="R163" s="12">
        <f t="shared" si="126"/>
        <v>152117473.63322505</v>
      </c>
      <c r="S163" s="3"/>
      <c r="T163" s="3"/>
      <c r="U163" s="3"/>
      <c r="V163" s="1"/>
      <c r="W163" s="1"/>
      <c r="X163" s="1"/>
      <c r="Y163" s="1"/>
    </row>
    <row r="164" spans="1:25" s="2" customFormat="1" x14ac:dyDescent="0.25">
      <c r="A164" s="15" t="s">
        <v>35</v>
      </c>
      <c r="B164" s="2" t="s">
        <v>29</v>
      </c>
      <c r="C164" s="2" t="s">
        <v>10</v>
      </c>
      <c r="D164" s="21">
        <f>SUM(40.697436,
35.897436)</f>
        <v>76.594872000000009</v>
      </c>
      <c r="E164" s="21">
        <f>AVERAGE(2080,300)</f>
        <v>1190</v>
      </c>
      <c r="F164" s="21">
        <f>AVERAGE(2410,300)</f>
        <v>1355</v>
      </c>
      <c r="G164" s="21">
        <f t="shared" si="147"/>
        <v>1.19</v>
      </c>
      <c r="H164" s="21">
        <f t="shared" si="148"/>
        <v>1.355</v>
      </c>
      <c r="I164" s="3">
        <f t="shared" si="149"/>
        <v>6.5836544542729074</v>
      </c>
      <c r="J164" s="3">
        <f t="shared" si="150"/>
        <v>10.071531829787753</v>
      </c>
      <c r="K164" s="3"/>
      <c r="L164" s="3">
        <f t="shared" si="151"/>
        <v>504.27417021726325</v>
      </c>
      <c r="M164" s="3">
        <f t="shared" si="152"/>
        <v>771.42769134651883</v>
      </c>
      <c r="N164" s="7"/>
      <c r="O164" s="7"/>
      <c r="P164" s="3" t="s">
        <v>51</v>
      </c>
      <c r="Q164" s="10">
        <f t="shared" si="125"/>
        <v>49165597.343774423</v>
      </c>
      <c r="R164" s="10">
        <f t="shared" si="126"/>
        <v>28898526.14819013</v>
      </c>
      <c r="S164" s="3"/>
      <c r="T164" s="3"/>
      <c r="U164" s="3"/>
      <c r="V164" s="1"/>
      <c r="W164" s="1"/>
      <c r="X164" s="1"/>
      <c r="Y164" s="1"/>
    </row>
    <row r="165" spans="1:25" s="2" customFormat="1" x14ac:dyDescent="0.25">
      <c r="A165" s="15" t="s">
        <v>35</v>
      </c>
      <c r="B165" s="2" t="s">
        <v>29</v>
      </c>
      <c r="C165" s="2" t="s">
        <v>11</v>
      </c>
      <c r="D165" s="21">
        <f>9.846154</f>
        <v>9.8461540000000003</v>
      </c>
      <c r="E165" s="21">
        <f>AVERAGE(2960,4000)</f>
        <v>3480</v>
      </c>
      <c r="F165" s="21">
        <f>AVERAGE(3570,5400)</f>
        <v>4485</v>
      </c>
      <c r="G165" s="21">
        <f t="shared" si="147"/>
        <v>3.48</v>
      </c>
      <c r="H165" s="21">
        <f t="shared" si="148"/>
        <v>4.4850000000000003</v>
      </c>
      <c r="I165" s="3">
        <f t="shared" si="149"/>
        <v>220.93103228131193</v>
      </c>
      <c r="J165" s="3">
        <f t="shared" si="150"/>
        <v>506.98665722465563</v>
      </c>
      <c r="K165" s="3"/>
      <c r="L165" s="3">
        <f t="shared" si="151"/>
        <v>2175.3209672207686</v>
      </c>
      <c r="M165" s="3">
        <f t="shared" si="152"/>
        <v>4991.8687029791718</v>
      </c>
      <c r="N165" s="7"/>
      <c r="O165" s="7"/>
      <c r="P165" s="3" t="s">
        <v>51</v>
      </c>
      <c r="Q165" s="12">
        <f t="shared" si="125"/>
        <v>132184893.77442952</v>
      </c>
      <c r="R165" s="12">
        <f t="shared" si="126"/>
        <v>46801208.365315422</v>
      </c>
      <c r="S165" s="3"/>
      <c r="T165" s="3"/>
      <c r="U165" s="3"/>
      <c r="V165" s="1"/>
      <c r="W165" s="1"/>
      <c r="X165" s="1"/>
      <c r="Y165" s="1"/>
    </row>
    <row r="166" spans="1:25" s="2" customFormat="1" x14ac:dyDescent="0.25">
      <c r="A166" s="15" t="s">
        <v>35</v>
      </c>
      <c r="B166" s="2" t="s">
        <v>29</v>
      </c>
      <c r="C166" s="2" t="s">
        <v>12</v>
      </c>
      <c r="D166" s="21">
        <f>25.107692</f>
        <v>25.107692</v>
      </c>
      <c r="E166" s="21">
        <f>AVERAGE(4400,3000)</f>
        <v>3700</v>
      </c>
      <c r="F166" s="21">
        <f>AVERAGE(5640,3800)</f>
        <v>4720</v>
      </c>
      <c r="G166" s="21">
        <f t="shared" si="147"/>
        <v>3.7</v>
      </c>
      <c r="H166" s="21">
        <f t="shared" si="148"/>
        <v>4.72</v>
      </c>
      <c r="I166" s="3">
        <f t="shared" si="149"/>
        <v>270.03416914122573</v>
      </c>
      <c r="J166" s="3">
        <f t="shared" si="150"/>
        <v>599.25598557806939</v>
      </c>
      <c r="K166" s="3"/>
      <c r="L166" s="3">
        <f t="shared" si="151"/>
        <v>6779.9347482738003</v>
      </c>
      <c r="M166" s="3">
        <f t="shared" si="152"/>
        <v>15045.934715050607</v>
      </c>
      <c r="N166" s="7"/>
      <c r="O166" s="7"/>
      <c r="P166" s="3" t="s">
        <v>51</v>
      </c>
      <c r="Q166" s="10">
        <f t="shared" si="125"/>
        <v>378919840.23312825</v>
      </c>
      <c r="R166" s="10">
        <f t="shared" si="126"/>
        <v>139895991.88941053</v>
      </c>
      <c r="S166" s="3"/>
      <c r="T166" s="3"/>
      <c r="U166" s="3"/>
      <c r="V166" s="1"/>
      <c r="W166" s="1"/>
      <c r="X166" s="1"/>
      <c r="Y166" s="1"/>
    </row>
    <row r="167" spans="1:25" s="9" customFormat="1" x14ac:dyDescent="0.25">
      <c r="A167" s="14" t="s">
        <v>35</v>
      </c>
      <c r="B167" s="9" t="s">
        <v>29</v>
      </c>
      <c r="C167" s="9" t="s">
        <v>15</v>
      </c>
      <c r="D167" s="19">
        <f>SUM(D162:D166)</f>
        <v>541.29230700000005</v>
      </c>
      <c r="E167" s="19"/>
      <c r="F167" s="19"/>
      <c r="G167" s="19"/>
      <c r="H167" s="19"/>
      <c r="I167" s="10"/>
      <c r="J167" s="10"/>
      <c r="K167" s="10"/>
      <c r="L167" s="10"/>
      <c r="M167" s="10"/>
      <c r="N167" s="7">
        <f>SUM(L162:L166)</f>
        <v>13419.752236100943</v>
      </c>
      <c r="O167" s="7">
        <f>SUM(M164:M166)</f>
        <v>20809.231109376298</v>
      </c>
      <c r="P167" s="10"/>
      <c r="Q167" s="12" t="e">
        <f t="shared" si="125"/>
        <v>#DIV/0!</v>
      </c>
      <c r="R167" s="12" t="e">
        <f t="shared" si="126"/>
        <v>#DIV/0!</v>
      </c>
      <c r="S167" s="10">
        <f>SUM(Q162:Q166)</f>
        <v>786594363.9636699</v>
      </c>
      <c r="T167" s="10">
        <f>SUM(R162:R166)</f>
        <v>441919759.01525378</v>
      </c>
      <c r="U167" s="10"/>
      <c r="V167" s="11"/>
      <c r="W167" s="11"/>
      <c r="X167" s="11"/>
      <c r="Y167" s="11"/>
    </row>
    <row r="168" spans="1:25" s="1" customFormat="1" x14ac:dyDescent="0.25">
      <c r="A168" s="16" t="s">
        <v>35</v>
      </c>
      <c r="B168" s="1" t="s">
        <v>31</v>
      </c>
      <c r="C168" s="1" t="s">
        <v>18</v>
      </c>
      <c r="D168" s="22">
        <f>SUM(25.982906,
1216.410256)</f>
        <v>1242.3931619999998</v>
      </c>
      <c r="E168" s="22">
        <v>450</v>
      </c>
      <c r="F168" s="22">
        <v>450</v>
      </c>
      <c r="G168" s="22">
        <f>E168/1000</f>
        <v>0.45</v>
      </c>
      <c r="H168" s="22">
        <f>F168/1000</f>
        <v>0.45</v>
      </c>
      <c r="I168" s="5">
        <f>(10^(2.85*(LOG10(E168*10^-3*1000))-7.62))*0.447</f>
        <v>0.39080776789498056</v>
      </c>
      <c r="J168" s="5">
        <f>(10^(2.85*(LOG10(F168*10^-3*1000))-7.62))*0.447</f>
        <v>0.39080776789498056</v>
      </c>
      <c r="K168" s="5" t="s">
        <v>42</v>
      </c>
      <c r="L168" s="5">
        <f>I168*$D168</f>
        <v>485.53689848920692</v>
      </c>
      <c r="M168" s="5">
        <f>J168*$D168</f>
        <v>485.53689848920692</v>
      </c>
      <c r="P168" s="5" t="s">
        <v>53</v>
      </c>
      <c r="Q168" s="10">
        <f t="shared" si="125"/>
        <v>62692313.379888125</v>
      </c>
      <c r="R168" s="10">
        <f t="shared" si="126"/>
        <v>62692313.379888125</v>
      </c>
      <c r="S168" s="5"/>
      <c r="T168" s="5"/>
      <c r="U168" s="5"/>
    </row>
    <row r="169" spans="1:25" s="1" customFormat="1" x14ac:dyDescent="0.25">
      <c r="A169" s="16" t="s">
        <v>35</v>
      </c>
      <c r="B169" s="1" t="s">
        <v>31</v>
      </c>
      <c r="C169" s="1" t="s">
        <v>9</v>
      </c>
      <c r="D169" s="22">
        <f>SUM(55.904274,
956.923077)</f>
        <v>1012.827351</v>
      </c>
      <c r="E169" s="22">
        <v>600</v>
      </c>
      <c r="F169" s="22">
        <v>600</v>
      </c>
      <c r="G169" s="22">
        <f t="shared" ref="G169:G174" si="153">E169/1000</f>
        <v>0.6</v>
      </c>
      <c r="H169" s="22">
        <f t="shared" ref="H169:H174" si="154">F169/1000</f>
        <v>0.6</v>
      </c>
      <c r="I169" s="5">
        <f>(10^(2.85*(LOG10(E169*10^-3*1000))-7.62))*0.447</f>
        <v>0.88723483865811659</v>
      </c>
      <c r="J169" s="5">
        <f>(10^(2.85*(LOG10(F169*10^-3*1000))-7.62))*0.447</f>
        <v>0.88723483865811659</v>
      </c>
      <c r="K169" s="5"/>
      <c r="L169" s="5">
        <f>I169*$D169</f>
        <v>898.61571135301267</v>
      </c>
      <c r="M169" s="5">
        <f t="shared" ref="M169:M174" si="155">J169*$D169</f>
        <v>898.61571135301267</v>
      </c>
      <c r="N169" s="8"/>
      <c r="O169" s="8"/>
      <c r="P169" s="5" t="s">
        <v>53</v>
      </c>
      <c r="Q169" s="12">
        <f t="shared" si="125"/>
        <v>94525114.847125813</v>
      </c>
      <c r="R169" s="12">
        <f t="shared" si="126"/>
        <v>94525114.847125813</v>
      </c>
      <c r="S169" s="5"/>
      <c r="T169" s="5"/>
      <c r="U169" s="5"/>
    </row>
    <row r="170" spans="1:25" s="1" customFormat="1" x14ac:dyDescent="0.25">
      <c r="A170" s="16" t="s">
        <v>35</v>
      </c>
      <c r="B170" s="1" t="s">
        <v>31</v>
      </c>
      <c r="C170" s="1" t="s">
        <v>10</v>
      </c>
      <c r="D170" s="22">
        <f>SUM(16.62906,
1092.307692)</f>
        <v>1108.9367520000001</v>
      </c>
      <c r="E170" s="22">
        <f>AVERAGE(800,750,450)</f>
        <v>666.66666666666663</v>
      </c>
      <c r="F170" s="22">
        <f>AVERAGE(560,950,850)</f>
        <v>786.66666666666663</v>
      </c>
      <c r="G170" s="22">
        <f t="shared" si="153"/>
        <v>0.66666666666666663</v>
      </c>
      <c r="H170" s="22">
        <f t="shared" si="154"/>
        <v>0.78666666666666663</v>
      </c>
      <c r="I170" s="5">
        <f t="shared" ref="I170:I174" si="156">(10^(2.85*(LOG10(E170*10^-3*1000))-7.62))*0.447</f>
        <v>1.1979741166682267</v>
      </c>
      <c r="J170" s="5">
        <f t="shared" ref="J170:J173" si="157">(10^(2.85*(LOG10(F170*10^-3*1000))-7.62))*0.447</f>
        <v>1.9200438871492924</v>
      </c>
      <c r="K170" s="5"/>
      <c r="L170" s="5">
        <f t="shared" ref="L170:L174" si="158">I170*$D170</f>
        <v>1328.4775259181324</v>
      </c>
      <c r="M170" s="5">
        <f t="shared" si="155"/>
        <v>2129.207231912791</v>
      </c>
      <c r="N170" s="8"/>
      <c r="O170" s="8"/>
      <c r="P170" s="5" t="s">
        <v>53</v>
      </c>
      <c r="Q170" s="10">
        <f t="shared" si="125"/>
        <v>207772912.08282867</v>
      </c>
      <c r="R170" s="10">
        <f t="shared" si="126"/>
        <v>115215066.73945154</v>
      </c>
      <c r="S170" s="5"/>
      <c r="T170" s="5"/>
      <c r="U170" s="5"/>
    </row>
    <row r="171" spans="1:25" s="1" customFormat="1" x14ac:dyDescent="0.25">
      <c r="A171" s="16" t="s">
        <v>35</v>
      </c>
      <c r="B171" s="1" t="s">
        <v>31</v>
      </c>
      <c r="C171" s="1" t="s">
        <v>11</v>
      </c>
      <c r="D171" s="22">
        <f>SUM(23.247863,
156.923077)</f>
        <v>180.17094</v>
      </c>
      <c r="E171" s="22">
        <f>AVERAGE(950,850,560)</f>
        <v>786.66666666666663</v>
      </c>
      <c r="F171" s="22">
        <f>AVERAGE(1050,950,700)</f>
        <v>900</v>
      </c>
      <c r="G171" s="22">
        <f t="shared" si="153"/>
        <v>0.78666666666666663</v>
      </c>
      <c r="H171" s="22">
        <f t="shared" si="154"/>
        <v>0.9</v>
      </c>
      <c r="I171" s="5">
        <f t="shared" si="156"/>
        <v>1.9200438871492924</v>
      </c>
      <c r="J171" s="5">
        <f t="shared" si="157"/>
        <v>2.8177254528580589</v>
      </c>
      <c r="K171" s="5"/>
      <c r="L171" s="5">
        <f t="shared" si="158"/>
        <v>345.93611198894195</v>
      </c>
      <c r="M171" s="5">
        <f>J171*$D171</f>
        <v>507.67224350336215</v>
      </c>
      <c r="N171" s="8"/>
      <c r="O171" s="8"/>
      <c r="P171" s="5" t="s">
        <v>53</v>
      </c>
      <c r="Q171" s="12">
        <f t="shared" si="125"/>
        <v>44028965.69633916</v>
      </c>
      <c r="R171" s="12">
        <f t="shared" si="126"/>
        <v>27258633.730614483</v>
      </c>
      <c r="S171" s="5"/>
      <c r="T171" s="5"/>
      <c r="U171" s="5"/>
    </row>
    <row r="172" spans="1:25" s="1" customFormat="1" x14ac:dyDescent="0.25">
      <c r="A172" s="16" t="s">
        <v>35</v>
      </c>
      <c r="B172" s="1" t="s">
        <v>31</v>
      </c>
      <c r="C172" s="1" t="s">
        <v>12</v>
      </c>
      <c r="D172" s="22">
        <f>SUM(55.083761,
493.333333)</f>
        <v>548.41709400000002</v>
      </c>
      <c r="E172" s="22">
        <f>AVERAGE(650,1200,950)</f>
        <v>933.33333333333337</v>
      </c>
      <c r="F172" s="22">
        <f>AVERAGE(1300,1100,850)</f>
        <v>1083.3333333333333</v>
      </c>
      <c r="G172" s="22">
        <f t="shared" si="153"/>
        <v>0.93333333333333335</v>
      </c>
      <c r="H172" s="22">
        <f t="shared" si="154"/>
        <v>1.0833333333333333</v>
      </c>
      <c r="I172" s="5">
        <f t="shared" si="156"/>
        <v>3.1254484233881543</v>
      </c>
      <c r="J172" s="5">
        <f t="shared" si="157"/>
        <v>4.7794676451112066</v>
      </c>
      <c r="K172" s="5"/>
      <c r="L172" s="5">
        <f t="shared" si="158"/>
        <v>1714.0493418014132</v>
      </c>
      <c r="M172" s="5">
        <f t="shared" si="155"/>
        <v>2621.1417567989115</v>
      </c>
      <c r="N172" s="8"/>
      <c r="O172" s="8"/>
      <c r="P172" s="5" t="s">
        <v>53</v>
      </c>
      <c r="Q172" s="10">
        <f t="shared" si="125"/>
        <v>201254350.78970924</v>
      </c>
      <c r="R172" s="10">
        <f t="shared" si="126"/>
        <v>118348100.28194906</v>
      </c>
      <c r="S172" s="5"/>
      <c r="T172" s="5"/>
      <c r="U172" s="5"/>
    </row>
    <row r="173" spans="1:25" s="1" customFormat="1" x14ac:dyDescent="0.25">
      <c r="A173" s="16" t="s">
        <v>35</v>
      </c>
      <c r="B173" s="1" t="s">
        <v>31</v>
      </c>
      <c r="C173" s="1" t="s">
        <v>13</v>
      </c>
      <c r="D173" s="22">
        <f>SUM(67.938462,
1229.74359)</f>
        <v>1297.6820520000001</v>
      </c>
      <c r="E173" s="22">
        <f>AVERAGE(1150,1600,850)</f>
        <v>1200</v>
      </c>
      <c r="F173" s="22">
        <f>AVERAGE(1150,1600,850)</f>
        <v>1200</v>
      </c>
      <c r="G173" s="22">
        <f t="shared" si="153"/>
        <v>1.2</v>
      </c>
      <c r="H173" s="22">
        <f t="shared" si="154"/>
        <v>1.2</v>
      </c>
      <c r="I173" s="5">
        <f t="shared" si="156"/>
        <v>6.3969664702805833</v>
      </c>
      <c r="J173" s="5">
        <f t="shared" si="157"/>
        <v>6.3969664702805833</v>
      </c>
      <c r="K173" s="5"/>
      <c r="L173" s="5">
        <f t="shared" si="158"/>
        <v>8301.2285757289046</v>
      </c>
      <c r="M173" s="5">
        <f t="shared" si="155"/>
        <v>8301.2285757289046</v>
      </c>
      <c r="N173" s="8"/>
      <c r="O173" s="8"/>
      <c r="P173" s="5" t="s">
        <v>53</v>
      </c>
      <c r="Q173" s="12">
        <f t="shared" si="125"/>
        <v>532882804.96907991</v>
      </c>
      <c r="R173" s="12">
        <f t="shared" si="126"/>
        <v>532882804.96907991</v>
      </c>
      <c r="S173" s="5"/>
      <c r="T173" s="5"/>
      <c r="U173" s="5"/>
    </row>
    <row r="174" spans="1:25" s="1" customFormat="1" x14ac:dyDescent="0.25">
      <c r="A174" s="16" t="s">
        <v>35</v>
      </c>
      <c r="B174" s="1" t="s">
        <v>31</v>
      </c>
      <c r="C174" s="1" t="s">
        <v>14</v>
      </c>
      <c r="D174" s="22">
        <f>SUM(12.034188,
24.615385)</f>
        <v>36.649573000000004</v>
      </c>
      <c r="E174" s="22">
        <f>AVERAGE(800,1200,1000)</f>
        <v>1000</v>
      </c>
      <c r="F174" s="22">
        <f>AVERAGE(800,1200,1000)</f>
        <v>1000</v>
      </c>
      <c r="G174" s="22">
        <f t="shared" si="153"/>
        <v>1</v>
      </c>
      <c r="H174" s="22">
        <f t="shared" si="154"/>
        <v>1</v>
      </c>
      <c r="I174" s="5">
        <f t="shared" si="156"/>
        <v>3.8045870307646301</v>
      </c>
      <c r="J174" s="5">
        <f>(10^(2.85*(LOG10(F174*10^-3*1000))-7.62))*0.447</f>
        <v>3.8045870307646301</v>
      </c>
      <c r="K174" s="5"/>
      <c r="L174" s="5">
        <f t="shared" si="158"/>
        <v>139.43649011886157</v>
      </c>
      <c r="M174" s="5">
        <f t="shared" si="155"/>
        <v>139.43649011886157</v>
      </c>
      <c r="N174" s="8"/>
      <c r="O174" s="8"/>
      <c r="P174" s="5" t="s">
        <v>53</v>
      </c>
      <c r="Q174" s="10">
        <f t="shared" si="125"/>
        <v>10192539.761165701</v>
      </c>
      <c r="R174" s="10">
        <f t="shared" si="126"/>
        <v>10192539.761165701</v>
      </c>
      <c r="S174" s="5"/>
      <c r="T174" s="5"/>
      <c r="U174" s="5"/>
    </row>
    <row r="175" spans="1:25" s="11" customFormat="1" x14ac:dyDescent="0.25">
      <c r="A175" s="17" t="s">
        <v>35</v>
      </c>
      <c r="B175" s="11" t="s">
        <v>31</v>
      </c>
      <c r="C175" s="11" t="s">
        <v>15</v>
      </c>
      <c r="D175" s="20">
        <f>SUM(D168:D174)</f>
        <v>5427.076924</v>
      </c>
      <c r="E175" s="20"/>
      <c r="F175" s="20"/>
      <c r="G175" s="20"/>
      <c r="H175" s="20"/>
      <c r="I175" s="12"/>
      <c r="J175" s="12"/>
      <c r="K175" s="12"/>
      <c r="L175" s="12"/>
      <c r="M175" s="12"/>
      <c r="N175" s="8">
        <f>SUM(L168:L174)</f>
        <v>13213.280655398474</v>
      </c>
      <c r="O175" s="8">
        <f>SUM(M168:M174)</f>
        <v>15082.83890790505</v>
      </c>
      <c r="P175" s="12"/>
      <c r="Q175" s="12" t="e">
        <f t="shared" si="125"/>
        <v>#DIV/0!</v>
      </c>
      <c r="R175" s="12" t="e">
        <f t="shared" si="126"/>
        <v>#DIV/0!</v>
      </c>
      <c r="S175" s="12">
        <f>SUM(Q168:Q174)</f>
        <v>1153349001.5261364</v>
      </c>
      <c r="T175" s="12">
        <f>SUM(R168:R174)</f>
        <v>961114573.70927465</v>
      </c>
      <c r="U175" s="12"/>
    </row>
    <row r="176" spans="1:25" s="2" customFormat="1" x14ac:dyDescent="0.25">
      <c r="A176" s="15" t="s">
        <v>35</v>
      </c>
      <c r="B176" s="2" t="s">
        <v>32</v>
      </c>
      <c r="C176" s="2" t="s">
        <v>18</v>
      </c>
      <c r="D176" s="21">
        <f>SUM(2.461538,
46.153846)</f>
        <v>48.615383999999999</v>
      </c>
      <c r="E176" s="21">
        <v>500</v>
      </c>
      <c r="F176" s="21">
        <v>500</v>
      </c>
      <c r="G176" s="21">
        <f>E176/1000</f>
        <v>0.5</v>
      </c>
      <c r="H176" s="21">
        <f>F176/1000</f>
        <v>0.5</v>
      </c>
      <c r="I176" s="3">
        <f t="shared" ref="I176:J182" si="159">10^(3.07*LOG10(E176)-8.37)</f>
        <v>0.8238305889012606</v>
      </c>
      <c r="J176" s="3">
        <f t="shared" si="159"/>
        <v>0.8238305889012606</v>
      </c>
      <c r="K176" s="3" t="s">
        <v>48</v>
      </c>
      <c r="L176" s="3">
        <f>I176*$D176</f>
        <v>40.050840430380923</v>
      </c>
      <c r="M176" s="3">
        <f>J176*$D176</f>
        <v>40.050840430380923</v>
      </c>
      <c r="P176" s="3" t="s">
        <v>53</v>
      </c>
      <c r="Q176" s="10">
        <f t="shared" si="125"/>
        <v>4291755.8553645052</v>
      </c>
      <c r="R176" s="10">
        <f t="shared" si="126"/>
        <v>4291755.8553645052</v>
      </c>
      <c r="S176" s="3"/>
      <c r="T176" s="3"/>
      <c r="U176" s="3"/>
      <c r="V176" s="1"/>
      <c r="W176" s="1"/>
      <c r="X176" s="1"/>
      <c r="Y176" s="1"/>
    </row>
    <row r="177" spans="1:25" s="2" customFormat="1" x14ac:dyDescent="0.25">
      <c r="A177" s="15" t="s">
        <v>35</v>
      </c>
      <c r="B177" s="2" t="s">
        <v>32</v>
      </c>
      <c r="C177" s="2" t="s">
        <v>9</v>
      </c>
      <c r="D177" s="21">
        <f>SUM(11.979487,
782.564103)</f>
        <v>794.54358999999999</v>
      </c>
      <c r="E177" s="21">
        <v>620</v>
      </c>
      <c r="F177" s="21">
        <v>620</v>
      </c>
      <c r="G177" s="21">
        <f t="shared" ref="G177:G182" si="160">E177/1000</f>
        <v>0.62</v>
      </c>
      <c r="H177" s="21">
        <f t="shared" ref="H177:H182" si="161">F177/1000</f>
        <v>0.62</v>
      </c>
      <c r="I177" s="3">
        <f t="shared" si="159"/>
        <v>1.5945659526775366</v>
      </c>
      <c r="J177" s="3">
        <f t="shared" si="159"/>
        <v>1.5945659526775366</v>
      </c>
      <c r="K177" s="3"/>
      <c r="L177" s="3">
        <f>I177*$D177</f>
        <v>1266.95215653218</v>
      </c>
      <c r="M177" s="3">
        <f t="shared" ref="L177:M182" si="162">J177*$D177</f>
        <v>1266.95215653218</v>
      </c>
      <c r="N177" s="7"/>
      <c r="O177" s="7"/>
      <c r="P177" s="3" t="s">
        <v>53</v>
      </c>
      <c r="Q177" s="12">
        <f t="shared" si="125"/>
        <v>115101887.71048363</v>
      </c>
      <c r="R177" s="12">
        <f t="shared" si="126"/>
        <v>115101887.71048363</v>
      </c>
      <c r="S177" s="3"/>
      <c r="T177" s="3"/>
      <c r="U177" s="3"/>
      <c r="V177" s="1"/>
      <c r="W177" s="1"/>
      <c r="X177" s="1"/>
      <c r="Y177" s="1"/>
    </row>
    <row r="178" spans="1:25" s="2" customFormat="1" x14ac:dyDescent="0.25">
      <c r="A178" s="15" t="s">
        <v>35</v>
      </c>
      <c r="B178" s="2" t="s">
        <v>32</v>
      </c>
      <c r="C178" s="2" t="s">
        <v>10</v>
      </c>
      <c r="D178" s="21">
        <f>SUM(12.8,
951.794872)</f>
        <v>964.59487200000001</v>
      </c>
      <c r="E178" s="21">
        <v>800</v>
      </c>
      <c r="F178" s="21">
        <v>1000</v>
      </c>
      <c r="G178" s="21">
        <f t="shared" si="160"/>
        <v>0.8</v>
      </c>
      <c r="H178" s="21">
        <f t="shared" si="161"/>
        <v>1</v>
      </c>
      <c r="I178" s="3">
        <f t="shared" si="159"/>
        <v>3.4872755113851293</v>
      </c>
      <c r="J178" s="3">
        <f t="shared" si="159"/>
        <v>6.9183097091893631</v>
      </c>
      <c r="K178" s="3"/>
      <c r="L178" s="3">
        <f t="shared" si="162"/>
        <v>3363.8080755332735</v>
      </c>
      <c r="M178" s="3">
        <f t="shared" si="162"/>
        <v>6673.3660683918706</v>
      </c>
      <c r="N178" s="7"/>
      <c r="O178" s="7"/>
      <c r="P178" s="3" t="s">
        <v>53</v>
      </c>
      <c r="Q178" s="10">
        <f t="shared" si="125"/>
        <v>498547148.54983002</v>
      </c>
      <c r="R178" s="10">
        <f t="shared" si="126"/>
        <v>211745437.69871616</v>
      </c>
      <c r="S178" s="3"/>
      <c r="T178" s="3"/>
      <c r="U178" s="3"/>
      <c r="V178" s="1"/>
      <c r="W178" s="1"/>
      <c r="X178" s="1"/>
      <c r="Y178" s="1"/>
    </row>
    <row r="179" spans="1:25" s="2" customFormat="1" x14ac:dyDescent="0.25">
      <c r="A179" s="15" t="s">
        <v>35</v>
      </c>
      <c r="B179" s="2" t="s">
        <v>32</v>
      </c>
      <c r="C179" s="2" t="s">
        <v>11</v>
      </c>
      <c r="D179" s="21">
        <f>SUM(8.041026,
716.923077)</f>
        <v>724.96410300000002</v>
      </c>
      <c r="E179" s="21">
        <v>1000</v>
      </c>
      <c r="F179" s="21">
        <v>1200</v>
      </c>
      <c r="G179" s="21">
        <f t="shared" si="160"/>
        <v>1</v>
      </c>
      <c r="H179" s="21">
        <f t="shared" si="161"/>
        <v>1.2</v>
      </c>
      <c r="I179" s="3">
        <f t="shared" si="159"/>
        <v>6.9183097091893631</v>
      </c>
      <c r="J179" s="3">
        <f t="shared" si="159"/>
        <v>12.108390686820373</v>
      </c>
      <c r="K179" s="3"/>
      <c r="L179" s="3">
        <f t="shared" si="162"/>
        <v>5015.5261925986579</v>
      </c>
      <c r="M179" s="3">
        <f t="shared" si="162"/>
        <v>8778.148593044285</v>
      </c>
      <c r="N179" s="7"/>
      <c r="O179" s="7"/>
      <c r="P179" s="3" t="s">
        <v>53</v>
      </c>
      <c r="Q179" s="12">
        <f t="shared" si="125"/>
        <v>552568064.0159179</v>
      </c>
      <c r="R179" s="12">
        <f t="shared" si="126"/>
        <v>274490772.41127628</v>
      </c>
      <c r="S179" s="3"/>
      <c r="T179" s="3"/>
      <c r="U179" s="3"/>
      <c r="V179" s="1"/>
      <c r="W179" s="1"/>
      <c r="X179" s="1"/>
      <c r="Y179" s="1"/>
    </row>
    <row r="180" spans="1:25" s="2" customFormat="1" x14ac:dyDescent="0.25">
      <c r="A180" s="15" t="s">
        <v>35</v>
      </c>
      <c r="B180" s="2" t="s">
        <v>32</v>
      </c>
      <c r="C180" s="2" t="s">
        <v>12</v>
      </c>
      <c r="D180" s="21">
        <f>SUM(6.564103,
845.128205)</f>
        <v>851.69230800000003</v>
      </c>
      <c r="E180" s="21">
        <v>1280</v>
      </c>
      <c r="F180" s="21">
        <v>1700</v>
      </c>
      <c r="G180" s="21">
        <f t="shared" si="160"/>
        <v>1.28</v>
      </c>
      <c r="H180" s="21">
        <f t="shared" si="161"/>
        <v>1.7</v>
      </c>
      <c r="I180" s="3">
        <f t="shared" si="159"/>
        <v>14.76163990041395</v>
      </c>
      <c r="J180" s="3">
        <f t="shared" si="159"/>
        <v>35.275906972016827</v>
      </c>
      <c r="K180" s="3"/>
      <c r="L180" s="3">
        <f t="shared" si="162"/>
        <v>12572.375156648448</v>
      </c>
      <c r="M180" s="3">
        <f t="shared" si="162"/>
        <v>30044.218625790305</v>
      </c>
      <c r="N180" s="7"/>
      <c r="O180" s="7"/>
      <c r="P180" s="3" t="s">
        <v>53</v>
      </c>
      <c r="Q180" s="10">
        <f t="shared" si="125"/>
        <v>1564804602.2955868</v>
      </c>
      <c r="R180" s="10">
        <f t="shared" si="126"/>
        <v>526660367.07280135</v>
      </c>
      <c r="S180" s="3"/>
      <c r="T180" s="3"/>
      <c r="U180" s="3"/>
      <c r="V180" s="1"/>
      <c r="W180" s="1"/>
      <c r="X180" s="1"/>
      <c r="Y180" s="1"/>
    </row>
    <row r="181" spans="1:25" s="2" customFormat="1" x14ac:dyDescent="0.25">
      <c r="A181" s="15" t="s">
        <v>35</v>
      </c>
      <c r="B181" s="2" t="s">
        <v>32</v>
      </c>
      <c r="C181" s="2" t="s">
        <v>13</v>
      </c>
      <c r="D181" s="21">
        <f>SUM(12.307692,
1681.025641)</f>
        <v>1693.333333</v>
      </c>
      <c r="E181" s="21">
        <v>1600</v>
      </c>
      <c r="F181" s="21">
        <v>1800</v>
      </c>
      <c r="G181" s="21">
        <f t="shared" si="160"/>
        <v>1.6</v>
      </c>
      <c r="H181" s="21">
        <f t="shared" si="161"/>
        <v>1.8</v>
      </c>
      <c r="I181" s="3">
        <f t="shared" si="159"/>
        <v>29.285210277528982</v>
      </c>
      <c r="J181" s="3">
        <f t="shared" si="159"/>
        <v>42.042311984247227</v>
      </c>
      <c r="K181" s="3"/>
      <c r="L181" s="3">
        <f t="shared" si="162"/>
        <v>49589.62272685401</v>
      </c>
      <c r="M181" s="3">
        <f t="shared" si="162"/>
        <v>71191.648279311208</v>
      </c>
      <c r="N181" s="7"/>
      <c r="O181" s="7"/>
      <c r="P181" s="3" t="s">
        <v>53</v>
      </c>
      <c r="Q181" s="12">
        <f t="shared" si="125"/>
        <v>3124279033.3387551</v>
      </c>
      <c r="R181" s="12">
        <f t="shared" si="126"/>
        <v>1988163101.5612595</v>
      </c>
      <c r="S181" s="3"/>
      <c r="T181" s="3"/>
      <c r="U181" s="3"/>
      <c r="V181" s="1"/>
      <c r="W181" s="1"/>
      <c r="X181" s="1"/>
      <c r="Y181" s="1"/>
    </row>
    <row r="182" spans="1:25" s="2" customFormat="1" x14ac:dyDescent="0.25">
      <c r="A182" s="15" t="s">
        <v>35</v>
      </c>
      <c r="B182" s="2" t="s">
        <v>32</v>
      </c>
      <c r="C182" s="2" t="s">
        <v>14</v>
      </c>
      <c r="D182" s="21">
        <f>81.025641</f>
        <v>81.025640999999993</v>
      </c>
      <c r="E182" s="21">
        <v>1400</v>
      </c>
      <c r="F182" s="21">
        <v>1600</v>
      </c>
      <c r="G182" s="21">
        <f t="shared" si="160"/>
        <v>1.4</v>
      </c>
      <c r="H182" s="21">
        <f t="shared" si="161"/>
        <v>1.6</v>
      </c>
      <c r="I182" s="3">
        <f t="shared" si="159"/>
        <v>19.436276537345488</v>
      </c>
      <c r="J182" s="3">
        <f t="shared" si="159"/>
        <v>29.285210277528982</v>
      </c>
      <c r="K182" s="3"/>
      <c r="L182" s="3">
        <f t="shared" si="162"/>
        <v>1574.8367650916784</v>
      </c>
      <c r="M182" s="3">
        <f t="shared" si="162"/>
        <v>2372.8529345565735</v>
      </c>
      <c r="N182" s="7"/>
      <c r="O182" s="7"/>
      <c r="P182" s="3" t="s">
        <v>53</v>
      </c>
      <c r="Q182" s="10">
        <f t="shared" si="125"/>
        <v>115371996.38941173</v>
      </c>
      <c r="R182" s="10">
        <f t="shared" si="126"/>
        <v>69112453.567630276</v>
      </c>
      <c r="S182" s="3"/>
      <c r="T182" s="3"/>
      <c r="U182" s="3"/>
      <c r="V182" s="1"/>
      <c r="W182" s="1"/>
      <c r="X182" s="1"/>
      <c r="Y182" s="1"/>
    </row>
    <row r="183" spans="1:25" s="9" customFormat="1" x14ac:dyDescent="0.25">
      <c r="A183" s="14" t="s">
        <v>35</v>
      </c>
      <c r="B183" s="9" t="s">
        <v>32</v>
      </c>
      <c r="C183" s="9" t="s">
        <v>15</v>
      </c>
      <c r="D183" s="19">
        <f>SUM(D176:D181)</f>
        <v>5077.74359</v>
      </c>
      <c r="E183" s="19"/>
      <c r="F183" s="19"/>
      <c r="G183" s="19"/>
      <c r="H183" s="19"/>
      <c r="I183" s="10"/>
      <c r="J183" s="10"/>
      <c r="K183" s="10"/>
      <c r="L183" s="10"/>
      <c r="M183" s="10"/>
      <c r="N183" s="7">
        <f>SUM(L176:L182)</f>
        <v>73423.171913688624</v>
      </c>
      <c r="O183" s="7">
        <f>SUM(M178:M182)</f>
        <v>119060.23450109424</v>
      </c>
      <c r="P183" s="10"/>
      <c r="Q183" s="12" t="e">
        <f t="shared" si="125"/>
        <v>#DIV/0!</v>
      </c>
      <c r="R183" s="12" t="e">
        <f t="shared" si="126"/>
        <v>#DIV/0!</v>
      </c>
      <c r="S183" s="10">
        <f>SUM(Q176:Q182)</f>
        <v>5974964488.1553497</v>
      </c>
      <c r="T183" s="10">
        <f>SUM(R176:R182)</f>
        <v>3189565775.8775315</v>
      </c>
      <c r="U183" s="10"/>
      <c r="V183" s="11"/>
      <c r="W183" s="11"/>
      <c r="X183" s="11"/>
      <c r="Y183" s="11"/>
    </row>
    <row r="184" spans="1:25" s="11" customFormat="1" x14ac:dyDescent="0.25">
      <c r="A184" s="17" t="s">
        <v>35</v>
      </c>
      <c r="B184" s="11" t="s">
        <v>33</v>
      </c>
      <c r="C184" s="11" t="s">
        <v>4</v>
      </c>
      <c r="D184" s="20">
        <f>SUM(220.936752,
157.948718)</f>
        <v>378.88547000000005</v>
      </c>
      <c r="E184" s="20">
        <v>31</v>
      </c>
      <c r="F184" s="20">
        <v>31</v>
      </c>
      <c r="G184" s="20">
        <f>E184</f>
        <v>31</v>
      </c>
      <c r="H184" s="20">
        <f>F184</f>
        <v>31</v>
      </c>
      <c r="I184" s="12">
        <f>0.4*(0.0049*(E184)^2.957)</f>
        <v>50.374714760229551</v>
      </c>
      <c r="J184" s="12">
        <f>0.4*(0.0049*(F184)^2.957)</f>
        <v>50.374714760229551</v>
      </c>
      <c r="K184" s="12" t="s">
        <v>43</v>
      </c>
      <c r="L184" s="12">
        <f>I184*$D184</f>
        <v>19086.247478045512</v>
      </c>
      <c r="M184" s="12">
        <f>J184*$D184</f>
        <v>19086.247478045512</v>
      </c>
      <c r="N184" s="8">
        <f>L184</f>
        <v>19086.247478045512</v>
      </c>
      <c r="O184" s="8">
        <f>M184</f>
        <v>19086.247478045512</v>
      </c>
      <c r="P184" s="12" t="s">
        <v>51</v>
      </c>
      <c r="Q184" s="10">
        <f t="shared" si="125"/>
        <v>731392080.65671659</v>
      </c>
      <c r="R184" s="10">
        <f t="shared" si="126"/>
        <v>731392080.65671659</v>
      </c>
      <c r="S184" s="12">
        <f>Q184</f>
        <v>731392080.65671659</v>
      </c>
      <c r="T184" s="12">
        <f>R184</f>
        <v>731392080.65671659</v>
      </c>
      <c r="U184" s="12"/>
    </row>
    <row r="185" spans="1:25" s="2" customFormat="1" x14ac:dyDescent="0.25">
      <c r="A185" s="15" t="s">
        <v>35</v>
      </c>
      <c r="B185" s="2" t="s">
        <v>34</v>
      </c>
      <c r="C185" s="2" t="s">
        <v>12</v>
      </c>
      <c r="D185" s="21">
        <f>102.564103</f>
        <v>102.564103</v>
      </c>
      <c r="E185" s="21">
        <v>2300</v>
      </c>
      <c r="F185" s="21">
        <v>3300</v>
      </c>
      <c r="G185" s="21">
        <f>E185/1000</f>
        <v>2.2999999999999998</v>
      </c>
      <c r="H185" s="21">
        <f>F185/1000</f>
        <v>3.3</v>
      </c>
      <c r="I185" s="3">
        <f t="shared" ref="I185:I187" si="163">9.4676*10^-7*(E185*10^-3*1000)^2.16</f>
        <v>17.281125603941639</v>
      </c>
      <c r="J185" s="3">
        <f t="shared" ref="J185:J187" si="164">9.4676*10^-7*(F185*10^-3*1000)^2.16</f>
        <v>37.690336175684003</v>
      </c>
      <c r="K185" s="3" t="s">
        <v>44</v>
      </c>
      <c r="L185" s="3">
        <f t="shared" ref="L185:M187" si="165">I185*$D185</f>
        <v>1772.4231463986075</v>
      </c>
      <c r="M185" s="3">
        <f t="shared" si="165"/>
        <v>3865.6755216274801</v>
      </c>
      <c r="N185" s="7"/>
      <c r="O185" s="7"/>
      <c r="P185" s="3" t="s">
        <v>53</v>
      </c>
      <c r="Q185" s="12">
        <f t="shared" si="125"/>
        <v>193559835.09869322</v>
      </c>
      <c r="R185" s="12">
        <f t="shared" si="126"/>
        <v>73028564.346770898</v>
      </c>
      <c r="S185" s="3"/>
      <c r="T185" s="3"/>
      <c r="U185" s="3"/>
      <c r="V185" s="1"/>
      <c r="W185" s="1"/>
      <c r="X185" s="1"/>
      <c r="Y185" s="1"/>
    </row>
    <row r="186" spans="1:25" s="2" customFormat="1" x14ac:dyDescent="0.25">
      <c r="A186" s="15" t="s">
        <v>35</v>
      </c>
      <c r="B186" s="2" t="s">
        <v>34</v>
      </c>
      <c r="C186" s="2" t="s">
        <v>13</v>
      </c>
      <c r="D186" s="21">
        <f>SUM(81.28547,
7620.512821)</f>
        <v>7701.7982910000001</v>
      </c>
      <c r="E186" s="21">
        <v>400</v>
      </c>
      <c r="F186" s="21">
        <v>450</v>
      </c>
      <c r="G186" s="21">
        <f t="shared" ref="G186:G187" si="166">E186/1000</f>
        <v>0.4</v>
      </c>
      <c r="H186" s="21">
        <f t="shared" ref="H186:H187" si="167">F186/1000</f>
        <v>0.45</v>
      </c>
      <c r="I186" s="3">
        <f t="shared" si="163"/>
        <v>0.3950840365236063</v>
      </c>
      <c r="J186" s="3">
        <f t="shared" si="164"/>
        <v>0.50954076026517292</v>
      </c>
      <c r="K186" s="3"/>
      <c r="L186" s="3">
        <f t="shared" si="165"/>
        <v>3042.8575572988925</v>
      </c>
      <c r="M186" s="3">
        <f t="shared" si="165"/>
        <v>3924.3801566051498</v>
      </c>
      <c r="N186" s="7"/>
      <c r="O186" s="7"/>
      <c r="P186" s="3" t="s">
        <v>53</v>
      </c>
      <c r="Q186" s="10">
        <f t="shared" si="125"/>
        <v>505337530.12166691</v>
      </c>
      <c r="R186" s="10">
        <f t="shared" si="126"/>
        <v>367679776.28781939</v>
      </c>
      <c r="S186" s="3"/>
      <c r="T186" s="3"/>
      <c r="U186" s="3"/>
      <c r="V186" s="1"/>
      <c r="W186" s="1"/>
      <c r="X186" s="1"/>
      <c r="Y186" s="1"/>
    </row>
    <row r="187" spans="1:25" s="2" customFormat="1" x14ac:dyDescent="0.25">
      <c r="A187" s="15" t="s">
        <v>35</v>
      </c>
      <c r="B187" s="2" t="s">
        <v>34</v>
      </c>
      <c r="C187" s="2" t="s">
        <v>14</v>
      </c>
      <c r="D187" s="21">
        <f>143.589744</f>
        <v>143.589744</v>
      </c>
      <c r="E187" s="21">
        <v>292</v>
      </c>
      <c r="F187" s="21">
        <v>315</v>
      </c>
      <c r="G187" s="21">
        <f t="shared" si="166"/>
        <v>0.29199999999999998</v>
      </c>
      <c r="H187" s="21">
        <f t="shared" si="167"/>
        <v>0.315</v>
      </c>
      <c r="I187" s="3">
        <f t="shared" si="163"/>
        <v>0.20020128473370938</v>
      </c>
      <c r="J187" s="3">
        <f t="shared" si="164"/>
        <v>0.23582546375970134</v>
      </c>
      <c r="K187" s="3"/>
      <c r="L187" s="3">
        <f t="shared" si="165"/>
        <v>28.746851223384436</v>
      </c>
      <c r="M187" s="3">
        <f>J187*$D187</f>
        <v>33.86211796993679</v>
      </c>
      <c r="N187" s="7"/>
      <c r="O187" s="7"/>
      <c r="P187" s="3" t="s">
        <v>53</v>
      </c>
      <c r="Q187" s="12">
        <f t="shared" si="125"/>
        <v>5168092.2388001597</v>
      </c>
      <c r="R187" s="12">
        <f t="shared" si="126"/>
        <v>4211389.9840347841</v>
      </c>
      <c r="S187" s="3"/>
      <c r="T187" s="3"/>
      <c r="U187" s="3"/>
      <c r="V187" s="1"/>
      <c r="W187" s="1"/>
      <c r="X187" s="1"/>
      <c r="Y187" s="1"/>
    </row>
    <row r="188" spans="1:25" s="9" customFormat="1" x14ac:dyDescent="0.25">
      <c r="A188" s="14" t="s">
        <v>35</v>
      </c>
      <c r="B188" s="9" t="s">
        <v>34</v>
      </c>
      <c r="C188" s="9" t="s">
        <v>15</v>
      </c>
      <c r="D188" s="19">
        <f>SUM(D185:D187)</f>
        <v>7947.9521379999996</v>
      </c>
      <c r="E188" s="19"/>
      <c r="F188" s="19"/>
      <c r="G188" s="19"/>
      <c r="H188" s="19"/>
      <c r="I188" s="10"/>
      <c r="J188" s="10"/>
      <c r="K188" s="10"/>
      <c r="L188" s="10"/>
      <c r="M188" s="10"/>
      <c r="N188" s="7"/>
      <c r="O188" s="7"/>
      <c r="P188" s="10"/>
      <c r="Q188" s="10"/>
      <c r="R188" s="10"/>
      <c r="S188" s="10">
        <f>SUM(Q185:Q187)</f>
        <v>704065457.45916033</v>
      </c>
      <c r="T188" s="10">
        <f>SUM(R185:R187)</f>
        <v>444919730.61862504</v>
      </c>
      <c r="U188" s="10"/>
      <c r="V188" s="11"/>
      <c r="W188" s="11"/>
      <c r="X188" s="11"/>
      <c r="Y188" s="11"/>
    </row>
  </sheetData>
  <mergeCells count="1">
    <mergeCell ref="V3:V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89"/>
  <sheetViews>
    <sheetView workbookViewId="0">
      <pane xSplit="2" ySplit="1" topLeftCell="M80" activePane="bottomRight" state="frozen"/>
      <selection pane="topRight" activeCell="C1" sqref="C1"/>
      <selection pane="bottomLeft" activeCell="A2" sqref="A2"/>
      <selection pane="bottomRight" activeCell="U88" sqref="U88"/>
    </sheetView>
  </sheetViews>
  <sheetFormatPr defaultColWidth="11.25" defaultRowHeight="15.75" x14ac:dyDescent="0.25"/>
  <cols>
    <col min="2" max="2" width="24" customWidth="1"/>
    <col min="4" max="4" width="11.75" style="18" bestFit="1" customWidth="1"/>
    <col min="5" max="5" width="15.25" style="18" customWidth="1"/>
    <col min="6" max="6" width="10.75" style="18"/>
    <col min="7" max="7" width="22.25" style="4" customWidth="1"/>
    <col min="8" max="8" width="14.5" style="4" customWidth="1"/>
    <col min="9" max="9" width="22.25" style="4" customWidth="1"/>
    <col min="10" max="10" width="16.25" style="4" customWidth="1"/>
    <col min="11" max="11" width="21" style="4" customWidth="1"/>
    <col min="12" max="12" width="19.25" style="6" customWidth="1"/>
    <col min="13" max="13" width="26.75" style="6" customWidth="1"/>
    <col min="14" max="14" width="10.75" style="4"/>
    <col min="15" max="15" width="19.75" style="4" customWidth="1"/>
    <col min="16" max="16" width="23.75" style="5" customWidth="1"/>
    <col min="17" max="17" width="12.25" style="4" bestFit="1" customWidth="1"/>
    <col min="18" max="18" width="18.5" style="4" customWidth="1"/>
    <col min="19" max="19" width="18.5" style="5" customWidth="1"/>
    <col min="20" max="20" width="15.75" style="5" customWidth="1"/>
    <col min="21" max="21" width="14.25" style="5" customWidth="1"/>
    <col min="22" max="22" width="11.5" style="1" customWidth="1"/>
    <col min="23" max="26" width="10.75" style="1"/>
    <col min="27" max="27" width="21" style="1" customWidth="1"/>
    <col min="28" max="33" width="10.75" style="1"/>
  </cols>
  <sheetData>
    <row r="1" spans="1:33" ht="18" x14ac:dyDescent="0.25">
      <c r="A1" t="s">
        <v>5</v>
      </c>
      <c r="B1" t="s">
        <v>0</v>
      </c>
      <c r="C1" t="s">
        <v>1</v>
      </c>
      <c r="D1" s="18" t="s">
        <v>2</v>
      </c>
      <c r="E1" s="18" t="s">
        <v>45</v>
      </c>
      <c r="F1" s="18" t="s">
        <v>58</v>
      </c>
      <c r="G1" s="4" t="s">
        <v>36</v>
      </c>
      <c r="H1" s="4" t="s">
        <v>37</v>
      </c>
      <c r="I1" s="4" t="s">
        <v>40</v>
      </c>
      <c r="J1" s="4" t="s">
        <v>38</v>
      </c>
      <c r="K1" s="4" t="s">
        <v>39</v>
      </c>
      <c r="L1" s="6" t="s">
        <v>49</v>
      </c>
      <c r="N1" s="4" t="s">
        <v>50</v>
      </c>
      <c r="O1" s="4" t="s">
        <v>63</v>
      </c>
      <c r="P1" s="4" t="s">
        <v>62</v>
      </c>
      <c r="Q1" s="4" t="s">
        <v>64</v>
      </c>
      <c r="R1" s="4" t="s">
        <v>65</v>
      </c>
      <c r="T1" s="39"/>
      <c r="U1" s="40"/>
      <c r="V1" s="40" t="s">
        <v>72</v>
      </c>
      <c r="W1" s="41"/>
      <c r="X1" s="40" t="s">
        <v>73</v>
      </c>
      <c r="Y1" s="41"/>
      <c r="Z1" s="42"/>
      <c r="AA1" s="1" t="s">
        <v>70</v>
      </c>
      <c r="AB1" s="1" t="s">
        <v>66</v>
      </c>
      <c r="AE1" s="1" t="s">
        <v>56</v>
      </c>
    </row>
    <row r="2" spans="1:33" s="9" customFormat="1" x14ac:dyDescent="0.25">
      <c r="A2" s="9" t="s">
        <v>6</v>
      </c>
      <c r="B2" s="9" t="s">
        <v>3</v>
      </c>
      <c r="C2" s="9" t="s">
        <v>4</v>
      </c>
      <c r="D2" s="19">
        <f>163.65714+32.65306</f>
        <v>196.31020000000001</v>
      </c>
      <c r="E2" s="19">
        <v>10</v>
      </c>
      <c r="F2" s="19">
        <v>22</v>
      </c>
      <c r="G2" s="10">
        <f>0.17*(0.00194*(E2)^3.05)*1000</f>
        <v>370.04168622878763</v>
      </c>
      <c r="H2" s="10">
        <f>0.17*(0.00194*(F2)^3.05)*1000</f>
        <v>4098.640506337576</v>
      </c>
      <c r="I2" s="10" t="s">
        <v>43</v>
      </c>
      <c r="J2" s="10">
        <f>G2*D2</f>
        <v>72642.957431910545</v>
      </c>
      <c r="K2" s="10">
        <f>D2*H2</f>
        <v>804604.93752723082</v>
      </c>
      <c r="L2" s="7">
        <f>J2</f>
        <v>72642.957431910545</v>
      </c>
      <c r="M2" s="7">
        <f>K2</f>
        <v>804604.93752723082</v>
      </c>
      <c r="N2" s="10" t="s">
        <v>51</v>
      </c>
      <c r="O2" s="28">
        <f>(63*(G2*10^6)^-0.25)*(EXP(0.0693*(-1.17-20)))*(K2*10^6)</f>
        <v>84278228275.275269</v>
      </c>
      <c r="P2" s="28">
        <f t="shared" ref="P2:P65" si="0">(63*(H2*10^6)^-0.25)*(EXP(0.0693*(-1.17-20)))*(J2*10^6)</f>
        <v>4170891827.4494715</v>
      </c>
      <c r="Q2" s="10">
        <f>O2</f>
        <v>84278228275.275269</v>
      </c>
      <c r="R2" s="10">
        <f>P2</f>
        <v>4170891827.4494715</v>
      </c>
      <c r="S2" s="12"/>
      <c r="T2" s="43"/>
      <c r="U2" s="37"/>
      <c r="V2" s="17" t="s">
        <v>68</v>
      </c>
      <c r="W2" s="17" t="s">
        <v>67</v>
      </c>
      <c r="X2" s="17" t="s">
        <v>68</v>
      </c>
      <c r="Y2" s="17" t="s">
        <v>67</v>
      </c>
      <c r="Z2" s="44" t="s">
        <v>80</v>
      </c>
      <c r="AA2" s="12"/>
      <c r="AB2" s="11"/>
      <c r="AC2" s="11"/>
      <c r="AD2" s="11"/>
      <c r="AE2" s="11"/>
      <c r="AF2" s="11"/>
      <c r="AG2" s="11"/>
    </row>
    <row r="3" spans="1:33" s="11" customFormat="1" x14ac:dyDescent="0.25">
      <c r="A3" s="11" t="s">
        <v>6</v>
      </c>
      <c r="B3" s="11" t="s">
        <v>7</v>
      </c>
      <c r="C3" s="11" t="s">
        <v>4</v>
      </c>
      <c r="D3" s="20">
        <f>206.17143+156.734694</f>
        <v>362.90612399999998</v>
      </c>
      <c r="E3" s="20">
        <v>3</v>
      </c>
      <c r="F3" s="20">
        <v>3.5</v>
      </c>
      <c r="G3" s="12">
        <f>((0.0228*(E3)^2.3698)/0.9)*0.4*1000</f>
        <v>136.90971875758837</v>
      </c>
      <c r="H3" s="12">
        <f>((0.0228*(F3)^2.3698)/0.9)*0.4*1000</f>
        <v>197.28078183567442</v>
      </c>
      <c r="I3" s="12" t="s">
        <v>46</v>
      </c>
      <c r="J3" s="12">
        <f>G3*$D3</f>
        <v>49685.375372246483</v>
      </c>
      <c r="K3" s="12">
        <f>H3*$D3</f>
        <v>71594.403875674208</v>
      </c>
      <c r="L3" s="8">
        <f>J3</f>
        <v>49685.375372246483</v>
      </c>
      <c r="M3" s="8">
        <f>K3</f>
        <v>71594.403875674208</v>
      </c>
      <c r="N3" s="12" t="s">
        <v>53</v>
      </c>
      <c r="O3" s="28">
        <f t="shared" ref="O3:O65" si="1">(63*(G3*10^6)^-0.25)*(EXP(0.0693*(-1.17-20)))*(K3*10^6)</f>
        <v>9615367206.2982464</v>
      </c>
      <c r="P3" s="28">
        <f t="shared" si="0"/>
        <v>6090497185.0809975</v>
      </c>
      <c r="Q3" s="12">
        <f>O3</f>
        <v>9615367206.2982464</v>
      </c>
      <c r="R3" s="12">
        <f>P3</f>
        <v>6090497185.0809975</v>
      </c>
      <c r="S3" s="12"/>
      <c r="T3" s="64" t="s">
        <v>79</v>
      </c>
      <c r="U3" s="37" t="s">
        <v>74</v>
      </c>
      <c r="V3" s="37">
        <f>SUM(Q2,Q25,Q30,Q34,Q71,Q88)</f>
        <v>124057999081.40266</v>
      </c>
      <c r="W3" s="37">
        <f>SUM(R2,R25,R30,R34,R71,R88)</f>
        <v>34484844830.753769</v>
      </c>
      <c r="X3" s="37">
        <f>V3*30*10^-12</f>
        <v>3.7217399724420801</v>
      </c>
      <c r="Y3" s="37">
        <f t="shared" ref="X3:Y5" si="2">W3*30*10^-12</f>
        <v>1.034545344922613</v>
      </c>
      <c r="Z3" s="45">
        <f>AVERAGE(X3:Y3)</f>
        <v>2.3781426586823464</v>
      </c>
    </row>
    <row r="4" spans="1:33" s="2" customFormat="1" x14ac:dyDescent="0.25">
      <c r="A4" s="2" t="s">
        <v>6</v>
      </c>
      <c r="B4" s="2" t="s">
        <v>8</v>
      </c>
      <c r="C4" s="2" t="s">
        <v>9</v>
      </c>
      <c r="D4" s="21">
        <f>838.095238</f>
        <v>838.09523799999999</v>
      </c>
      <c r="E4" s="21">
        <v>730</v>
      </c>
      <c r="F4" s="21">
        <v>1200</v>
      </c>
      <c r="G4" s="3">
        <f t="shared" ref="G4:H5" si="3">0.0048*(E4*10^-3)^3.5687*1000</f>
        <v>1.561282631007372</v>
      </c>
      <c r="H4" s="3">
        <f t="shared" si="3"/>
        <v>9.2005830554977788</v>
      </c>
      <c r="I4" s="3" t="s">
        <v>47</v>
      </c>
      <c r="J4" s="3">
        <f>G4*$D4</f>
        <v>1308.5035382193896</v>
      </c>
      <c r="K4" s="3">
        <f t="shared" ref="J4:K8" si="4">H4*$D4</f>
        <v>7710.9648456361783</v>
      </c>
      <c r="N4" s="3" t="s">
        <v>52</v>
      </c>
      <c r="O4" s="28">
        <f t="shared" si="1"/>
        <v>3169083685.9719334</v>
      </c>
      <c r="P4" s="28">
        <f t="shared" si="0"/>
        <v>345156797.22097439</v>
      </c>
      <c r="S4" s="1"/>
      <c r="T4" s="64"/>
      <c r="U4" s="16" t="s">
        <v>75</v>
      </c>
      <c r="V4" s="38">
        <f>SUM(Q9,Q16,Q23)</f>
        <v>529831704626.68591</v>
      </c>
      <c r="W4" s="38">
        <f>SUM(R9,R16,R23)</f>
        <v>177911197686.54044</v>
      </c>
      <c r="X4" s="37">
        <f t="shared" si="2"/>
        <v>15.894951138800577</v>
      </c>
      <c r="Y4" s="37">
        <f t="shared" si="2"/>
        <v>5.3373359305962129</v>
      </c>
      <c r="Z4" s="45">
        <f t="shared" ref="Z4:Z9" si="5">AVERAGE(X4:Y4)</f>
        <v>10.616143534698395</v>
      </c>
      <c r="AA4" s="1"/>
      <c r="AB4" s="1"/>
      <c r="AC4" s="1"/>
      <c r="AD4" s="1"/>
      <c r="AE4" s="1"/>
      <c r="AF4" s="1"/>
      <c r="AG4" s="1"/>
    </row>
    <row r="5" spans="1:33" s="2" customFormat="1" x14ac:dyDescent="0.25">
      <c r="A5" s="2" t="s">
        <v>6</v>
      </c>
      <c r="B5" s="2" t="s">
        <v>8</v>
      </c>
      <c r="C5" s="2" t="s">
        <v>10</v>
      </c>
      <c r="D5" s="21">
        <f>304.761905</f>
        <v>304.76190500000001</v>
      </c>
      <c r="E5" s="21">
        <v>1000</v>
      </c>
      <c r="F5" s="21">
        <v>1300</v>
      </c>
      <c r="G5" s="3">
        <f t="shared" si="3"/>
        <v>4.8</v>
      </c>
      <c r="H5" s="3">
        <f t="shared" si="3"/>
        <v>12.242521594866513</v>
      </c>
      <c r="I5" s="3"/>
      <c r="J5" s="3">
        <f t="shared" si="4"/>
        <v>1462.8571440000001</v>
      </c>
      <c r="K5" s="3">
        <f t="shared" si="4"/>
        <v>3731.0542032551571</v>
      </c>
      <c r="L5" s="7"/>
      <c r="M5" s="7"/>
      <c r="N5" s="3" t="s">
        <v>52</v>
      </c>
      <c r="O5" s="28">
        <f t="shared" si="1"/>
        <v>1158021481.3466284</v>
      </c>
      <c r="P5" s="28">
        <f t="shared" si="0"/>
        <v>359277122.64962</v>
      </c>
      <c r="Q5" s="3"/>
      <c r="R5" s="3"/>
      <c r="S5" s="5"/>
      <c r="T5" s="64"/>
      <c r="U5" s="38" t="s">
        <v>76</v>
      </c>
      <c r="V5" s="38">
        <f>SUM(Q3,Q24,Q41,Q42,Q50,Q56,Q64,Q65,Q72,Q80,Q87,Q91)</f>
        <v>2627094651567.2847</v>
      </c>
      <c r="W5" s="38">
        <f>SUM(R3,R24,R41,R42,R50,R56,R64,R65,R72,R80,R87,R91)</f>
        <v>111733711875.44977</v>
      </c>
      <c r="X5" s="37">
        <f>V5*30*10^-12</f>
        <v>78.812839547018541</v>
      </c>
      <c r="Y5" s="37">
        <f t="shared" si="2"/>
        <v>3.352011356263493</v>
      </c>
      <c r="Z5" s="45">
        <f t="shared" si="5"/>
        <v>41.082425451641015</v>
      </c>
      <c r="AA5" s="1"/>
      <c r="AB5" s="1"/>
      <c r="AC5" s="1"/>
      <c r="AD5" s="1"/>
      <c r="AE5" s="1"/>
      <c r="AF5" s="1"/>
      <c r="AG5" s="1"/>
    </row>
    <row r="6" spans="1:33" s="2" customFormat="1" x14ac:dyDescent="0.25">
      <c r="A6" s="2" t="s">
        <v>6</v>
      </c>
      <c r="B6" s="2" t="s">
        <v>8</v>
      </c>
      <c r="C6" s="2" t="s">
        <v>12</v>
      </c>
      <c r="D6" s="21">
        <f>723.657143+428.843537</f>
        <v>1152.5006800000001</v>
      </c>
      <c r="E6" s="21">
        <v>2000</v>
      </c>
      <c r="F6" s="21">
        <v>3000</v>
      </c>
      <c r="G6" s="3">
        <f>0.0048*(E6*10^-3)^3.5687*1000</f>
        <v>56.954360901634594</v>
      </c>
      <c r="H6" s="3">
        <f>0.0048*(F6*10^-3)^3.5687*1000</f>
        <v>242.07161024415183</v>
      </c>
      <c r="I6" s="3"/>
      <c r="J6" s="3">
        <f t="shared" si="4"/>
        <v>65639.939668099294</v>
      </c>
      <c r="K6" s="3">
        <f t="shared" si="4"/>
        <v>278987.69541507994</v>
      </c>
      <c r="L6" s="7"/>
      <c r="M6" s="7"/>
      <c r="N6" s="3" t="s">
        <v>52</v>
      </c>
      <c r="O6" s="28">
        <f t="shared" si="1"/>
        <v>46655051195.206306</v>
      </c>
      <c r="P6" s="28">
        <f t="shared" si="0"/>
        <v>7645001502.1418333</v>
      </c>
      <c r="Q6" s="3"/>
      <c r="R6" s="3"/>
      <c r="S6" s="5"/>
      <c r="T6" s="46"/>
      <c r="U6" s="38"/>
      <c r="V6" s="38"/>
      <c r="W6" s="38"/>
      <c r="X6" s="58">
        <f>SUM(X3:X5)</f>
        <v>98.4295306582612</v>
      </c>
      <c r="Y6" s="58">
        <f>SUM(Y3:Y5)</f>
        <v>9.7238926317823182</v>
      </c>
      <c r="Z6" s="45"/>
      <c r="AA6" s="1"/>
      <c r="AB6" s="1"/>
      <c r="AC6" s="1"/>
      <c r="AD6" s="1"/>
      <c r="AE6" s="1"/>
      <c r="AF6" s="1"/>
      <c r="AG6" s="1"/>
    </row>
    <row r="7" spans="1:33" s="2" customFormat="1" x14ac:dyDescent="0.25">
      <c r="A7" s="2" t="s">
        <v>6</v>
      </c>
      <c r="B7" s="2" t="s">
        <v>8</v>
      </c>
      <c r="C7" s="2" t="s">
        <v>13</v>
      </c>
      <c r="D7" s="21">
        <f>1107.961905+129.52381</f>
        <v>1237.4857149999998</v>
      </c>
      <c r="E7" s="21">
        <v>1860</v>
      </c>
      <c r="F7" s="21">
        <v>3200</v>
      </c>
      <c r="G7" s="3">
        <f t="shared" ref="G7:H8" si="6">0.0048*(E7*10^-3)^3.5687*1000</f>
        <v>43.959432925065776</v>
      </c>
      <c r="H7" s="3">
        <f t="shared" si="6"/>
        <v>304.7684210199219</v>
      </c>
      <c r="I7" s="3"/>
      <c r="J7" s="3">
        <f t="shared" si="4"/>
        <v>54399.170284269552</v>
      </c>
      <c r="K7" s="3">
        <f t="shared" si="4"/>
        <v>377146.56739525904</v>
      </c>
      <c r="L7" s="7"/>
      <c r="M7" s="7"/>
      <c r="N7" s="3" t="s">
        <v>52</v>
      </c>
      <c r="O7" s="28">
        <f t="shared" si="1"/>
        <v>67288756970.897705</v>
      </c>
      <c r="P7" s="28">
        <f t="shared" si="0"/>
        <v>5981294016.6752205</v>
      </c>
      <c r="Q7" s="3"/>
      <c r="R7" s="3"/>
      <c r="S7" s="5"/>
      <c r="T7" s="64" t="s">
        <v>78</v>
      </c>
      <c r="U7" s="37" t="s">
        <v>74</v>
      </c>
      <c r="V7" s="38">
        <f>SUM(Q92,Q118,Q123,Q128,Q167,Q184)</f>
        <v>259195932902.46072</v>
      </c>
      <c r="W7" s="38">
        <f>SUM(R92,R118,R123,R128,R167,R184)</f>
        <v>66213672695.037453</v>
      </c>
      <c r="X7" s="37">
        <f>V7*30*10^-12</f>
        <v>7.7758779870738213</v>
      </c>
      <c r="Y7" s="37">
        <f>W7*30*10^-12</f>
        <v>1.9864101808511234</v>
      </c>
      <c r="Z7" s="45">
        <f t="shared" si="5"/>
        <v>4.8811440839624725</v>
      </c>
      <c r="AA7" s="1"/>
      <c r="AB7" s="1"/>
      <c r="AC7" s="1"/>
      <c r="AD7" s="1"/>
      <c r="AE7" s="1"/>
      <c r="AF7" s="1"/>
      <c r="AG7" s="1"/>
    </row>
    <row r="8" spans="1:33" s="2" customFormat="1" x14ac:dyDescent="0.25">
      <c r="A8" s="2" t="s">
        <v>6</v>
      </c>
      <c r="B8" s="2" t="s">
        <v>8</v>
      </c>
      <c r="C8" s="2" t="s">
        <v>14</v>
      </c>
      <c r="D8" s="21">
        <f>12.647619</f>
        <v>12.647619000000001</v>
      </c>
      <c r="E8" s="21">
        <v>1950</v>
      </c>
      <c r="F8" s="21">
        <v>2800</v>
      </c>
      <c r="G8" s="3">
        <f t="shared" si="6"/>
        <v>52.034064977684302</v>
      </c>
      <c r="H8" s="3">
        <f t="shared" si="6"/>
        <v>189.24050739954041</v>
      </c>
      <c r="I8" s="3"/>
      <c r="J8" s="3">
        <f t="shared" si="4"/>
        <v>658.10702885899457</v>
      </c>
      <c r="K8" s="3">
        <f t="shared" si="4"/>
        <v>2393.4418369560681</v>
      </c>
      <c r="L8" s="7"/>
      <c r="M8" s="7"/>
      <c r="N8" s="3" t="s">
        <v>52</v>
      </c>
      <c r="O8" s="28">
        <f t="shared" si="1"/>
        <v>409398555.57350385</v>
      </c>
      <c r="P8" s="28">
        <f t="shared" si="0"/>
        <v>81515157.115844265</v>
      </c>
      <c r="Q8" s="3"/>
      <c r="R8" s="3"/>
      <c r="S8" s="5"/>
      <c r="T8" s="64"/>
      <c r="U8" s="16" t="s">
        <v>75</v>
      </c>
      <c r="V8" s="38">
        <f>SUM(Q100,Q108,Q116)</f>
        <v>521611929408.32288</v>
      </c>
      <c r="W8" s="38">
        <f>SUM(R100,R108,R116)</f>
        <v>257398917811.7843</v>
      </c>
      <c r="X8" s="37">
        <f>V8*30*10^-12</f>
        <v>15.648357882249686</v>
      </c>
      <c r="Y8" s="37">
        <f t="shared" ref="Y8:Y9" si="7">W8*30*10^-12</f>
        <v>7.7219675343535288</v>
      </c>
      <c r="Z8" s="45">
        <f t="shared" si="5"/>
        <v>11.685162708301608</v>
      </c>
      <c r="AA8" s="1"/>
      <c r="AB8" s="1"/>
      <c r="AC8" s="1"/>
      <c r="AD8" s="1"/>
      <c r="AE8" s="1"/>
      <c r="AF8" s="1"/>
      <c r="AG8" s="1"/>
    </row>
    <row r="9" spans="1:33" s="9" customFormat="1" x14ac:dyDescent="0.25">
      <c r="A9" s="9" t="s">
        <v>6</v>
      </c>
      <c r="B9" s="9" t="s">
        <v>8</v>
      </c>
      <c r="C9" s="9" t="s">
        <v>15</v>
      </c>
      <c r="D9" s="19">
        <f>SUM(1844.266667,1701.22449)</f>
        <v>3545.4911570000004</v>
      </c>
      <c r="E9" s="19"/>
      <c r="F9" s="19"/>
      <c r="G9" s="10"/>
      <c r="H9" s="10"/>
      <c r="I9" s="10"/>
      <c r="J9" s="10"/>
      <c r="K9" s="10"/>
      <c r="L9" s="7">
        <f>SUM(J4:J8)</f>
        <v>123468.57766344723</v>
      </c>
      <c r="M9" s="7">
        <f>SUM(K4:K8)</f>
        <v>669969.72369618632</v>
      </c>
      <c r="N9" s="10"/>
      <c r="O9" s="28" t="e">
        <f t="shared" si="1"/>
        <v>#DIV/0!</v>
      </c>
      <c r="P9" s="28" t="e">
        <f t="shared" si="0"/>
        <v>#DIV/0!</v>
      </c>
      <c r="Q9" s="10">
        <f>SUM(O4:O8)</f>
        <v>118680311888.99608</v>
      </c>
      <c r="R9" s="10">
        <f>SUM(P4:P8)</f>
        <v>14412244595.803493</v>
      </c>
      <c r="S9" s="12"/>
      <c r="T9" s="65"/>
      <c r="U9" s="47" t="s">
        <v>76</v>
      </c>
      <c r="V9" s="47">
        <f>SUM(Q93,Q117,Q135,Q136,Q144,Q152,Q160,Q161,Q175,Q183,Q188)</f>
        <v>2170509521511.761</v>
      </c>
      <c r="W9" s="47">
        <f>SUM(R93,R117,R135,R136,R144,R152,R160,R161,R175,R183,R188)</f>
        <v>172842641509.70105</v>
      </c>
      <c r="X9" s="48">
        <f t="shared" ref="X9" si="8">V9*30*10^-12</f>
        <v>65.115285645352827</v>
      </c>
      <c r="Y9" s="48">
        <f t="shared" si="7"/>
        <v>5.1852792452910315</v>
      </c>
      <c r="Z9" s="49">
        <f t="shared" si="5"/>
        <v>35.150282445321928</v>
      </c>
      <c r="AA9" s="1"/>
      <c r="AB9" s="11"/>
      <c r="AC9" s="11"/>
      <c r="AD9" s="11"/>
      <c r="AE9" s="11"/>
      <c r="AF9" s="11"/>
      <c r="AG9" s="11"/>
    </row>
    <row r="10" spans="1:33" s="1" customFormat="1" x14ac:dyDescent="0.25">
      <c r="A10" s="1" t="s">
        <v>6</v>
      </c>
      <c r="B10" s="1" t="s">
        <v>16</v>
      </c>
      <c r="C10" s="1" t="s">
        <v>18</v>
      </c>
      <c r="D10" s="22">
        <f>SUM(11.428571,
876.190476)</f>
        <v>887.61904700000002</v>
      </c>
      <c r="E10" s="22">
        <v>600</v>
      </c>
      <c r="F10" s="22">
        <v>1000</v>
      </c>
      <c r="G10" s="5">
        <f>4.742*(E10*10^-3)^3.452</f>
        <v>0.81309195862009598</v>
      </c>
      <c r="H10" s="5">
        <f>4.742*(F10*10^-3)^3.452</f>
        <v>4.742</v>
      </c>
      <c r="I10" s="5" t="s">
        <v>41</v>
      </c>
      <c r="J10" s="5">
        <f>G10*$D10</f>
        <v>721.71590943373303</v>
      </c>
      <c r="K10" s="5">
        <f>H10*$D10</f>
        <v>4209.0895208740003</v>
      </c>
      <c r="N10" s="5" t="s">
        <v>52</v>
      </c>
      <c r="O10" s="28">
        <f t="shared" si="1"/>
        <v>2036332125.3400345</v>
      </c>
      <c r="P10" s="28">
        <f t="shared" si="0"/>
        <v>224683540.20891029</v>
      </c>
      <c r="T10" s="5"/>
      <c r="U10" s="5"/>
      <c r="X10" s="58">
        <f>SUM(X7:X9)</f>
        <v>88.539521514676338</v>
      </c>
      <c r="Y10" s="58">
        <f>SUM(Y7:Y9)</f>
        <v>14.893656960495683</v>
      </c>
    </row>
    <row r="11" spans="1:33" s="1" customFormat="1" x14ac:dyDescent="0.25">
      <c r="A11" s="1" t="s">
        <v>6</v>
      </c>
      <c r="B11" s="1" t="s">
        <v>16</v>
      </c>
      <c r="C11" s="1" t="s">
        <v>9</v>
      </c>
      <c r="D11" s="22">
        <f>480</f>
        <v>480</v>
      </c>
      <c r="E11" s="22">
        <v>1100</v>
      </c>
      <c r="F11" s="22">
        <v>1370</v>
      </c>
      <c r="G11" s="5">
        <f t="shared" ref="G11:G15" si="9">4.742*(E11*10^-3)^3.452</f>
        <v>6.5894489660089315</v>
      </c>
      <c r="H11" s="5">
        <f t="shared" ref="H11:H15" si="10">4.742*(F11*10^-3)^3.452</f>
        <v>14.057916113595834</v>
      </c>
      <c r="I11" s="5"/>
      <c r="J11" s="5">
        <f t="shared" ref="J11:K15" si="11">G11*$D11</f>
        <v>3162.9355036842871</v>
      </c>
      <c r="K11" s="5">
        <f t="shared" si="11"/>
        <v>6747.7997345260001</v>
      </c>
      <c r="L11" s="8"/>
      <c r="M11" s="8"/>
      <c r="N11" s="5" t="s">
        <v>52</v>
      </c>
      <c r="O11" s="28">
        <f t="shared" si="1"/>
        <v>1934840978.2260973</v>
      </c>
      <c r="P11" s="28">
        <f t="shared" si="0"/>
        <v>750421841.49430883</v>
      </c>
      <c r="Q11" s="5"/>
      <c r="R11" s="5"/>
      <c r="S11" s="5"/>
      <c r="Y11" s="5"/>
    </row>
    <row r="12" spans="1:33" s="1" customFormat="1" x14ac:dyDescent="0.25">
      <c r="A12" s="1" t="s">
        <v>6</v>
      </c>
      <c r="B12" s="1" t="s">
        <v>16</v>
      </c>
      <c r="C12" s="1" t="s">
        <v>10</v>
      </c>
      <c r="D12" s="22">
        <f>388.571429</f>
        <v>388.57142900000002</v>
      </c>
      <c r="E12" s="22">
        <v>1400</v>
      </c>
      <c r="F12" s="22">
        <v>2000</v>
      </c>
      <c r="G12" s="5">
        <f t="shared" si="9"/>
        <v>15.149403351788706</v>
      </c>
      <c r="H12" s="5">
        <f t="shared" si="10"/>
        <v>51.893993688844894</v>
      </c>
      <c r="I12" s="5"/>
      <c r="J12" s="5">
        <f t="shared" si="11"/>
        <v>5886.6253089019274</v>
      </c>
      <c r="K12" s="5">
        <f t="shared" si="11"/>
        <v>20164.523284191444</v>
      </c>
      <c r="L12" s="8"/>
      <c r="M12" s="8"/>
      <c r="N12" s="5" t="s">
        <v>52</v>
      </c>
      <c r="O12" s="28">
        <f t="shared" si="1"/>
        <v>4695528097.0859957</v>
      </c>
      <c r="P12" s="28">
        <f t="shared" si="0"/>
        <v>1007586839.3037223</v>
      </c>
      <c r="Q12" s="5"/>
      <c r="R12" s="5"/>
      <c r="S12" s="5"/>
      <c r="T12" s="5"/>
      <c r="U12" s="1" t="s">
        <v>92</v>
      </c>
    </row>
    <row r="13" spans="1:33" s="1" customFormat="1" x14ac:dyDescent="0.25">
      <c r="A13" s="1" t="s">
        <v>6</v>
      </c>
      <c r="B13" s="1" t="s">
        <v>16</v>
      </c>
      <c r="C13" s="1" t="s">
        <v>11</v>
      </c>
      <c r="D13" s="22">
        <f>76.190476</f>
        <v>76.190476000000004</v>
      </c>
      <c r="E13" s="22">
        <v>2000</v>
      </c>
      <c r="F13" s="22">
        <v>2700</v>
      </c>
      <c r="G13" s="5">
        <f t="shared" si="9"/>
        <v>51.893993688844894</v>
      </c>
      <c r="H13" s="5">
        <f t="shared" si="10"/>
        <v>146.22757018221634</v>
      </c>
      <c r="I13" s="5"/>
      <c r="J13" s="5">
        <f t="shared" si="11"/>
        <v>3953.8280806940884</v>
      </c>
      <c r="K13" s="5">
        <f t="shared" si="11"/>
        <v>11141.148176506471</v>
      </c>
      <c r="L13" s="8"/>
      <c r="M13" s="8"/>
      <c r="N13" s="5" t="s">
        <v>52</v>
      </c>
      <c r="O13" s="28">
        <f t="shared" si="1"/>
        <v>1906979583.0906363</v>
      </c>
      <c r="P13" s="28">
        <f t="shared" si="0"/>
        <v>522343064.04187489</v>
      </c>
      <c r="Q13" s="5"/>
      <c r="R13" s="5"/>
      <c r="S13" s="5"/>
      <c r="T13" s="5" t="s">
        <v>93</v>
      </c>
      <c r="U13" s="5">
        <f>SUM(L117,L135,L136,L144,L152,L160,L161,L175,L183,L188)</f>
        <v>1939658.9588179106</v>
      </c>
      <c r="V13" s="5">
        <f>SUM(M117,M135,M136,M144,M152,M160,M161,M175,M183,M188)</f>
        <v>33224555.438688569</v>
      </c>
      <c r="Y13" s="5"/>
      <c r="AA13" s="11"/>
    </row>
    <row r="14" spans="1:33" s="1" customFormat="1" x14ac:dyDescent="0.25">
      <c r="A14" s="1" t="s">
        <v>6</v>
      </c>
      <c r="B14" s="1" t="s">
        <v>16</v>
      </c>
      <c r="C14" s="1" t="s">
        <v>12</v>
      </c>
      <c r="D14" s="22">
        <v>14.476190000000001</v>
      </c>
      <c r="E14" s="22">
        <v>2700</v>
      </c>
      <c r="F14" s="22">
        <v>3500</v>
      </c>
      <c r="G14" s="5">
        <f t="shared" si="9"/>
        <v>146.22757018221634</v>
      </c>
      <c r="H14" s="5">
        <f t="shared" si="10"/>
        <v>358.1660676243805</v>
      </c>
      <c r="I14" s="5"/>
      <c r="J14" s="5">
        <f t="shared" si="11"/>
        <v>2116.8180891960983</v>
      </c>
      <c r="K14" s="5">
        <f t="shared" si="11"/>
        <v>5184.8800464833812</v>
      </c>
      <c r="L14" s="8"/>
      <c r="M14" s="8"/>
      <c r="N14" s="5" t="s">
        <v>52</v>
      </c>
      <c r="O14" s="28">
        <f t="shared" si="1"/>
        <v>684978222.34452665</v>
      </c>
      <c r="P14" s="28">
        <f t="shared" si="0"/>
        <v>223541311.75522679</v>
      </c>
      <c r="Q14" s="5"/>
      <c r="R14" s="5"/>
      <c r="S14" s="5"/>
      <c r="T14" s="5" t="s">
        <v>94</v>
      </c>
      <c r="U14" s="38">
        <f>SUM(L24,L41,L42,L50,L56,L64,L65,L72,L80,L87,L91)</f>
        <v>1909887.0158689735</v>
      </c>
      <c r="V14" s="38">
        <f>SUM(M24,M41,M42,M50,M56,M64,M65,M72,M80,M87,M91)</f>
        <v>42698865.266555659</v>
      </c>
      <c r="W14" s="11"/>
      <c r="X14" s="11"/>
      <c r="Y14" s="11"/>
      <c r="Z14" s="11"/>
    </row>
    <row r="15" spans="1:33" s="1" customFormat="1" x14ac:dyDescent="0.25">
      <c r="A15" s="1" t="s">
        <v>6</v>
      </c>
      <c r="B15" s="1" t="s">
        <v>16</v>
      </c>
      <c r="C15" s="1" t="s">
        <v>13</v>
      </c>
      <c r="D15" s="22">
        <v>47.390476</v>
      </c>
      <c r="E15" s="22">
        <v>3400</v>
      </c>
      <c r="F15" s="22">
        <v>4800</v>
      </c>
      <c r="G15" s="5">
        <f t="shared" si="9"/>
        <v>324.06100256862544</v>
      </c>
      <c r="H15" s="5">
        <f t="shared" si="10"/>
        <v>1065.6296629826547</v>
      </c>
      <c r="I15" s="5"/>
      <c r="J15" s="5">
        <f t="shared" si="11"/>
        <v>15357.405164764383</v>
      </c>
      <c r="K15" s="5">
        <f t="shared" si="11"/>
        <v>50500.696968467586</v>
      </c>
      <c r="L15" s="8"/>
      <c r="M15" s="8"/>
      <c r="N15" s="5" t="s">
        <v>52</v>
      </c>
      <c r="O15" s="28">
        <f t="shared" si="1"/>
        <v>5468094931.7559843</v>
      </c>
      <c r="P15" s="28">
        <f t="shared" si="0"/>
        <v>1234842685.3621624</v>
      </c>
      <c r="Q15" s="5"/>
      <c r="R15" s="5"/>
      <c r="S15" s="5"/>
      <c r="T15" s="5"/>
      <c r="U15" s="5"/>
    </row>
    <row r="16" spans="1:33" s="11" customFormat="1" x14ac:dyDescent="0.25">
      <c r="A16" s="11" t="s">
        <v>6</v>
      </c>
      <c r="B16" s="11" t="s">
        <v>16</v>
      </c>
      <c r="C16" s="11" t="s">
        <v>15</v>
      </c>
      <c r="D16" s="20">
        <f>SUM(73.295238,
1820.952381)</f>
        <v>1894.247619</v>
      </c>
      <c r="E16" s="20"/>
      <c r="F16" s="20"/>
      <c r="G16" s="12"/>
      <c r="H16" s="12"/>
      <c r="I16" s="12"/>
      <c r="J16" s="12"/>
      <c r="K16" s="12"/>
      <c r="L16" s="8">
        <f>SUM(J10:J15)</f>
        <v>31199.328056674516</v>
      </c>
      <c r="M16" s="8">
        <f>SUM(K10:K15)</f>
        <v>97948.13773104889</v>
      </c>
      <c r="N16" s="12"/>
      <c r="O16" s="28" t="e">
        <f t="shared" si="1"/>
        <v>#DIV/0!</v>
      </c>
      <c r="P16" s="28" t="e">
        <f t="shared" si="0"/>
        <v>#DIV/0!</v>
      </c>
      <c r="Q16" s="12">
        <f>SUM(O10:O15)</f>
        <v>16726753937.843273</v>
      </c>
      <c r="R16" s="12">
        <f>SUM(P10:P15)</f>
        <v>3963419282.1662054</v>
      </c>
      <c r="S16" s="12"/>
      <c r="T16" s="5"/>
      <c r="U16" s="5"/>
      <c r="V16" s="1"/>
      <c r="W16" s="1"/>
      <c r="X16" s="1"/>
      <c r="Y16" s="1"/>
      <c r="Z16" s="1"/>
      <c r="AA16" s="1"/>
    </row>
    <row r="17" spans="1:33" s="2" customFormat="1" x14ac:dyDescent="0.25">
      <c r="A17" s="2" t="s">
        <v>6</v>
      </c>
      <c r="B17" s="2" t="s">
        <v>17</v>
      </c>
      <c r="C17" s="2" t="s">
        <v>18</v>
      </c>
      <c r="D17" s="21">
        <f>91.428571</f>
        <v>91.428571000000005</v>
      </c>
      <c r="E17" s="21">
        <v>950</v>
      </c>
      <c r="F17" s="21">
        <v>1500</v>
      </c>
      <c r="G17" s="3">
        <f>7.263*(E17*10^-3)^3.106</f>
        <v>6.1933491234965805</v>
      </c>
      <c r="H17" s="3">
        <f>7.263*(F17*10^-3)^3.106</f>
        <v>25.589128476667867</v>
      </c>
      <c r="I17" s="3" t="s">
        <v>41</v>
      </c>
      <c r="J17" s="3">
        <f>G17*$D17</f>
        <v>566.24906006539493</v>
      </c>
      <c r="K17" s="3">
        <f t="shared" ref="J17:K22" si="12">H17*$D17</f>
        <v>2339.5774497571501</v>
      </c>
      <c r="N17" s="3" t="s">
        <v>52</v>
      </c>
      <c r="O17" s="28">
        <f t="shared" si="1"/>
        <v>681320415.85258245</v>
      </c>
      <c r="P17" s="28">
        <f t="shared" si="0"/>
        <v>115661544.41084243</v>
      </c>
      <c r="S17" s="1"/>
      <c r="T17" s="12"/>
      <c r="U17" s="12"/>
      <c r="V17" s="1"/>
      <c r="W17" s="1"/>
      <c r="X17" s="1"/>
      <c r="Y17" s="1"/>
      <c r="Z17" s="1"/>
      <c r="AA17" s="11"/>
      <c r="AB17" s="1"/>
      <c r="AC17" s="1"/>
      <c r="AD17" s="1"/>
      <c r="AE17" s="1"/>
      <c r="AF17" s="1"/>
      <c r="AG17" s="1"/>
    </row>
    <row r="18" spans="1:33" s="2" customFormat="1" x14ac:dyDescent="0.25">
      <c r="A18" s="2" t="s">
        <v>6</v>
      </c>
      <c r="B18" s="2" t="s">
        <v>17</v>
      </c>
      <c r="C18" s="2" t="s">
        <v>9</v>
      </c>
      <c r="D18" s="21">
        <f>SUM(45.714286,1760)</f>
        <v>1805.7142859999999</v>
      </c>
      <c r="E18" s="21">
        <v>1500</v>
      </c>
      <c r="F18" s="21">
        <v>2600</v>
      </c>
      <c r="G18" s="3">
        <f t="shared" ref="G18:H22" si="13">7.263*(E18*10^-3)^3.106</f>
        <v>25.589128476667867</v>
      </c>
      <c r="H18" s="3">
        <f t="shared" si="13"/>
        <v>141.26132091409403</v>
      </c>
      <c r="I18" s="3"/>
      <c r="J18" s="3">
        <f t="shared" si="12"/>
        <v>46206.654856608584</v>
      </c>
      <c r="K18" s="3">
        <f t="shared" si="12"/>
        <v>255077.58523381015</v>
      </c>
      <c r="L18" s="7"/>
      <c r="M18" s="7"/>
      <c r="N18" s="3" t="s">
        <v>52</v>
      </c>
      <c r="O18" s="28">
        <f t="shared" si="1"/>
        <v>52101927461.607758</v>
      </c>
      <c r="P18" s="28">
        <f t="shared" si="0"/>
        <v>6157353387.9618759</v>
      </c>
      <c r="Q18" s="3"/>
      <c r="R18" s="3"/>
      <c r="S18" s="5"/>
      <c r="T18" s="1"/>
      <c r="U18" s="1"/>
      <c r="V18" s="11"/>
      <c r="W18" s="11"/>
      <c r="X18" s="11"/>
      <c r="Y18" s="12"/>
      <c r="Z18" s="12"/>
      <c r="AA18" s="1"/>
      <c r="AB18" s="1"/>
      <c r="AC18" s="1"/>
      <c r="AD18" s="1"/>
      <c r="AE18" s="1"/>
      <c r="AF18" s="1"/>
      <c r="AG18" s="1"/>
    </row>
    <row r="19" spans="1:33" s="2" customFormat="1" x14ac:dyDescent="0.25">
      <c r="A19" s="2" t="s">
        <v>6</v>
      </c>
      <c r="B19" s="2" t="s">
        <v>17</v>
      </c>
      <c r="C19" s="2" t="s">
        <v>10</v>
      </c>
      <c r="D19" s="21">
        <f>SUM(1929.6,
1853.605442)</f>
        <v>3783.2054419999999</v>
      </c>
      <c r="E19" s="21">
        <v>2600</v>
      </c>
      <c r="F19" s="21">
        <v>3500</v>
      </c>
      <c r="G19" s="3">
        <f t="shared" si="13"/>
        <v>141.26132091409403</v>
      </c>
      <c r="H19" s="3">
        <f t="shared" si="13"/>
        <v>355.62426808540175</v>
      </c>
      <c r="I19" s="3"/>
      <c r="J19" s="3">
        <f t="shared" si="12"/>
        <v>534420.59802630893</v>
      </c>
      <c r="K19" s="3">
        <f t="shared" si="12"/>
        <v>1345399.6663279589</v>
      </c>
      <c r="L19" s="7"/>
      <c r="M19" s="7"/>
      <c r="N19" s="3" t="s">
        <v>52</v>
      </c>
      <c r="O19" s="28">
        <f t="shared" si="1"/>
        <v>179283724808.36328</v>
      </c>
      <c r="P19" s="28">
        <f t="shared" si="0"/>
        <v>56536732853.202934</v>
      </c>
      <c r="Q19" s="3"/>
      <c r="R19" s="3"/>
      <c r="S19" s="5"/>
      <c r="T19" s="5"/>
      <c r="U19" s="5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s="2" customFormat="1" x14ac:dyDescent="0.25">
      <c r="A20" s="2" t="s">
        <v>6</v>
      </c>
      <c r="B20" s="2" t="s">
        <v>17</v>
      </c>
      <c r="C20" s="2" t="s">
        <v>11</v>
      </c>
      <c r="D20" s="21">
        <f>249.6</f>
        <v>249.6</v>
      </c>
      <c r="E20" s="21">
        <v>3500</v>
      </c>
      <c r="F20" s="21">
        <v>4200</v>
      </c>
      <c r="G20" s="3">
        <f t="shared" si="13"/>
        <v>355.62426808540175</v>
      </c>
      <c r="H20" s="3">
        <f t="shared" si="13"/>
        <v>626.5104800772491</v>
      </c>
      <c r="I20" s="3"/>
      <c r="J20" s="3">
        <f t="shared" si="12"/>
        <v>88763.81731411627</v>
      </c>
      <c r="K20" s="3">
        <f t="shared" si="12"/>
        <v>156377.01582728137</v>
      </c>
      <c r="L20" s="7"/>
      <c r="M20" s="7"/>
      <c r="N20" s="3" t="s">
        <v>52</v>
      </c>
      <c r="O20" s="28">
        <f t="shared" si="1"/>
        <v>16543235049.059355</v>
      </c>
      <c r="P20" s="28">
        <f t="shared" si="0"/>
        <v>8150781527.8338127</v>
      </c>
      <c r="Q20" s="3"/>
      <c r="R20" s="3"/>
      <c r="S20" s="5"/>
      <c r="T20" s="5"/>
      <c r="U20" s="5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s="2" customFormat="1" x14ac:dyDescent="0.25">
      <c r="A21" s="2" t="s">
        <v>6</v>
      </c>
      <c r="B21" s="2" t="s">
        <v>17</v>
      </c>
      <c r="C21" s="2" t="s">
        <v>12</v>
      </c>
      <c r="D21" s="21">
        <f>746.514286</f>
        <v>746.51428599999997</v>
      </c>
      <c r="E21" s="21">
        <v>4600</v>
      </c>
      <c r="F21" s="21">
        <v>5400</v>
      </c>
      <c r="G21" s="3">
        <f t="shared" si="13"/>
        <v>831.07815957792832</v>
      </c>
      <c r="H21" s="3">
        <f t="shared" si="13"/>
        <v>1367.5117360953927</v>
      </c>
      <c r="I21" s="3"/>
      <c r="J21" s="3">
        <f t="shared" si="12"/>
        <v>620411.71890751121</v>
      </c>
      <c r="K21" s="3">
        <f t="shared" si="12"/>
        <v>1020867.0472678725</v>
      </c>
      <c r="L21" s="7"/>
      <c r="M21" s="7"/>
      <c r="N21" s="3" t="s">
        <v>52</v>
      </c>
      <c r="O21" s="28">
        <f t="shared" si="1"/>
        <v>87348225112.771088</v>
      </c>
      <c r="P21" s="28">
        <f t="shared" si="0"/>
        <v>46869745321.468735</v>
      </c>
      <c r="Q21" s="3"/>
      <c r="R21" s="3"/>
      <c r="S21" s="5"/>
      <c r="T21" s="5"/>
      <c r="U21" s="5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s="2" customFormat="1" x14ac:dyDescent="0.25">
      <c r="A22" s="2" t="s">
        <v>6</v>
      </c>
      <c r="B22" s="2" t="s">
        <v>17</v>
      </c>
      <c r="C22" s="2" t="s">
        <v>13</v>
      </c>
      <c r="D22" s="21">
        <f>270.628571</f>
        <v>270.62857100000002</v>
      </c>
      <c r="E22" s="21">
        <v>6600</v>
      </c>
      <c r="F22" s="21">
        <v>7200</v>
      </c>
      <c r="G22" s="3">
        <f t="shared" si="13"/>
        <v>2550.465821375426</v>
      </c>
      <c r="H22" s="3">
        <f t="shared" si="13"/>
        <v>3341.8794371620952</v>
      </c>
      <c r="I22" s="3"/>
      <c r="J22" s="3">
        <f t="shared" si="12"/>
        <v>690228.92062317289</v>
      </c>
      <c r="K22" s="3">
        <f t="shared" si="12"/>
        <v>904408.05653346225</v>
      </c>
      <c r="L22" s="7"/>
      <c r="M22" s="7"/>
      <c r="N22" s="3" t="s">
        <v>52</v>
      </c>
      <c r="O22" s="28">
        <f t="shared" si="1"/>
        <v>58466205952.192474</v>
      </c>
      <c r="P22" s="28">
        <f t="shared" si="0"/>
        <v>41705259173.692528</v>
      </c>
      <c r="Q22" s="3"/>
      <c r="R22" s="3"/>
      <c r="S22" s="5"/>
      <c r="T22" s="5"/>
      <c r="U22" s="55"/>
      <c r="V22" s="5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s="9" customFormat="1" x14ac:dyDescent="0.25">
      <c r="A23" s="9" t="s">
        <v>6</v>
      </c>
      <c r="B23" s="9" t="s">
        <v>17</v>
      </c>
      <c r="C23" s="9" t="s">
        <v>15</v>
      </c>
      <c r="D23" s="19">
        <f>SUM(3242.057143,
3705.034014)</f>
        <v>6947.0911569999998</v>
      </c>
      <c r="E23" s="19"/>
      <c r="F23" s="19"/>
      <c r="G23" s="10"/>
      <c r="H23" s="10"/>
      <c r="I23" s="10"/>
      <c r="J23" s="10"/>
      <c r="K23" s="10"/>
      <c r="L23" s="7">
        <f>SUM(J17:J22)</f>
        <v>1980597.9587877835</v>
      </c>
      <c r="M23" s="7">
        <f>SUM(K17:K22)</f>
        <v>3684468.9486401426</v>
      </c>
      <c r="N23" s="10"/>
      <c r="O23" s="28" t="e">
        <f t="shared" si="1"/>
        <v>#DIV/0!</v>
      </c>
      <c r="P23" s="28" t="e">
        <f t="shared" si="0"/>
        <v>#DIV/0!</v>
      </c>
      <c r="Q23" s="10">
        <f>SUM(O17:O22)</f>
        <v>394424638799.84656</v>
      </c>
      <c r="R23" s="10">
        <f>SUM(P17:P22)</f>
        <v>159535533808.57074</v>
      </c>
      <c r="S23" s="12"/>
      <c r="T23" s="5"/>
      <c r="U23" s="5"/>
      <c r="V23" s="1"/>
      <c r="W23" s="1"/>
      <c r="X23" s="1"/>
      <c r="Y23" s="1"/>
      <c r="Z23" s="1"/>
      <c r="AA23" s="1"/>
      <c r="AB23" s="11"/>
      <c r="AC23" s="11"/>
      <c r="AD23" s="11"/>
      <c r="AE23" s="11"/>
      <c r="AF23" s="11"/>
      <c r="AG23" s="11"/>
    </row>
    <row r="24" spans="1:33" s="11" customFormat="1" x14ac:dyDescent="0.25">
      <c r="A24" s="11" t="s">
        <v>6</v>
      </c>
      <c r="B24" s="11" t="s">
        <v>19</v>
      </c>
      <c r="C24" s="11" t="s">
        <v>4</v>
      </c>
      <c r="D24" s="20">
        <f>SUM(60.952381,
124.081633)</f>
        <v>185.03401400000001</v>
      </c>
      <c r="E24" s="20">
        <f>1.7</f>
        <v>1.7</v>
      </c>
      <c r="F24" s="20">
        <f>2.8</f>
        <v>2.8</v>
      </c>
      <c r="G24" s="12">
        <f>((0.0228*(E24)^2.3698)/0.9)*0.4*1000</f>
        <v>35.63446006817815</v>
      </c>
      <c r="H24" s="12">
        <f>((0.0228*(F24)^2.3698)/0.9)*0.4*1000</f>
        <v>116.259227141754</v>
      </c>
      <c r="I24" s="12" t="s">
        <v>46</v>
      </c>
      <c r="J24" s="12">
        <f>G24*$D24</f>
        <v>6593.5871831377171</v>
      </c>
      <c r="K24" s="12">
        <f>H24*$D24</f>
        <v>21511.911462576489</v>
      </c>
      <c r="L24" s="8">
        <f>J24</f>
        <v>6593.5871831377171</v>
      </c>
      <c r="M24" s="8">
        <f>K24</f>
        <v>21511.911462576489</v>
      </c>
      <c r="N24" s="12" t="s">
        <v>54</v>
      </c>
      <c r="O24" s="28">
        <f t="shared" si="1"/>
        <v>4044890998.2153387</v>
      </c>
      <c r="P24" s="28">
        <f t="shared" si="0"/>
        <v>922487015.06412828</v>
      </c>
      <c r="Q24" s="12">
        <f>O24</f>
        <v>4044890998.2153387</v>
      </c>
      <c r="R24" s="12">
        <f>P24</f>
        <v>922487015.06412828</v>
      </c>
      <c r="S24" s="12"/>
      <c r="T24" s="12"/>
      <c r="U24" s="12"/>
      <c r="V24" s="1"/>
      <c r="W24" s="1"/>
      <c r="X24" s="1"/>
      <c r="Y24" s="1"/>
      <c r="Z24" s="1"/>
    </row>
    <row r="25" spans="1:33" s="9" customFormat="1" x14ac:dyDescent="0.25">
      <c r="A25" s="9" t="s">
        <v>6</v>
      </c>
      <c r="B25" s="9" t="s">
        <v>20</v>
      </c>
      <c r="C25" s="9" t="s">
        <v>4</v>
      </c>
      <c r="D25" s="19">
        <f>SUM(660.72381,
346.122449)</f>
        <v>1006.8462589999999</v>
      </c>
      <c r="E25" s="19">
        <v>11.6871446</v>
      </c>
      <c r="F25" s="19">
        <v>11.6871446</v>
      </c>
      <c r="G25" s="10">
        <f>0.4*(0.00032*(E25)^3)*1000</f>
        <v>204.33145234296978</v>
      </c>
      <c r="H25" s="10">
        <f>0.4*(0.00032*(F25)^3)*1000</f>
        <v>204.33145234296978</v>
      </c>
      <c r="I25" s="10" t="s">
        <v>43</v>
      </c>
      <c r="J25" s="10">
        <f>G25*$D25</f>
        <v>205730.3583875559</v>
      </c>
      <c r="K25" s="10">
        <f>H25*$D25</f>
        <v>205730.3583875559</v>
      </c>
      <c r="L25" s="7">
        <f>J25</f>
        <v>205730.3583875559</v>
      </c>
      <c r="M25" s="7"/>
      <c r="N25" s="10" t="s">
        <v>51</v>
      </c>
      <c r="O25" s="28">
        <f t="shared" si="1"/>
        <v>24998269387.751747</v>
      </c>
      <c r="P25" s="28">
        <f t="shared" si="0"/>
        <v>24998269387.751747</v>
      </c>
      <c r="Q25" s="10">
        <f>O25</f>
        <v>24998269387.751747</v>
      </c>
      <c r="R25" s="10">
        <f>P25</f>
        <v>24998269387.751747</v>
      </c>
      <c r="S25" s="12"/>
      <c r="T25" s="12"/>
      <c r="U25" s="12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s="1" customFormat="1" x14ac:dyDescent="0.25">
      <c r="A26" s="1" t="s">
        <v>6</v>
      </c>
      <c r="B26" s="1" t="s">
        <v>21</v>
      </c>
      <c r="C26" s="1" t="s">
        <v>11</v>
      </c>
      <c r="D26" s="22">
        <f>13.714286</f>
        <v>13.714286</v>
      </c>
      <c r="E26" s="22">
        <v>1800</v>
      </c>
      <c r="F26" s="22">
        <v>2200</v>
      </c>
      <c r="G26" s="5">
        <f>((0.0089*(E26*10^-3)^3.4119)/0.9)*0.47*1000</f>
        <v>34.531036561114568</v>
      </c>
      <c r="H26" s="5">
        <f>((0.0089*(F26*10^-3)^3.4119)/0.9)*0.47*1000</f>
        <v>68.478982676295388</v>
      </c>
      <c r="I26" s="5" t="s">
        <v>46</v>
      </c>
      <c r="J26" s="5">
        <f t="shared" ref="J26:K29" si="14">G26*$D26</f>
        <v>473.56851127558167</v>
      </c>
      <c r="K26" s="5">
        <f t="shared" si="14"/>
        <v>939.14035341176032</v>
      </c>
      <c r="L26" s="8"/>
      <c r="M26" s="8"/>
      <c r="N26" s="5" t="s">
        <v>51</v>
      </c>
      <c r="O26" s="28">
        <f t="shared" si="1"/>
        <v>177980927.12479398</v>
      </c>
      <c r="P26" s="28">
        <f t="shared" si="0"/>
        <v>75629087.256505072</v>
      </c>
      <c r="Q26" s="5"/>
      <c r="R26" s="5"/>
      <c r="S26" s="5"/>
      <c r="T26" s="12"/>
      <c r="U26" s="12"/>
      <c r="V26" s="11"/>
      <c r="W26" s="11"/>
      <c r="X26" s="11"/>
      <c r="Y26" s="11"/>
      <c r="Z26" s="11"/>
    </row>
    <row r="27" spans="1:33" s="1" customFormat="1" x14ac:dyDescent="0.25">
      <c r="A27" s="1" t="s">
        <v>6</v>
      </c>
      <c r="B27" s="1" t="s">
        <v>21</v>
      </c>
      <c r="C27" s="1" t="s">
        <v>12</v>
      </c>
      <c r="D27" s="22">
        <f>16.761905</f>
        <v>16.761904999999999</v>
      </c>
      <c r="E27" s="22">
        <v>2200</v>
      </c>
      <c r="F27" s="22">
        <v>2800</v>
      </c>
      <c r="G27" s="5">
        <f t="shared" ref="G27:G29" si="15">((0.0089*(E27*10^-3)^3.4119)/0.9)*0.47*1000</f>
        <v>68.478982676295388</v>
      </c>
      <c r="H27" s="5">
        <f t="shared" ref="H27:H29" si="16">((0.0089*(F27*10^-3)^3.4119)/0.9)*0.47*1000</f>
        <v>155.9207238445286</v>
      </c>
      <c r="I27" s="5"/>
      <c r="J27" s="5">
        <f t="shared" si="14"/>
        <v>1147.838202116709</v>
      </c>
      <c r="K27" s="5">
        <f t="shared" si="14"/>
        <v>2613.528360613223</v>
      </c>
      <c r="L27" s="8"/>
      <c r="M27" s="8"/>
      <c r="N27" s="5" t="s">
        <v>51</v>
      </c>
      <c r="O27" s="28">
        <f t="shared" si="1"/>
        <v>417381560.90607423</v>
      </c>
      <c r="P27" s="28">
        <f t="shared" si="0"/>
        <v>149227918.34279299</v>
      </c>
      <c r="Q27" s="5"/>
      <c r="R27" s="5"/>
      <c r="S27" s="5"/>
      <c r="T27" s="5"/>
      <c r="U27" s="5"/>
    </row>
    <row r="28" spans="1:33" s="1" customFormat="1" x14ac:dyDescent="0.25">
      <c r="A28" s="1" t="s">
        <v>6</v>
      </c>
      <c r="B28" s="1" t="s">
        <v>21</v>
      </c>
      <c r="C28" s="1" t="s">
        <v>13</v>
      </c>
      <c r="D28" s="22">
        <f>84.266667</f>
        <v>84.266666999999998</v>
      </c>
      <c r="E28" s="22">
        <v>2700</v>
      </c>
      <c r="F28" s="22">
        <v>3200</v>
      </c>
      <c r="G28" s="5">
        <f t="shared" si="15"/>
        <v>137.72582485028883</v>
      </c>
      <c r="H28" s="5">
        <f t="shared" si="16"/>
        <v>245.90455088187281</v>
      </c>
      <c r="I28" s="5"/>
      <c r="J28" s="5">
        <f t="shared" si="14"/>
        <v>11605.696219959613</v>
      </c>
      <c r="K28" s="5">
        <f t="shared" si="14"/>
        <v>20721.556902947334</v>
      </c>
      <c r="L28" s="8"/>
      <c r="M28" s="8"/>
      <c r="N28" s="5" t="s">
        <v>51</v>
      </c>
      <c r="O28" s="28">
        <f t="shared" si="1"/>
        <v>2778842317.6198068</v>
      </c>
      <c r="P28" s="28">
        <f t="shared" si="0"/>
        <v>1346402544.7150433</v>
      </c>
      <c r="Q28" s="5"/>
      <c r="R28" s="5"/>
      <c r="S28" s="5"/>
      <c r="T28" s="5"/>
      <c r="U28" s="5"/>
    </row>
    <row r="29" spans="1:33" s="1" customFormat="1" x14ac:dyDescent="0.25">
      <c r="A29" s="1" t="s">
        <v>6</v>
      </c>
      <c r="B29" s="1" t="s">
        <v>21</v>
      </c>
      <c r="C29" s="1" t="s">
        <v>14</v>
      </c>
      <c r="D29" s="22">
        <f>23.619048</f>
        <v>23.619047999999999</v>
      </c>
      <c r="E29" s="22">
        <v>2900</v>
      </c>
      <c r="F29" s="22">
        <v>3200</v>
      </c>
      <c r="G29" s="5">
        <f t="shared" si="15"/>
        <v>175.75232711616172</v>
      </c>
      <c r="H29" s="5">
        <f t="shared" si="16"/>
        <v>245.90455088187281</v>
      </c>
      <c r="I29" s="5"/>
      <c r="J29" s="5">
        <f t="shared" si="14"/>
        <v>4151.1026502683253</v>
      </c>
      <c r="K29" s="5">
        <f t="shared" si="14"/>
        <v>5808.0313906973961</v>
      </c>
      <c r="L29" s="8"/>
      <c r="M29" s="8"/>
      <c r="N29" s="5" t="s">
        <v>51</v>
      </c>
      <c r="O29" s="28">
        <f t="shared" si="1"/>
        <v>732822931.02600241</v>
      </c>
      <c r="P29" s="28">
        <f t="shared" si="0"/>
        <v>481578620.16778547</v>
      </c>
      <c r="Q29" s="5"/>
      <c r="R29" s="5"/>
      <c r="S29" s="5"/>
      <c r="T29" s="5"/>
      <c r="U29" s="5"/>
    </row>
    <row r="30" spans="1:33" s="11" customFormat="1" x14ac:dyDescent="0.25">
      <c r="A30" s="11" t="s">
        <v>6</v>
      </c>
      <c r="B30" s="11" t="s">
        <v>21</v>
      </c>
      <c r="C30" s="11" t="s">
        <v>15</v>
      </c>
      <c r="D30" s="20">
        <f>138.361905</f>
        <v>138.36190500000001</v>
      </c>
      <c r="E30" s="20"/>
      <c r="F30" s="20"/>
      <c r="G30" s="12"/>
      <c r="H30" s="12"/>
      <c r="I30" s="12"/>
      <c r="J30" s="12"/>
      <c r="K30" s="12"/>
      <c r="L30" s="8">
        <f>SUM(J26:J29)</f>
        <v>17378.205583620227</v>
      </c>
      <c r="M30" s="8">
        <f>SUM(K26:K29)</f>
        <v>30082.257007669716</v>
      </c>
      <c r="N30" s="12"/>
      <c r="O30" s="28" t="e">
        <f t="shared" si="1"/>
        <v>#DIV/0!</v>
      </c>
      <c r="P30" s="28" t="e">
        <f t="shared" si="0"/>
        <v>#DIV/0!</v>
      </c>
      <c r="Q30" s="12">
        <f>SUM(O26:O29)</f>
        <v>4107027736.6766772</v>
      </c>
      <c r="R30" s="12">
        <f>SUM(P26:P29)</f>
        <v>2052838170.4821267</v>
      </c>
      <c r="S30" s="12"/>
      <c r="T30" s="5"/>
      <c r="U30" s="5"/>
      <c r="V30" s="1"/>
      <c r="W30" s="1"/>
      <c r="X30" s="1"/>
      <c r="Y30" s="1"/>
      <c r="Z30" s="1"/>
      <c r="AA30" s="1"/>
    </row>
    <row r="31" spans="1:33" s="2" customFormat="1" x14ac:dyDescent="0.25">
      <c r="A31" s="2" t="s">
        <v>6</v>
      </c>
      <c r="B31" s="2" t="s">
        <v>22</v>
      </c>
      <c r="C31" s="2" t="s">
        <v>12</v>
      </c>
      <c r="D31" s="21">
        <f>10.666667</f>
        <v>10.666667</v>
      </c>
      <c r="E31" s="21">
        <v>2000</v>
      </c>
      <c r="F31" s="21">
        <v>2800</v>
      </c>
      <c r="G31" s="3">
        <f>((0.0031*(E31*10^-3)^4.7164)/0.9)*0.4*1000</f>
        <v>36.220717351897861</v>
      </c>
      <c r="H31" s="3">
        <f>((0.0031*(F31*10^-3)^4.7164)/0.9)*0.4*1000</f>
        <v>177.07421074808025</v>
      </c>
      <c r="I31" s="3" t="s">
        <v>46</v>
      </c>
      <c r="J31" s="3">
        <f>G31*$D31</f>
        <v>386.35433049381629</v>
      </c>
      <c r="K31" s="3">
        <f>H31*$D31</f>
        <v>1888.791640337593</v>
      </c>
      <c r="L31" s="7"/>
      <c r="M31" s="7"/>
      <c r="N31" s="3" t="s">
        <v>51</v>
      </c>
      <c r="O31" s="28">
        <f t="shared" si="1"/>
        <v>353704151.09060699</v>
      </c>
      <c r="P31" s="28">
        <f t="shared" si="0"/>
        <v>48656663.205153875</v>
      </c>
      <c r="Q31" s="3"/>
      <c r="R31" s="3"/>
      <c r="S31" s="5"/>
      <c r="T31" s="12"/>
      <c r="U31" s="12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2" customFormat="1" x14ac:dyDescent="0.25">
      <c r="A32" s="2" t="s">
        <v>6</v>
      </c>
      <c r="B32" s="2" t="s">
        <v>22</v>
      </c>
      <c r="C32" s="2" t="s">
        <v>13</v>
      </c>
      <c r="D32" s="21">
        <f>7.619048</f>
        <v>7.6190480000000003</v>
      </c>
      <c r="E32" s="21">
        <v>2900</v>
      </c>
      <c r="F32" s="21">
        <v>3700</v>
      </c>
      <c r="G32" s="3">
        <f t="shared" ref="G32:G33" si="17">((0.0031*(E32*10^-3)^4.7164)/0.9)*0.4*1000</f>
        <v>208.94553401978536</v>
      </c>
      <c r="H32" s="3">
        <f t="shared" ref="H32:H33" si="18">((0.0031*(F32*10^-3)^4.7164)/0.9)*0.4*1000</f>
        <v>659.24339476966725</v>
      </c>
      <c r="I32" s="3"/>
      <c r="J32" s="3">
        <f>G32*$D32</f>
        <v>1591.9660530823776</v>
      </c>
      <c r="K32" s="3">
        <f t="shared" ref="J32:K33" si="19">H32*$D32</f>
        <v>5022.8070684330442</v>
      </c>
      <c r="L32" s="7"/>
      <c r="M32" s="7"/>
      <c r="N32" s="3" t="s">
        <v>51</v>
      </c>
      <c r="O32" s="28">
        <f t="shared" si="1"/>
        <v>606922992.01387358</v>
      </c>
      <c r="P32" s="28">
        <f t="shared" si="0"/>
        <v>144333692.55550611</v>
      </c>
      <c r="Q32" s="3"/>
      <c r="R32" s="3"/>
      <c r="S32" s="5"/>
      <c r="T32" s="5"/>
      <c r="U32" s="5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s="2" customFormat="1" x14ac:dyDescent="0.25">
      <c r="A33" s="2" t="s">
        <v>6</v>
      </c>
      <c r="B33" s="2" t="s">
        <v>22</v>
      </c>
      <c r="C33" s="2" t="s">
        <v>14</v>
      </c>
      <c r="D33" s="21">
        <f>30.47619</f>
        <v>30.476189999999999</v>
      </c>
      <c r="E33" s="21">
        <v>2600</v>
      </c>
      <c r="F33" s="21">
        <v>3000</v>
      </c>
      <c r="G33" s="3">
        <f t="shared" si="17"/>
        <v>124.84164255560299</v>
      </c>
      <c r="H33" s="3">
        <f t="shared" si="18"/>
        <v>245.17368887396498</v>
      </c>
      <c r="I33" s="3"/>
      <c r="J33" s="3">
        <f t="shared" si="19"/>
        <v>3804.6976184366422</v>
      </c>
      <c r="K33" s="3">
        <f t="shared" si="19"/>
        <v>7471.9599251238424</v>
      </c>
      <c r="L33" s="7"/>
      <c r="M33" s="7"/>
      <c r="N33" s="3" t="s">
        <v>51</v>
      </c>
      <c r="O33" s="28">
        <f t="shared" si="1"/>
        <v>1026928086.7152435</v>
      </c>
      <c r="P33" s="28">
        <f t="shared" si="0"/>
        <v>441719984.0723455</v>
      </c>
      <c r="Q33" s="3"/>
      <c r="R33" s="3"/>
      <c r="S33" s="5"/>
      <c r="T33" s="5"/>
      <c r="U33" s="5"/>
      <c r="V33" s="1"/>
      <c r="W33" s="1"/>
      <c r="X33" s="1"/>
      <c r="Y33" s="1"/>
      <c r="Z33" s="1"/>
      <c r="AA33" s="11"/>
      <c r="AB33" s="1"/>
      <c r="AC33" s="1"/>
      <c r="AD33" s="1"/>
      <c r="AE33" s="1"/>
      <c r="AF33" s="1"/>
      <c r="AG33" s="1"/>
    </row>
    <row r="34" spans="1:33" s="9" customFormat="1" x14ac:dyDescent="0.25">
      <c r="A34" s="9" t="s">
        <v>6</v>
      </c>
      <c r="B34" s="9" t="s">
        <v>22</v>
      </c>
      <c r="C34" s="9" t="s">
        <v>15</v>
      </c>
      <c r="D34" s="19">
        <f>48.761905</f>
        <v>48.761904999999999</v>
      </c>
      <c r="E34" s="19"/>
      <c r="F34" s="19"/>
      <c r="G34" s="10"/>
      <c r="H34" s="10"/>
      <c r="I34" s="10"/>
      <c r="J34" s="10"/>
      <c r="K34" s="10"/>
      <c r="L34" s="7">
        <f>SUM(J31:J33)</f>
        <v>5783.0180020128355</v>
      </c>
      <c r="M34" s="7">
        <f>SUM(K31:K33)</f>
        <v>14383.558633894479</v>
      </c>
      <c r="N34" s="10"/>
      <c r="O34" s="28" t="e">
        <f t="shared" si="1"/>
        <v>#DIV/0!</v>
      </c>
      <c r="P34" s="28" t="e">
        <f t="shared" si="0"/>
        <v>#DIV/0!</v>
      </c>
      <c r="Q34" s="10">
        <f>SUM(O31:O33)</f>
        <v>1987555229.8197241</v>
      </c>
      <c r="R34" s="10">
        <f>SUM(P31:P33)</f>
        <v>634710339.83300543</v>
      </c>
      <c r="S34" s="12"/>
      <c r="T34" s="5"/>
      <c r="U34" s="5"/>
      <c r="V34" s="11"/>
      <c r="W34" s="11"/>
      <c r="X34" s="11"/>
      <c r="Y34" s="11"/>
      <c r="Z34" s="11"/>
      <c r="AA34" s="1"/>
      <c r="AB34" s="11"/>
      <c r="AC34" s="11"/>
      <c r="AD34" s="11"/>
      <c r="AE34" s="11"/>
      <c r="AF34" s="11"/>
      <c r="AG34" s="11"/>
    </row>
    <row r="35" spans="1:33" s="1" customFormat="1" x14ac:dyDescent="0.25">
      <c r="A35" s="1" t="s">
        <v>6</v>
      </c>
      <c r="B35" s="1" t="s">
        <v>23</v>
      </c>
      <c r="C35" s="1" t="s">
        <v>9</v>
      </c>
      <c r="D35" s="22">
        <f>2.285714</f>
        <v>2.285714</v>
      </c>
      <c r="E35" s="22">
        <v>650</v>
      </c>
      <c r="F35" s="22">
        <v>1000</v>
      </c>
      <c r="G35" s="5">
        <f>10^(3.07*LOG10(E35)-8.37)</f>
        <v>1.8435036630733526</v>
      </c>
      <c r="H35" s="5">
        <f>10^(3.07*LOG10(F35)-8.37)</f>
        <v>6.9183097091893631</v>
      </c>
      <c r="I35" s="5" t="s">
        <v>48</v>
      </c>
      <c r="J35" s="5">
        <f>G35*$D35</f>
        <v>4.2137221317380451</v>
      </c>
      <c r="K35" s="5">
        <f>H35*$D35</f>
        <v>15.813277358630057</v>
      </c>
      <c r="L35" s="8"/>
      <c r="M35" s="8"/>
      <c r="N35" s="5" t="s">
        <v>53</v>
      </c>
      <c r="O35" s="28">
        <f t="shared" si="1"/>
        <v>6234566.3872897066</v>
      </c>
      <c r="P35" s="28">
        <f t="shared" si="0"/>
        <v>1193606.732877844</v>
      </c>
      <c r="Q35" s="5"/>
      <c r="R35" s="5"/>
      <c r="S35" s="5"/>
      <c r="T35" s="12"/>
      <c r="U35" s="12"/>
    </row>
    <row r="36" spans="1:33" s="1" customFormat="1" x14ac:dyDescent="0.25">
      <c r="A36" s="1" t="s">
        <v>6</v>
      </c>
      <c r="B36" s="1" t="s">
        <v>23</v>
      </c>
      <c r="C36" s="1" t="s">
        <v>10</v>
      </c>
      <c r="D36" s="22">
        <f>2.285714</f>
        <v>2.285714</v>
      </c>
      <c r="E36" s="22">
        <v>1000</v>
      </c>
      <c r="F36" s="22">
        <v>1300</v>
      </c>
      <c r="G36" s="5">
        <f>10^(3.07*LOG10(E36)-8.37)</f>
        <v>6.9183097091893631</v>
      </c>
      <c r="H36" s="5">
        <f t="shared" ref="G36:H40" si="20">10^(3.07*LOG10(F36)-8.37)</f>
        <v>15.4812524115867</v>
      </c>
      <c r="I36" s="5"/>
      <c r="J36" s="5">
        <f t="shared" ref="J36:K40" si="21">G36*$D36</f>
        <v>15.813277358630057</v>
      </c>
      <c r="K36" s="5">
        <f t="shared" si="21"/>
        <v>35.385715374697483</v>
      </c>
      <c r="L36" s="8"/>
      <c r="M36" s="8"/>
      <c r="N36" s="5" t="s">
        <v>53</v>
      </c>
      <c r="O36" s="28">
        <f t="shared" si="1"/>
        <v>10023591.209493564</v>
      </c>
      <c r="P36" s="28">
        <f t="shared" si="0"/>
        <v>3662399.6355040851</v>
      </c>
      <c r="Q36" s="5"/>
      <c r="R36" s="5"/>
      <c r="S36" s="5"/>
      <c r="T36" s="5"/>
      <c r="U36" s="5"/>
    </row>
    <row r="37" spans="1:33" s="1" customFormat="1" x14ac:dyDescent="0.25">
      <c r="A37" s="1" t="s">
        <v>6</v>
      </c>
      <c r="B37" s="1" t="s">
        <v>23</v>
      </c>
      <c r="C37" s="1" t="s">
        <v>11</v>
      </c>
      <c r="D37" s="22">
        <f>2.285714</f>
        <v>2.285714</v>
      </c>
      <c r="E37" s="22">
        <v>1450</v>
      </c>
      <c r="F37" s="22">
        <v>1800</v>
      </c>
      <c r="G37" s="5">
        <f t="shared" si="20"/>
        <v>21.647102166396493</v>
      </c>
      <c r="H37" s="5">
        <f t="shared" si="20"/>
        <v>42.042311984247227</v>
      </c>
      <c r="I37" s="5"/>
      <c r="J37" s="5">
        <f>G37*$D37</f>
        <v>49.479084481162793</v>
      </c>
      <c r="K37" s="5">
        <f t="shared" si="21"/>
        <v>96.09670109476167</v>
      </c>
      <c r="L37" s="8"/>
      <c r="M37" s="8"/>
      <c r="N37" s="5" t="s">
        <v>53</v>
      </c>
      <c r="O37" s="28">
        <f t="shared" si="1"/>
        <v>20466986.540115945</v>
      </c>
      <c r="P37" s="28">
        <f t="shared" si="0"/>
        <v>8926791.1500048731</v>
      </c>
      <c r="Q37" s="5"/>
      <c r="R37" s="5"/>
      <c r="S37" s="5"/>
      <c r="T37" s="5"/>
      <c r="U37" s="5"/>
    </row>
    <row r="38" spans="1:33" s="1" customFormat="1" x14ac:dyDescent="0.25">
      <c r="A38" s="1" t="s">
        <v>6</v>
      </c>
      <c r="B38" s="1" t="s">
        <v>23</v>
      </c>
      <c r="C38" s="1" t="s">
        <v>12</v>
      </c>
      <c r="D38" s="22">
        <f>12.952381</f>
        <v>12.952381000000001</v>
      </c>
      <c r="E38" s="22">
        <v>2300</v>
      </c>
      <c r="F38" s="22">
        <v>3300</v>
      </c>
      <c r="G38" s="5">
        <f t="shared" si="20"/>
        <v>89.228677586730711</v>
      </c>
      <c r="H38" s="5">
        <f t="shared" si="20"/>
        <v>270.29486517128805</v>
      </c>
      <c r="I38" s="5"/>
      <c r="J38" s="5">
        <f t="shared" si="21"/>
        <v>1155.7238282294968</v>
      </c>
      <c r="K38" s="5">
        <f t="shared" si="21"/>
        <v>3500.9620760421535</v>
      </c>
      <c r="L38" s="8"/>
      <c r="M38" s="8"/>
      <c r="N38" s="5" t="s">
        <v>53</v>
      </c>
      <c r="O38" s="28">
        <f t="shared" si="1"/>
        <v>523307138.23498917</v>
      </c>
      <c r="P38" s="28">
        <f t="shared" si="0"/>
        <v>130945321.19297443</v>
      </c>
      <c r="Q38" s="5"/>
      <c r="R38" s="5"/>
      <c r="S38" s="5"/>
      <c r="T38" s="5"/>
      <c r="U38" s="5"/>
    </row>
    <row r="39" spans="1:33" s="1" customFormat="1" x14ac:dyDescent="0.25">
      <c r="A39" s="1" t="s">
        <v>6</v>
      </c>
      <c r="B39" s="1" t="s">
        <v>23</v>
      </c>
      <c r="C39" s="1" t="s">
        <v>13</v>
      </c>
      <c r="D39" s="22">
        <f>7.619048</f>
        <v>7.6190480000000003</v>
      </c>
      <c r="E39" s="22">
        <v>3375</v>
      </c>
      <c r="F39" s="22">
        <v>3800</v>
      </c>
      <c r="G39" s="5">
        <f t="shared" si="20"/>
        <v>289.60129256866611</v>
      </c>
      <c r="H39" s="5">
        <f t="shared" si="20"/>
        <v>416.807611897897</v>
      </c>
      <c r="I39" s="5"/>
      <c r="J39" s="5">
        <f t="shared" si="21"/>
        <v>2206.4861489427103</v>
      </c>
      <c r="K39" s="5">
        <f t="shared" si="21"/>
        <v>3175.6772018154484</v>
      </c>
      <c r="L39" s="8"/>
      <c r="M39" s="8"/>
      <c r="N39" s="5" t="s">
        <v>53</v>
      </c>
      <c r="O39" s="28">
        <f t="shared" si="1"/>
        <v>353656458.7563203</v>
      </c>
      <c r="P39" s="28">
        <f t="shared" si="0"/>
        <v>224343071.6257917</v>
      </c>
      <c r="Q39" s="5"/>
      <c r="R39" s="5"/>
      <c r="S39" s="5"/>
      <c r="T39" s="5"/>
      <c r="U39" s="5"/>
      <c r="AA39" s="11"/>
    </row>
    <row r="40" spans="1:33" s="1" customFormat="1" x14ac:dyDescent="0.25">
      <c r="A40" s="1" t="s">
        <v>6</v>
      </c>
      <c r="B40" s="1" t="s">
        <v>23</v>
      </c>
      <c r="C40" s="1" t="s">
        <v>14</v>
      </c>
      <c r="D40" s="22">
        <f>2.285714</f>
        <v>2.285714</v>
      </c>
      <c r="E40" s="22">
        <v>3375</v>
      </c>
      <c r="F40" s="22">
        <v>3700</v>
      </c>
      <c r="G40" s="5">
        <f t="shared" si="20"/>
        <v>289.60129256866611</v>
      </c>
      <c r="H40" s="5">
        <f t="shared" si="20"/>
        <v>384.04250418385305</v>
      </c>
      <c r="I40" s="5"/>
      <c r="J40" s="5">
        <f t="shared" si="21"/>
        <v>661.94572884229615</v>
      </c>
      <c r="K40" s="5">
        <f t="shared" si="21"/>
        <v>877.81132840809153</v>
      </c>
      <c r="L40" s="8"/>
      <c r="M40" s="8"/>
      <c r="N40" s="5" t="s">
        <v>53</v>
      </c>
      <c r="O40" s="28">
        <f t="shared" si="1"/>
        <v>97756675.547349319</v>
      </c>
      <c r="P40" s="28">
        <f t="shared" si="0"/>
        <v>68694651.984451279</v>
      </c>
      <c r="Q40" s="5"/>
      <c r="R40" s="5"/>
      <c r="S40" s="5"/>
      <c r="T40" s="5"/>
      <c r="U40" s="5"/>
      <c r="V40" s="11"/>
      <c r="W40" s="11"/>
      <c r="X40" s="11"/>
      <c r="Y40" s="11"/>
      <c r="Z40" s="11"/>
    </row>
    <row r="41" spans="1:33" s="11" customFormat="1" x14ac:dyDescent="0.25">
      <c r="A41" s="11" t="s">
        <v>6</v>
      </c>
      <c r="B41" s="11" t="s">
        <v>23</v>
      </c>
      <c r="C41" s="11" t="s">
        <v>15</v>
      </c>
      <c r="D41" s="20">
        <f>29.714286</f>
        <v>29.714286000000001</v>
      </c>
      <c r="E41" s="20"/>
      <c r="F41" s="20"/>
      <c r="G41" s="12"/>
      <c r="H41" s="12"/>
      <c r="I41" s="12"/>
      <c r="J41" s="12"/>
      <c r="K41" s="12"/>
      <c r="L41" s="8">
        <f>SUM(J35:J40)</f>
        <v>4093.6617899860339</v>
      </c>
      <c r="M41" s="8">
        <f>SUM(K35:K40)</f>
        <v>7701.7463000937823</v>
      </c>
      <c r="N41" s="12"/>
      <c r="O41" s="28" t="e">
        <f t="shared" si="1"/>
        <v>#DIV/0!</v>
      </c>
      <c r="P41" s="28" t="e">
        <f t="shared" si="0"/>
        <v>#DIV/0!</v>
      </c>
      <c r="Q41" s="12">
        <f>SUM(O35:O40)</f>
        <v>1011445416.675558</v>
      </c>
      <c r="R41" s="12">
        <f>SUM(P35:P40)</f>
        <v>437765842.32160425</v>
      </c>
      <c r="S41" s="12"/>
      <c r="T41" s="5"/>
      <c r="U41" s="5"/>
      <c r="V41" s="1"/>
      <c r="W41" s="1"/>
      <c r="X41" s="1"/>
      <c r="Y41" s="1"/>
      <c r="Z41" s="1"/>
      <c r="AA41" s="1"/>
    </row>
    <row r="42" spans="1:33" s="9" customFormat="1" x14ac:dyDescent="0.25">
      <c r="A42" s="9" t="s">
        <v>6</v>
      </c>
      <c r="B42" s="9" t="s">
        <v>24</v>
      </c>
      <c r="C42" s="9" t="s">
        <v>4</v>
      </c>
      <c r="D42" s="60">
        <v>407.92</v>
      </c>
      <c r="E42" s="19">
        <v>5</v>
      </c>
      <c r="F42" s="19">
        <v>13</v>
      </c>
      <c r="G42" s="10">
        <f>(((0.039*(E42)^3.5032))/0.9)*0.297*1000</f>
        <v>3615.8488360450829</v>
      </c>
      <c r="H42" s="10">
        <f>(((0.039*(F42)^3.5032))/0.9)*0.297*1000</f>
        <v>102788.58764018776</v>
      </c>
      <c r="I42" s="10" t="s">
        <v>43</v>
      </c>
      <c r="J42" s="10">
        <f>G42*$D42</f>
        <v>1474977.0571995103</v>
      </c>
      <c r="K42" s="10">
        <f>H42*$D42</f>
        <v>41929520.670185395</v>
      </c>
      <c r="L42" s="7">
        <f>J42</f>
        <v>1474977.0571995103</v>
      </c>
      <c r="M42" s="7">
        <f>K42</f>
        <v>41929520.670185395</v>
      </c>
      <c r="N42" s="10" t="s">
        <v>53</v>
      </c>
      <c r="O42" s="28">
        <f>(63*((G42*10^6))^-0.25)*EXP(0.0693*(-1.17-20))*(K42*10^6)</f>
        <v>2484063524559.9673</v>
      </c>
      <c r="P42" s="28">
        <f t="shared" si="0"/>
        <v>37843771105.170609</v>
      </c>
      <c r="Q42" s="10">
        <f>O42</f>
        <v>2484063524559.9673</v>
      </c>
      <c r="R42" s="10">
        <f>P42</f>
        <v>37843771105.170609</v>
      </c>
      <c r="S42" s="12"/>
      <c r="T42" s="12"/>
      <c r="U42" s="12"/>
      <c r="V42" s="1"/>
      <c r="W42" s="1"/>
      <c r="X42" s="1"/>
      <c r="Y42" s="1"/>
      <c r="Z42" s="1"/>
      <c r="AA42" s="1"/>
      <c r="AB42" s="11"/>
      <c r="AC42" s="11"/>
      <c r="AD42" s="11"/>
      <c r="AE42" s="11"/>
      <c r="AF42" s="11"/>
      <c r="AG42" s="11"/>
    </row>
    <row r="43" spans="1:33" s="1" customFormat="1" x14ac:dyDescent="0.25">
      <c r="A43" s="1" t="s">
        <v>6</v>
      </c>
      <c r="B43" s="1" t="s">
        <v>25</v>
      </c>
      <c r="C43" s="1" t="s">
        <v>18</v>
      </c>
      <c r="D43" s="22">
        <f>114.285714</f>
        <v>114.285714</v>
      </c>
      <c r="E43" s="22">
        <v>550</v>
      </c>
      <c r="F43" s="22">
        <v>810</v>
      </c>
      <c r="G43" s="5">
        <f>7.498*(E43*10^-3)^3.225</f>
        <v>1.0904734839613437</v>
      </c>
      <c r="H43" s="5">
        <f>7.498*(F43*10^-3)^3.225</f>
        <v>3.8002277240591043</v>
      </c>
      <c r="I43" s="5" t="s">
        <v>41</v>
      </c>
      <c r="J43" s="5">
        <f>G43*$D43</f>
        <v>124.62554071258971</v>
      </c>
      <c r="K43" s="5">
        <f>H43*$D43</f>
        <v>434.31173880668968</v>
      </c>
      <c r="N43" s="5" t="s">
        <v>53</v>
      </c>
      <c r="O43" s="28">
        <f t="shared" si="1"/>
        <v>195250950.65402648</v>
      </c>
      <c r="P43" s="28">
        <f t="shared" si="0"/>
        <v>41006246.379094429</v>
      </c>
      <c r="T43" s="12"/>
      <c r="U43" s="12"/>
    </row>
    <row r="44" spans="1:33" s="1" customFormat="1" x14ac:dyDescent="0.25">
      <c r="A44" s="1" t="s">
        <v>6</v>
      </c>
      <c r="B44" s="1" t="s">
        <v>25</v>
      </c>
      <c r="C44" s="1" t="s">
        <v>9</v>
      </c>
      <c r="D44" s="22">
        <f>306.938776</f>
        <v>306.93877600000002</v>
      </c>
      <c r="E44" s="22">
        <v>810</v>
      </c>
      <c r="F44" s="22">
        <v>960</v>
      </c>
      <c r="G44" s="5">
        <f t="shared" ref="G44:H49" si="22">7.498*(E44*10^-3)^3.225</f>
        <v>3.8002277240591043</v>
      </c>
      <c r="H44" s="5">
        <f t="shared" si="22"/>
        <v>6.5730988370014938</v>
      </c>
      <c r="I44" s="5"/>
      <c r="J44" s="5">
        <f t="shared" ref="J44:K49" si="23">G44*$D44</f>
        <v>1166.4372461439673</v>
      </c>
      <c r="K44" s="5">
        <f t="shared" si="23"/>
        <v>2017.5389115562621</v>
      </c>
      <c r="L44" s="8"/>
      <c r="M44" s="8"/>
      <c r="N44" s="5" t="s">
        <v>53</v>
      </c>
      <c r="O44" s="28">
        <f t="shared" si="1"/>
        <v>663842236.62051094</v>
      </c>
      <c r="P44" s="28">
        <f t="shared" si="0"/>
        <v>334668012.74225223</v>
      </c>
      <c r="Q44" s="5"/>
      <c r="R44" s="5"/>
      <c r="S44" s="5"/>
    </row>
    <row r="45" spans="1:33" s="1" customFormat="1" x14ac:dyDescent="0.25">
      <c r="A45" s="1" t="s">
        <v>6</v>
      </c>
      <c r="B45" s="1" t="s">
        <v>25</v>
      </c>
      <c r="C45" s="1" t="s">
        <v>10</v>
      </c>
      <c r="D45" s="22">
        <f>248.163265</f>
        <v>248.163265</v>
      </c>
      <c r="E45" s="22">
        <v>960</v>
      </c>
      <c r="F45" s="22">
        <v>1190</v>
      </c>
      <c r="G45" s="5">
        <f t="shared" si="22"/>
        <v>6.5730988370014938</v>
      </c>
      <c r="H45" s="5">
        <f t="shared" si="22"/>
        <v>13.13966783459518</v>
      </c>
      <c r="I45" s="5"/>
      <c r="J45" s="5">
        <f t="shared" si="23"/>
        <v>1631.2016685579936</v>
      </c>
      <c r="K45" s="5">
        <f t="shared" si="23"/>
        <v>3260.78287084862</v>
      </c>
      <c r="L45" s="8"/>
      <c r="M45" s="8"/>
      <c r="N45" s="5" t="s">
        <v>53</v>
      </c>
      <c r="O45" s="28">
        <f t="shared" si="1"/>
        <v>935566595.61280215</v>
      </c>
      <c r="P45" s="28">
        <f t="shared" si="0"/>
        <v>393601665.10373789</v>
      </c>
      <c r="Q45" s="5"/>
      <c r="R45" s="5"/>
      <c r="S45" s="5"/>
      <c r="T45" s="5"/>
      <c r="U45" s="5"/>
    </row>
    <row r="46" spans="1:33" s="1" customFormat="1" x14ac:dyDescent="0.25">
      <c r="A46" s="1" t="s">
        <v>6</v>
      </c>
      <c r="B46" s="1" t="s">
        <v>25</v>
      </c>
      <c r="C46" s="1" t="s">
        <v>11</v>
      </c>
      <c r="D46" s="22">
        <f>289.52381</f>
        <v>289.52381000000003</v>
      </c>
      <c r="E46" s="22">
        <v>1200</v>
      </c>
      <c r="F46" s="22">
        <v>1700</v>
      </c>
      <c r="G46" s="5">
        <f t="shared" si="22"/>
        <v>13.4991043523647</v>
      </c>
      <c r="H46" s="5">
        <f t="shared" si="22"/>
        <v>41.509089526501782</v>
      </c>
      <c r="I46" s="5"/>
      <c r="J46" s="5">
        <f>G46*$D46</f>
        <v>3908.3121236842107</v>
      </c>
      <c r="K46" s="5">
        <f t="shared" si="23"/>
        <v>12017.869749343892</v>
      </c>
      <c r="L46" s="8"/>
      <c r="M46" s="8"/>
      <c r="N46" s="5" t="s">
        <v>53</v>
      </c>
      <c r="O46" s="28">
        <f t="shared" si="1"/>
        <v>2880359002.5589008</v>
      </c>
      <c r="P46" s="28">
        <f t="shared" si="0"/>
        <v>707373530.28581631</v>
      </c>
      <c r="Q46" s="5"/>
      <c r="R46" s="5"/>
      <c r="S46" s="5"/>
      <c r="T46" s="5"/>
      <c r="U46" s="5"/>
    </row>
    <row r="47" spans="1:33" s="1" customFormat="1" x14ac:dyDescent="0.25">
      <c r="A47" s="1" t="s">
        <v>6</v>
      </c>
      <c r="B47" s="1" t="s">
        <v>25</v>
      </c>
      <c r="C47" s="1" t="s">
        <v>12</v>
      </c>
      <c r="D47" s="22">
        <f>SUM(371.809524,
152.380952)</f>
        <v>524.19047599999999</v>
      </c>
      <c r="E47" s="22">
        <v>1770</v>
      </c>
      <c r="F47" s="22">
        <v>2120</v>
      </c>
      <c r="G47" s="5">
        <f t="shared" si="22"/>
        <v>47.27801347584105</v>
      </c>
      <c r="H47" s="5">
        <f t="shared" si="22"/>
        <v>84.601602145198584</v>
      </c>
      <c r="I47" s="5"/>
      <c r="J47" s="5">
        <f t="shared" si="23"/>
        <v>24782.684388235535</v>
      </c>
      <c r="K47" s="5">
        <f t="shared" si="23"/>
        <v>44347.354098854266</v>
      </c>
      <c r="L47" s="8"/>
      <c r="M47" s="8"/>
      <c r="N47" s="5" t="s">
        <v>53</v>
      </c>
      <c r="O47" s="28">
        <f t="shared" si="1"/>
        <v>7769593102.990592</v>
      </c>
      <c r="P47" s="28">
        <f t="shared" si="0"/>
        <v>3754041469.9658942</v>
      </c>
      <c r="Q47" s="5"/>
      <c r="R47" s="5"/>
      <c r="S47" s="5"/>
      <c r="T47" s="5"/>
      <c r="U47" s="5"/>
      <c r="AA47" s="11"/>
    </row>
    <row r="48" spans="1:33" s="1" customFormat="1" x14ac:dyDescent="0.25">
      <c r="A48" s="1" t="s">
        <v>6</v>
      </c>
      <c r="B48" s="1" t="s">
        <v>25</v>
      </c>
      <c r="C48" s="1" t="s">
        <v>13</v>
      </c>
      <c r="D48" s="22">
        <f>2095.238095</f>
        <v>2095.2380950000002</v>
      </c>
      <c r="E48" s="22">
        <v>2500</v>
      </c>
      <c r="F48" s="22">
        <v>3000</v>
      </c>
      <c r="G48" s="5">
        <f t="shared" si="22"/>
        <v>143.97993197907149</v>
      </c>
      <c r="H48" s="5">
        <f t="shared" si="22"/>
        <v>259.21580773964502</v>
      </c>
      <c r="I48" s="5"/>
      <c r="J48" s="5">
        <f t="shared" si="23"/>
        <v>301672.23839805939</v>
      </c>
      <c r="K48" s="5">
        <f t="shared" si="23"/>
        <v>543118.83520230011</v>
      </c>
      <c r="L48" s="8"/>
      <c r="M48" s="8"/>
      <c r="N48" s="5" t="s">
        <v>53</v>
      </c>
      <c r="O48" s="28">
        <f t="shared" si="1"/>
        <v>72030219778.040894</v>
      </c>
      <c r="P48" s="28">
        <f t="shared" si="0"/>
        <v>34539443964.147736</v>
      </c>
      <c r="Q48" s="5"/>
      <c r="R48" s="5"/>
      <c r="S48" s="5"/>
      <c r="T48" s="5"/>
      <c r="U48" s="5"/>
      <c r="V48" s="11"/>
      <c r="W48" s="11"/>
      <c r="X48" s="11"/>
      <c r="Y48" s="11"/>
      <c r="Z48" s="11"/>
      <c r="AA48" s="11"/>
    </row>
    <row r="49" spans="1:33" s="1" customFormat="1" x14ac:dyDescent="0.25">
      <c r="A49" s="1" t="s">
        <v>6</v>
      </c>
      <c r="B49" s="1" t="s">
        <v>25</v>
      </c>
      <c r="C49" s="1" t="s">
        <v>14</v>
      </c>
      <c r="D49" s="22">
        <f>SUM(273.371429,
76.190476)</f>
        <v>349.56190499999997</v>
      </c>
      <c r="E49" s="22">
        <v>1960</v>
      </c>
      <c r="F49" s="22">
        <v>2400</v>
      </c>
      <c r="G49" s="5">
        <f t="shared" si="22"/>
        <v>65.685765602486825</v>
      </c>
      <c r="H49" s="5">
        <f t="shared" si="22"/>
        <v>126.2195683439836</v>
      </c>
      <c r="I49" s="5"/>
      <c r="J49" s="5">
        <f t="shared" si="23"/>
        <v>22961.241355388764</v>
      </c>
      <c r="K49" s="5">
        <f t="shared" si="23"/>
        <v>44121.552758600599</v>
      </c>
      <c r="L49" s="8"/>
      <c r="M49" s="8"/>
      <c r="N49" s="5" t="s">
        <v>53</v>
      </c>
      <c r="O49" s="28">
        <f t="shared" si="1"/>
        <v>7119972859.3027439</v>
      </c>
      <c r="P49" s="28">
        <f t="shared" si="0"/>
        <v>3147089236.7767181</v>
      </c>
      <c r="Q49" s="5"/>
      <c r="R49" s="5"/>
      <c r="S49" s="5"/>
      <c r="T49" s="5"/>
      <c r="U49" s="5"/>
      <c r="V49" s="11"/>
      <c r="W49" s="11"/>
      <c r="X49" s="11"/>
      <c r="Y49" s="11"/>
      <c r="Z49" s="11"/>
    </row>
    <row r="50" spans="1:33" s="11" customFormat="1" x14ac:dyDescent="0.25">
      <c r="A50" s="11" t="s">
        <v>6</v>
      </c>
      <c r="B50" s="11" t="s">
        <v>25</v>
      </c>
      <c r="C50" s="11" t="s">
        <v>15</v>
      </c>
      <c r="D50" s="20">
        <f>SUM(2740.419048,
1187.482993)</f>
        <v>3927.9020410000003</v>
      </c>
      <c r="E50" s="20"/>
      <c r="F50" s="20"/>
      <c r="G50" s="12"/>
      <c r="H50" s="12"/>
      <c r="I50" s="12"/>
      <c r="J50" s="12"/>
      <c r="K50" s="12"/>
      <c r="L50" s="8">
        <f>SUM(J43:J49)</f>
        <v>356246.74072078243</v>
      </c>
      <c r="M50" s="8">
        <f>SUM(K43:K49)</f>
        <v>649318.24533031043</v>
      </c>
      <c r="N50" s="12"/>
      <c r="O50" s="28" t="e">
        <f t="shared" si="1"/>
        <v>#DIV/0!</v>
      </c>
      <c r="P50" s="28" t="e">
        <f t="shared" si="0"/>
        <v>#DIV/0!</v>
      </c>
      <c r="Q50" s="12">
        <f>SUM(O43:O49)</f>
        <v>91594804525.780472</v>
      </c>
      <c r="R50" s="12">
        <f>SUM(P43:P49)</f>
        <v>42917224125.401245</v>
      </c>
      <c r="S50" s="12"/>
      <c r="T50" s="5"/>
      <c r="U50" s="5"/>
      <c r="V50" s="1"/>
      <c r="W50" s="1"/>
      <c r="X50" s="1"/>
      <c r="Y50" s="1"/>
      <c r="Z50" s="1"/>
      <c r="AA50" s="1"/>
    </row>
    <row r="51" spans="1:33" s="2" customFormat="1" x14ac:dyDescent="0.25">
      <c r="A51" s="2" t="s">
        <v>6</v>
      </c>
      <c r="B51" s="2" t="s">
        <v>26</v>
      </c>
      <c r="C51" s="2" t="s">
        <v>10</v>
      </c>
      <c r="D51" s="21">
        <f>SUM(3.047619,
1015.510204)</f>
        <v>1018.5578230000001</v>
      </c>
      <c r="E51" s="21">
        <f>AVERAGE(310,410)</f>
        <v>360</v>
      </c>
      <c r="F51" s="21">
        <f>AVERAGE(340,470)</f>
        <v>405</v>
      </c>
      <c r="G51" s="3">
        <f>10^(3.07*LOG10(E51)-8.37)</f>
        <v>0.30050290681026581</v>
      </c>
      <c r="H51" s="3">
        <f>10^(3.07*LOG10(F51)-8.37)</f>
        <v>0.43140673536445334</v>
      </c>
      <c r="I51" s="3" t="s">
        <v>48</v>
      </c>
      <c r="J51" s="3">
        <f>G51*$D51</f>
        <v>306.07958656583622</v>
      </c>
      <c r="K51" s="3">
        <f>H51*$D51</f>
        <v>439.41270520035476</v>
      </c>
      <c r="L51" s="7"/>
      <c r="M51" s="7"/>
      <c r="N51" s="3" t="s">
        <v>53</v>
      </c>
      <c r="O51" s="28">
        <f t="shared" si="1"/>
        <v>272650191.6451149</v>
      </c>
      <c r="P51" s="28">
        <f t="shared" si="0"/>
        <v>173503405.06658939</v>
      </c>
      <c r="Q51" s="3"/>
      <c r="R51" s="3"/>
      <c r="S51" s="5"/>
      <c r="T51" s="12"/>
      <c r="U51" s="12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s="2" customFormat="1" x14ac:dyDescent="0.25">
      <c r="A52" s="2" t="s">
        <v>6</v>
      </c>
      <c r="B52" s="2" t="s">
        <v>26</v>
      </c>
      <c r="C52" s="2" t="s">
        <v>11</v>
      </c>
      <c r="D52" s="21">
        <f>3527.619048</f>
        <v>3527.619048</v>
      </c>
      <c r="E52" s="21">
        <f>AVERAGE(450,340)</f>
        <v>395</v>
      </c>
      <c r="F52" s="21">
        <f>AVERAGE(520,420)</f>
        <v>470</v>
      </c>
      <c r="G52" s="3">
        <f t="shared" ref="G52:H54" si="24">10^(3.07*LOG10(E52)-8.37)</f>
        <v>0.39953339306854257</v>
      </c>
      <c r="H52" s="3">
        <f t="shared" si="24"/>
        <v>0.68130319229582648</v>
      </c>
      <c r="I52" s="3"/>
      <c r="J52" s="3">
        <f t="shared" ref="J52:K55" si="25">G52*$D52</f>
        <v>1409.401607700662</v>
      </c>
      <c r="K52" s="3">
        <f t="shared" si="25"/>
        <v>2403.3781186059641</v>
      </c>
      <c r="L52" s="7"/>
      <c r="M52" s="7"/>
      <c r="N52" s="3" t="s">
        <v>53</v>
      </c>
      <c r="O52" s="28">
        <f t="shared" si="1"/>
        <v>1388766393.6810186</v>
      </c>
      <c r="P52" s="28">
        <f t="shared" si="0"/>
        <v>712680741.60111547</v>
      </c>
      <c r="Q52" s="3"/>
      <c r="R52" s="3"/>
      <c r="S52" s="5"/>
      <c r="T52" s="5"/>
      <c r="U52" s="5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s="2" customFormat="1" x14ac:dyDescent="0.25">
      <c r="A53" s="2" t="s">
        <v>6</v>
      </c>
      <c r="B53" s="2" t="s">
        <v>26</v>
      </c>
      <c r="C53" s="2" t="s">
        <v>12</v>
      </c>
      <c r="D53" s="21">
        <f>3442.721088</f>
        <v>3442.7210879999998</v>
      </c>
      <c r="E53" s="21">
        <f>470</f>
        <v>470</v>
      </c>
      <c r="F53" s="21">
        <v>580</v>
      </c>
      <c r="G53" s="3">
        <f t="shared" si="24"/>
        <v>0.68130319229582648</v>
      </c>
      <c r="H53" s="3">
        <f t="shared" si="24"/>
        <v>1.2993433864335129</v>
      </c>
      <c r="I53" s="3"/>
      <c r="J53" s="3">
        <f t="shared" si="25"/>
        <v>2345.5368674385609</v>
      </c>
      <c r="K53" s="3">
        <f t="shared" si="25"/>
        <v>4473.2768770279872</v>
      </c>
      <c r="L53" s="7"/>
      <c r="M53" s="7"/>
      <c r="N53" s="3" t="s">
        <v>53</v>
      </c>
      <c r="O53" s="28">
        <f t="shared" si="1"/>
        <v>2261965833.3641696</v>
      </c>
      <c r="P53" s="28">
        <f t="shared" si="0"/>
        <v>1009268328.9597515</v>
      </c>
      <c r="Q53" s="3"/>
      <c r="R53" s="3"/>
      <c r="S53" s="5"/>
      <c r="T53" s="5"/>
      <c r="U53" s="5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s="2" customFormat="1" x14ac:dyDescent="0.25">
      <c r="A54" s="2" t="s">
        <v>6</v>
      </c>
      <c r="B54" s="2" t="s">
        <v>26</v>
      </c>
      <c r="C54" s="2" t="s">
        <v>13</v>
      </c>
      <c r="D54" s="23">
        <f>SUM(3.047619,
5419.319728)</f>
        <v>5422.3673470000003</v>
      </c>
      <c r="E54" s="21">
        <v>540</v>
      </c>
      <c r="F54" s="21">
        <v>630</v>
      </c>
      <c r="G54" s="3">
        <f t="shared" si="24"/>
        <v>1.043395219650612</v>
      </c>
      <c r="H54" s="3">
        <f t="shared" si="24"/>
        <v>1.6748483387596196</v>
      </c>
      <c r="I54" s="3"/>
      <c r="J54" s="3">
        <f t="shared" si="25"/>
        <v>5657.6721690493714</v>
      </c>
      <c r="K54" s="3">
        <f t="shared" si="25"/>
        <v>9081.6429432673558</v>
      </c>
      <c r="L54" s="7"/>
      <c r="M54" s="7"/>
      <c r="N54" s="3" t="s">
        <v>53</v>
      </c>
      <c r="O54" s="28">
        <f t="shared" si="1"/>
        <v>4128074999.5643911</v>
      </c>
      <c r="P54" s="28">
        <f t="shared" si="0"/>
        <v>2284753092.4250798</v>
      </c>
      <c r="Q54" s="3"/>
      <c r="R54" s="3"/>
      <c r="S54" s="5"/>
      <c r="T54" s="5"/>
      <c r="U54" s="5"/>
      <c r="V54" s="1"/>
      <c r="W54" s="1"/>
      <c r="X54" s="1"/>
      <c r="Y54" s="1"/>
      <c r="Z54" s="1"/>
      <c r="AA54" s="11"/>
      <c r="AB54" s="1"/>
      <c r="AC54" s="1"/>
      <c r="AD54" s="1"/>
      <c r="AE54" s="1"/>
      <c r="AF54" s="1"/>
      <c r="AG54" s="1"/>
    </row>
    <row r="55" spans="1:33" s="2" customFormat="1" x14ac:dyDescent="0.25">
      <c r="A55" s="2" t="s">
        <v>6</v>
      </c>
      <c r="B55" s="2" t="s">
        <v>26</v>
      </c>
      <c r="C55" s="2" t="s">
        <v>14</v>
      </c>
      <c r="D55" s="21">
        <f>SUM(4.571429,660.680272,225.30612)</f>
        <v>890.55782099999988</v>
      </c>
      <c r="E55" s="21">
        <v>500</v>
      </c>
      <c r="F55" s="21">
        <v>570</v>
      </c>
      <c r="G55" s="3">
        <f>10^(3.07*LOG10(E55)-8.37)</f>
        <v>0.8238305889012606</v>
      </c>
      <c r="H55" s="3">
        <f>10^(3.07*LOG10(F55)-8.37)</f>
        <v>1.2317875405449858</v>
      </c>
      <c r="I55" s="3"/>
      <c r="J55" s="3">
        <f t="shared" si="25"/>
        <v>733.66877412505335</v>
      </c>
      <c r="K55" s="3">
        <f t="shared" si="25"/>
        <v>1096.9780280426917</v>
      </c>
      <c r="L55" s="7"/>
      <c r="M55" s="7"/>
      <c r="N55" s="3" t="s">
        <v>53</v>
      </c>
      <c r="O55" s="28">
        <f t="shared" si="1"/>
        <v>528973380.08648217</v>
      </c>
      <c r="P55" s="28">
        <f t="shared" si="0"/>
        <v>319934776.76507872</v>
      </c>
      <c r="Q55" s="3"/>
      <c r="R55" s="3"/>
      <c r="S55" s="5"/>
      <c r="T55" s="5"/>
      <c r="U55" s="5"/>
      <c r="V55" s="11"/>
      <c r="W55" s="11"/>
      <c r="X55" s="11"/>
      <c r="Y55" s="11"/>
      <c r="Z55" s="11"/>
      <c r="AA55" s="11"/>
      <c r="AB55" s="1"/>
      <c r="AC55" s="1"/>
      <c r="AD55" s="1"/>
      <c r="AE55" s="1"/>
      <c r="AF55" s="1"/>
      <c r="AG55" s="1"/>
    </row>
    <row r="56" spans="1:33" s="9" customFormat="1" x14ac:dyDescent="0.25">
      <c r="A56" s="9" t="s">
        <v>6</v>
      </c>
      <c r="B56" s="9" t="s">
        <v>26</v>
      </c>
      <c r="C56" s="9" t="s">
        <v>15</v>
      </c>
      <c r="D56" s="19">
        <f>SUM(10.666667,
14291.156463)</f>
        <v>14301.823129999999</v>
      </c>
      <c r="E56" s="19"/>
      <c r="F56" s="19"/>
      <c r="G56" s="10"/>
      <c r="H56" s="10"/>
      <c r="I56" s="10"/>
      <c r="J56" s="10"/>
      <c r="K56" s="10"/>
      <c r="L56" s="7">
        <f>SUM(J51:J55)</f>
        <v>10452.359004879483</v>
      </c>
      <c r="M56" s="7">
        <f>SUM(K51:K55)</f>
        <v>17494.688672144355</v>
      </c>
      <c r="N56" s="10"/>
      <c r="O56" s="28" t="e">
        <f t="shared" si="1"/>
        <v>#DIV/0!</v>
      </c>
      <c r="P56" s="28" t="e">
        <f t="shared" si="0"/>
        <v>#DIV/0!</v>
      </c>
      <c r="Q56" s="10">
        <f>SUM(O51:O55)</f>
        <v>8580430798.341176</v>
      </c>
      <c r="R56" s="10">
        <f>SUM(P51:P55)</f>
        <v>4500140344.8176146</v>
      </c>
      <c r="S56" s="12"/>
      <c r="T56" s="5"/>
      <c r="U56" s="5"/>
      <c r="V56" s="11"/>
      <c r="W56" s="11"/>
      <c r="X56" s="11"/>
      <c r="Y56" s="11"/>
      <c r="Z56" s="11"/>
      <c r="AA56" s="1"/>
      <c r="AB56" s="11"/>
      <c r="AC56" s="11"/>
      <c r="AD56" s="11"/>
      <c r="AE56" s="11"/>
      <c r="AF56" s="11"/>
      <c r="AG56" s="11"/>
    </row>
    <row r="57" spans="1:33" s="1" customFormat="1" x14ac:dyDescent="0.25">
      <c r="A57" s="1" t="s">
        <v>6</v>
      </c>
      <c r="B57" s="1" t="s">
        <v>27</v>
      </c>
      <c r="C57" s="1" t="s">
        <v>18</v>
      </c>
      <c r="D57" s="22">
        <f>143.673469</f>
        <v>143.67346900000001</v>
      </c>
      <c r="E57" s="22">
        <v>200</v>
      </c>
      <c r="F57" s="22">
        <v>240</v>
      </c>
      <c r="G57" s="5">
        <f>9.4676*10^-7*(E57*10^-3*1000)^2.16</f>
        <v>8.8402529453012677E-2</v>
      </c>
      <c r="H57" s="5">
        <f>9.4676*10^-7*(F57*10^-3*1000)^2.16</f>
        <v>0.13106785230452156</v>
      </c>
      <c r="I57" s="5" t="s">
        <v>44</v>
      </c>
      <c r="J57" s="5">
        <f>G57*$D57</f>
        <v>12.701098074889005</v>
      </c>
      <c r="K57" s="5">
        <f>H57*$D57</f>
        <v>18.830973014970258</v>
      </c>
      <c r="L57" s="8"/>
      <c r="M57" s="8"/>
      <c r="N57" s="5" t="s">
        <v>53</v>
      </c>
      <c r="O57" s="28">
        <f t="shared" si="1"/>
        <v>15865433.927380599</v>
      </c>
      <c r="P57" s="28">
        <f t="shared" si="0"/>
        <v>9697562.5706325676</v>
      </c>
      <c r="Q57" s="5"/>
      <c r="R57" s="5"/>
      <c r="S57" s="5"/>
      <c r="T57" s="12"/>
      <c r="U57" s="12"/>
    </row>
    <row r="58" spans="1:33" s="1" customFormat="1" x14ac:dyDescent="0.25">
      <c r="A58" s="1" t="s">
        <v>6</v>
      </c>
      <c r="B58" s="1" t="s">
        <v>27</v>
      </c>
      <c r="C58" s="1" t="s">
        <v>9</v>
      </c>
      <c r="D58" s="22">
        <f>788.027211</f>
        <v>788.02721099999997</v>
      </c>
      <c r="E58" s="22">
        <v>240</v>
      </c>
      <c r="F58" s="22">
        <v>280</v>
      </c>
      <c r="G58" s="5">
        <f t="shared" ref="G58:H63" si="26">9.4676*10^-7*(E58*10^-3*1000)^2.16</f>
        <v>0.13106785230452156</v>
      </c>
      <c r="H58" s="5">
        <f t="shared" si="26"/>
        <v>0.18285264576036406</v>
      </c>
      <c r="I58" s="5"/>
      <c r="J58" s="5">
        <f t="shared" ref="J58:K63" si="27">G58*$D58</f>
        <v>103.28503410329205</v>
      </c>
      <c r="K58" s="5">
        <f>H58*$D58</f>
        <v>144.09286046251066</v>
      </c>
      <c r="L58" s="8"/>
      <c r="M58" s="8"/>
      <c r="N58" s="5" t="s">
        <v>53</v>
      </c>
      <c r="O58" s="28">
        <f t="shared" si="1"/>
        <v>110018009.6301505</v>
      </c>
      <c r="P58" s="28">
        <f t="shared" si="0"/>
        <v>72561700.460702494</v>
      </c>
      <c r="Q58" s="5"/>
      <c r="R58" s="5"/>
      <c r="S58" s="5"/>
      <c r="T58" s="5"/>
      <c r="U58" s="5"/>
    </row>
    <row r="59" spans="1:33" s="1" customFormat="1" x14ac:dyDescent="0.25">
      <c r="A59" s="1" t="s">
        <v>6</v>
      </c>
      <c r="B59" s="1" t="s">
        <v>27</v>
      </c>
      <c r="C59" s="1" t="s">
        <v>10</v>
      </c>
      <c r="D59" s="22">
        <f>1061.22449</f>
        <v>1061.2244900000001</v>
      </c>
      <c r="E59" s="22">
        <v>280</v>
      </c>
      <c r="F59" s="22">
        <v>320</v>
      </c>
      <c r="G59" s="5">
        <f t="shared" si="26"/>
        <v>0.18285264576036406</v>
      </c>
      <c r="H59" s="5">
        <f t="shared" si="26"/>
        <v>0.24398540846373284</v>
      </c>
      <c r="I59" s="5"/>
      <c r="J59" s="5">
        <f t="shared" si="27"/>
        <v>194.04770574219302</v>
      </c>
      <c r="K59" s="5">
        <f>H59*$D59</f>
        <v>258.92329066436656</v>
      </c>
      <c r="L59" s="8"/>
      <c r="M59" s="8"/>
      <c r="N59" s="5" t="s">
        <v>53</v>
      </c>
      <c r="O59" s="28">
        <f t="shared" si="1"/>
        <v>181903548.97591439</v>
      </c>
      <c r="P59" s="28">
        <f t="shared" si="0"/>
        <v>126841951.59620202</v>
      </c>
      <c r="Q59" s="5"/>
      <c r="R59" s="5"/>
      <c r="S59" s="5"/>
      <c r="T59" s="5"/>
      <c r="U59" s="5"/>
    </row>
    <row r="60" spans="1:33" s="1" customFormat="1" x14ac:dyDescent="0.25">
      <c r="A60" s="1" t="s">
        <v>6</v>
      </c>
      <c r="B60" s="1" t="s">
        <v>27</v>
      </c>
      <c r="C60" s="1" t="s">
        <v>11</v>
      </c>
      <c r="D60" s="22">
        <v>2676.4625850000002</v>
      </c>
      <c r="E60" s="22">
        <v>320</v>
      </c>
      <c r="F60" s="22">
        <v>360</v>
      </c>
      <c r="G60" s="5">
        <f t="shared" si="26"/>
        <v>0.24398540846373284</v>
      </c>
      <c r="H60" s="5">
        <f t="shared" si="26"/>
        <v>0.31466852373011789</v>
      </c>
      <c r="I60" s="5"/>
      <c r="J60" s="5">
        <f t="shared" si="27"/>
        <v>653.01781703912332</v>
      </c>
      <c r="K60" s="5">
        <f>H60*$D60</f>
        <v>842.19853044084527</v>
      </c>
      <c r="L60" s="8"/>
      <c r="M60" s="8"/>
      <c r="N60" s="5" t="s">
        <v>53</v>
      </c>
      <c r="O60" s="28">
        <f t="shared" si="1"/>
        <v>550514652.17783451</v>
      </c>
      <c r="P60" s="28">
        <f t="shared" si="0"/>
        <v>400550309.62608135</v>
      </c>
      <c r="Q60" s="5"/>
      <c r="R60" s="5"/>
      <c r="S60" s="5"/>
      <c r="T60" s="5"/>
      <c r="U60" s="5"/>
    </row>
    <row r="61" spans="1:33" s="1" customFormat="1" x14ac:dyDescent="0.25">
      <c r="A61" s="1" t="s">
        <v>6</v>
      </c>
      <c r="B61" s="1" t="s">
        <v>27</v>
      </c>
      <c r="C61" s="1" t="s">
        <v>12</v>
      </c>
      <c r="D61" s="22">
        <f>SUM(4.571429,
7555.918367)</f>
        <v>7560.4897959999998</v>
      </c>
      <c r="E61" s="22">
        <v>400</v>
      </c>
      <c r="F61" s="22">
        <v>400</v>
      </c>
      <c r="G61" s="5">
        <f t="shared" si="26"/>
        <v>0.3950840365236063</v>
      </c>
      <c r="H61" s="5">
        <f t="shared" si="26"/>
        <v>0.3950840365236063</v>
      </c>
      <c r="I61" s="5"/>
      <c r="J61" s="5">
        <f t="shared" si="27"/>
        <v>2987.0288266992166</v>
      </c>
      <c r="K61" s="5">
        <f t="shared" si="27"/>
        <v>2987.0288266992166</v>
      </c>
      <c r="L61" s="8"/>
      <c r="M61" s="8"/>
      <c r="N61" s="5" t="s">
        <v>53</v>
      </c>
      <c r="O61" s="28">
        <f t="shared" si="1"/>
        <v>1730861866.7221141</v>
      </c>
      <c r="P61" s="28">
        <f t="shared" si="0"/>
        <v>1730861866.7221141</v>
      </c>
      <c r="Q61" s="5"/>
      <c r="R61" s="5"/>
      <c r="S61" s="5"/>
      <c r="T61" s="5"/>
      <c r="U61" s="5"/>
    </row>
    <row r="62" spans="1:33" s="1" customFormat="1" x14ac:dyDescent="0.25">
      <c r="A62" s="1" t="s">
        <v>6</v>
      </c>
      <c r="B62" s="1" t="s">
        <v>27</v>
      </c>
      <c r="C62" s="1" t="s">
        <v>13</v>
      </c>
      <c r="D62" s="22">
        <f>SUM(13.409524,24435.37415,274.285714)</f>
        <v>24723.069388</v>
      </c>
      <c r="E62" s="22">
        <v>420</v>
      </c>
      <c r="F62" s="22">
        <v>500</v>
      </c>
      <c r="G62" s="5">
        <f t="shared" si="26"/>
        <v>0.43899378138795536</v>
      </c>
      <c r="H62" s="5">
        <f t="shared" si="26"/>
        <v>0.63975709407633896</v>
      </c>
      <c r="I62" s="5"/>
      <c r="J62" s="5">
        <f t="shared" si="27"/>
        <v>10853.273718154924</v>
      </c>
      <c r="K62" s="5">
        <f>H62*$D62</f>
        <v>15816.759028314571</v>
      </c>
      <c r="L62" s="8"/>
      <c r="M62" s="8"/>
      <c r="N62" s="5" t="s">
        <v>53</v>
      </c>
      <c r="O62" s="28">
        <f t="shared" si="1"/>
        <v>8926850727.8886642</v>
      </c>
      <c r="P62" s="28">
        <f t="shared" si="0"/>
        <v>5575095935.4304419</v>
      </c>
      <c r="Q62" s="5"/>
      <c r="R62" s="5"/>
      <c r="S62" s="5"/>
      <c r="T62" s="5"/>
      <c r="U62" s="5"/>
    </row>
    <row r="63" spans="1:33" s="1" customFormat="1" x14ac:dyDescent="0.25">
      <c r="A63" s="1" t="s">
        <v>6</v>
      </c>
      <c r="B63" s="1" t="s">
        <v>27</v>
      </c>
      <c r="C63" s="1" t="s">
        <v>14</v>
      </c>
      <c r="D63" s="22">
        <f>3173.877551</f>
        <v>3173.877551</v>
      </c>
      <c r="E63" s="22">
        <v>380</v>
      </c>
      <c r="F63" s="22">
        <v>420</v>
      </c>
      <c r="G63" s="5">
        <f t="shared" si="26"/>
        <v>0.35364902873926202</v>
      </c>
      <c r="H63" s="5">
        <f t="shared" si="26"/>
        <v>0.43899378138795536</v>
      </c>
      <c r="I63" s="5"/>
      <c r="J63" s="5">
        <f t="shared" si="27"/>
        <v>1122.4387132484976</v>
      </c>
      <c r="K63" s="5">
        <f>H63*$D63</f>
        <v>1393.3125077758332</v>
      </c>
      <c r="L63" s="8"/>
      <c r="M63" s="8"/>
      <c r="N63" s="5" t="s">
        <v>53</v>
      </c>
      <c r="O63" s="28">
        <f t="shared" si="1"/>
        <v>830043370.08545542</v>
      </c>
      <c r="P63" s="28">
        <f t="shared" si="0"/>
        <v>633495321.41417968</v>
      </c>
      <c r="Q63" s="5"/>
      <c r="R63" s="5"/>
      <c r="S63" s="5"/>
      <c r="T63" s="5"/>
      <c r="U63" s="5"/>
      <c r="AA63" s="11"/>
    </row>
    <row r="64" spans="1:33" s="11" customFormat="1" x14ac:dyDescent="0.25">
      <c r="A64" s="11" t="s">
        <v>6</v>
      </c>
      <c r="B64" s="11" t="s">
        <v>27</v>
      </c>
      <c r="C64" s="11" t="s">
        <v>15</v>
      </c>
      <c r="D64" s="20">
        <f>SUM(17.980952,
40108.843537)</f>
        <v>40126.824488999999</v>
      </c>
      <c r="E64" s="20"/>
      <c r="F64" s="20"/>
      <c r="G64" s="12"/>
      <c r="H64" s="12"/>
      <c r="I64" s="12"/>
      <c r="J64" s="12"/>
      <c r="K64" s="12"/>
      <c r="L64" s="8">
        <f>SUM(J57:J63)</f>
        <v>15925.792913062136</v>
      </c>
      <c r="M64" s="8">
        <f>SUM(K57:K63)</f>
        <v>21461.146017372314</v>
      </c>
      <c r="N64" s="12"/>
      <c r="O64" s="28" t="e">
        <f t="shared" si="1"/>
        <v>#DIV/0!</v>
      </c>
      <c r="P64" s="28" t="e">
        <f t="shared" si="0"/>
        <v>#DIV/0!</v>
      </c>
      <c r="Q64" s="12">
        <f>SUM(O57:O63)</f>
        <v>12346057609.407513</v>
      </c>
      <c r="R64" s="12">
        <f>SUM(P57:P63)</f>
        <v>8549104647.8203545</v>
      </c>
      <c r="S64" s="12"/>
      <c r="T64" s="5"/>
      <c r="U64" s="5"/>
      <c r="AA64" s="1"/>
    </row>
    <row r="65" spans="1:33" s="9" customFormat="1" x14ac:dyDescent="0.25">
      <c r="A65" s="9" t="s">
        <v>6</v>
      </c>
      <c r="B65" s="9" t="s">
        <v>28</v>
      </c>
      <c r="C65" s="9" t="s">
        <v>13</v>
      </c>
      <c r="D65" s="19">
        <f>994.829932</f>
        <v>994.82993199999999</v>
      </c>
      <c r="E65" s="19">
        <v>400</v>
      </c>
      <c r="F65" s="19">
        <v>540</v>
      </c>
      <c r="G65" s="10">
        <f>0.4*((10^((3.16*LOG10(E65))-8.18))/0.9)</f>
        <v>0.49014779640231004</v>
      </c>
      <c r="H65" s="10">
        <f>0.4*((10^((3.16*LOG10(F65))-8.18))/0.9)</f>
        <v>1.2652657815422117</v>
      </c>
      <c r="I65" s="10" t="s">
        <v>43</v>
      </c>
      <c r="J65" s="10">
        <f>G65*$D65</f>
        <v>487.61369896485996</v>
      </c>
      <c r="K65" s="10">
        <f>H65*$D65</f>
        <v>1258.7242714135652</v>
      </c>
      <c r="L65" s="7">
        <f>J65</f>
        <v>487.61369896485996</v>
      </c>
      <c r="M65" s="7">
        <f>K65</f>
        <v>1258.7242714135652</v>
      </c>
      <c r="N65" s="10" t="s">
        <v>53</v>
      </c>
      <c r="O65" s="28">
        <f t="shared" si="1"/>
        <v>691105277.84579039</v>
      </c>
      <c r="P65" s="28">
        <f t="shared" si="0"/>
        <v>211215518.68746042</v>
      </c>
      <c r="Q65" s="10">
        <v>57835794.073674783</v>
      </c>
      <c r="R65" s="10">
        <v>117784389.18043558</v>
      </c>
      <c r="S65" s="12"/>
      <c r="T65" s="12"/>
      <c r="U65" s="12"/>
      <c r="V65" s="1"/>
      <c r="W65" s="1"/>
      <c r="X65" s="1"/>
      <c r="Y65" s="1"/>
      <c r="Z65" s="1"/>
      <c r="AA65" s="1"/>
      <c r="AB65" s="11"/>
      <c r="AC65" s="11"/>
      <c r="AD65" s="11"/>
      <c r="AE65" s="11"/>
      <c r="AF65" s="11"/>
      <c r="AG65" s="11"/>
    </row>
    <row r="66" spans="1:33" s="1" customFormat="1" x14ac:dyDescent="0.25">
      <c r="A66" s="1" t="s">
        <v>6</v>
      </c>
      <c r="B66" s="1" t="s">
        <v>29</v>
      </c>
      <c r="C66" s="1" t="s">
        <v>18</v>
      </c>
      <c r="D66" s="22">
        <f>428.843537</f>
        <v>428.84353700000003</v>
      </c>
      <c r="E66" s="22">
        <f>AVERAGE(1160,1000)</f>
        <v>1080</v>
      </c>
      <c r="F66" s="22">
        <f>AVERAGE(1160,1000)</f>
        <v>1080</v>
      </c>
      <c r="G66" s="5">
        <f>((0.0075*(E66*10^-3)^3.274)/0.9)*0.447*1000</f>
        <v>4.7924286142003751</v>
      </c>
      <c r="H66" s="5">
        <f>((0.0075*(F66*10^-3)^3.274)/0.9)*0.447*1000</f>
        <v>4.7924286142003751</v>
      </c>
      <c r="I66" s="5" t="s">
        <v>46</v>
      </c>
      <c r="J66" s="5">
        <f>G66*$D66</f>
        <v>2055.2020377336976</v>
      </c>
      <c r="K66" s="5">
        <f>H66*$D66</f>
        <v>2055.2020377336976</v>
      </c>
      <c r="L66" s="8"/>
      <c r="M66" s="8"/>
      <c r="N66" s="5" t="s">
        <v>51</v>
      </c>
      <c r="O66" s="28">
        <f t="shared" ref="O66:O129" si="28">(63*(G66*10^6)^-0.25)*(EXP(0.0693*(-1.17-20)))*(K66*10^6)</f>
        <v>638132664.0231986</v>
      </c>
      <c r="P66" s="28">
        <f t="shared" ref="P66:P129" si="29">(63*(H66*10^6)^-0.25)*(EXP(0.0693*(-1.17-20)))*(J66*10^6)</f>
        <v>638132664.0231986</v>
      </c>
      <c r="Q66" s="5"/>
      <c r="R66" s="5"/>
      <c r="S66" s="5"/>
      <c r="T66" s="12"/>
      <c r="U66" s="12"/>
    </row>
    <row r="67" spans="1:33" s="1" customFormat="1" x14ac:dyDescent="0.25">
      <c r="A67" s="1" t="s">
        <v>6</v>
      </c>
      <c r="B67" s="1" t="s">
        <v>29</v>
      </c>
      <c r="C67" s="1" t="s">
        <v>9</v>
      </c>
      <c r="D67" s="22">
        <f>SUM(4.571429,
511.564626)</f>
        <v>516.13605499999994</v>
      </c>
      <c r="E67" s="22">
        <v>1500</v>
      </c>
      <c r="F67" s="22">
        <v>1500</v>
      </c>
      <c r="G67" s="5">
        <f t="shared" ref="G67:G70" si="30">((0.0075*(E67*10^-3)^3.274)/0.9)*0.447*1000</f>
        <v>14.049117968657727</v>
      </c>
      <c r="H67" s="5">
        <f t="shared" ref="H67:H70" si="31">((0.0075*(F67*10^-3)^3.274)/0.9)*0.447*1000</f>
        <v>14.049117968657727</v>
      </c>
      <c r="I67" s="5"/>
      <c r="J67" s="5">
        <f t="shared" ref="J67:K70" si="32">G67*$D67</f>
        <v>7251.2563245726124</v>
      </c>
      <c r="K67" s="5">
        <f t="shared" si="32"/>
        <v>7251.2563245726124</v>
      </c>
      <c r="L67" s="8"/>
      <c r="M67" s="8"/>
      <c r="N67" s="5" t="s">
        <v>51</v>
      </c>
      <c r="O67" s="28">
        <f t="shared" si="28"/>
        <v>1720665135.8417625</v>
      </c>
      <c r="P67" s="28">
        <f t="shared" si="29"/>
        <v>1720665135.8417625</v>
      </c>
      <c r="Q67" s="5"/>
      <c r="R67" s="5"/>
      <c r="S67" s="5"/>
      <c r="T67" s="5"/>
      <c r="U67" s="5"/>
    </row>
    <row r="68" spans="1:33" s="1" customFormat="1" x14ac:dyDescent="0.25">
      <c r="A68" s="1" t="s">
        <v>6</v>
      </c>
      <c r="B68" s="1" t="s">
        <v>29</v>
      </c>
      <c r="C68" s="1" t="s">
        <v>10</v>
      </c>
      <c r="D68" s="22">
        <f>SUM(106.057143,
111.020408)</f>
        <v>217.077551</v>
      </c>
      <c r="E68" s="22">
        <f>AVERAGE(2080,300)</f>
        <v>1190</v>
      </c>
      <c r="F68" s="22">
        <f>AVERAGE(2410,300)</f>
        <v>1355</v>
      </c>
      <c r="G68" s="5">
        <f t="shared" si="30"/>
        <v>6.5836544542729074</v>
      </c>
      <c r="H68" s="5">
        <f t="shared" si="31"/>
        <v>10.071531829787753</v>
      </c>
      <c r="I68" s="5"/>
      <c r="J68" s="5">
        <f t="shared" si="32"/>
        <v>1429.1635855638042</v>
      </c>
      <c r="K68" s="5">
        <f t="shared" si="32"/>
        <v>2186.3034644288746</v>
      </c>
      <c r="L68" s="8"/>
      <c r="M68" s="8"/>
      <c r="N68" s="5" t="s">
        <v>51</v>
      </c>
      <c r="O68" s="28">
        <f t="shared" si="28"/>
        <v>627031057.5331198</v>
      </c>
      <c r="P68" s="28">
        <f t="shared" si="29"/>
        <v>368555949.50160098</v>
      </c>
      <c r="Q68" s="5"/>
      <c r="R68" s="5"/>
      <c r="S68" s="5"/>
      <c r="T68" s="5"/>
      <c r="U68" s="5"/>
    </row>
    <row r="69" spans="1:33" s="1" customFormat="1" x14ac:dyDescent="0.25">
      <c r="A69" s="1" t="s">
        <v>6</v>
      </c>
      <c r="B69" s="1" t="s">
        <v>29</v>
      </c>
      <c r="C69" s="1" t="s">
        <v>11</v>
      </c>
      <c r="D69" s="22">
        <f>69.790476</f>
        <v>69.790475999999998</v>
      </c>
      <c r="E69" s="22">
        <f>AVERAGE(2960,4000)</f>
        <v>3480</v>
      </c>
      <c r="F69" s="22">
        <f>AVERAGE(3570,5400)</f>
        <v>4485</v>
      </c>
      <c r="G69" s="5">
        <f t="shared" si="30"/>
        <v>220.93103228131193</v>
      </c>
      <c r="H69" s="5">
        <f t="shared" si="31"/>
        <v>506.98665722465563</v>
      </c>
      <c r="I69" s="5"/>
      <c r="J69" s="5">
        <f t="shared" si="32"/>
        <v>15418.881906084125</v>
      </c>
      <c r="K69" s="5">
        <f t="shared" si="32"/>
        <v>35382.840133357553</v>
      </c>
      <c r="L69" s="8"/>
      <c r="M69" s="8"/>
      <c r="N69" s="5" t="s">
        <v>51</v>
      </c>
      <c r="O69" s="28">
        <f t="shared" si="28"/>
        <v>4216225945.1122665</v>
      </c>
      <c r="P69" s="28">
        <f t="shared" si="29"/>
        <v>1492791372.2817509</v>
      </c>
      <c r="Q69" s="5"/>
      <c r="R69" s="5"/>
      <c r="S69" s="5"/>
      <c r="T69" s="5"/>
      <c r="U69" s="5"/>
    </row>
    <row r="70" spans="1:33" s="1" customFormat="1" x14ac:dyDescent="0.25">
      <c r="A70" s="1" t="s">
        <v>6</v>
      </c>
      <c r="B70" s="1" t="s">
        <v>29</v>
      </c>
      <c r="C70" s="1" t="s">
        <v>12</v>
      </c>
      <c r="D70" s="22">
        <f>16.761905</f>
        <v>16.761904999999999</v>
      </c>
      <c r="E70" s="22">
        <f>AVERAGE(4400,3000)</f>
        <v>3700</v>
      </c>
      <c r="F70" s="22">
        <f>AVERAGE(5640,3800)</f>
        <v>4720</v>
      </c>
      <c r="G70" s="5">
        <f t="shared" si="30"/>
        <v>270.03416914122573</v>
      </c>
      <c r="H70" s="5">
        <f t="shared" si="31"/>
        <v>599.25598557806939</v>
      </c>
      <c r="I70" s="5"/>
      <c r="J70" s="5">
        <f t="shared" si="32"/>
        <v>4526.2870898991569</v>
      </c>
      <c r="K70" s="5">
        <f>H70*$D70</f>
        <v>10044.671900940968</v>
      </c>
      <c r="L70" s="8"/>
      <c r="M70" s="8"/>
      <c r="N70" s="5" t="s">
        <v>51</v>
      </c>
      <c r="O70" s="28">
        <f t="shared" si="28"/>
        <v>1138351650.9885867</v>
      </c>
      <c r="P70" s="28">
        <f t="shared" si="29"/>
        <v>420275785.07374603</v>
      </c>
      <c r="Q70" s="5"/>
      <c r="R70" s="5"/>
      <c r="S70" s="5"/>
      <c r="T70" s="5"/>
      <c r="U70" s="5"/>
      <c r="AA70" s="11"/>
    </row>
    <row r="71" spans="1:33" s="11" customFormat="1" x14ac:dyDescent="0.25">
      <c r="A71" s="11" t="s">
        <v>6</v>
      </c>
      <c r="B71" s="11" t="s">
        <v>29</v>
      </c>
      <c r="C71" s="11" t="s">
        <v>15</v>
      </c>
      <c r="D71" s="20">
        <f>SUM(197.180952,
1051.428571)</f>
        <v>1248.6095229999999</v>
      </c>
      <c r="E71" s="20"/>
      <c r="F71" s="20"/>
      <c r="G71" s="12"/>
      <c r="H71" s="12"/>
      <c r="I71" s="12"/>
      <c r="J71" s="12"/>
      <c r="K71" s="12"/>
      <c r="L71" s="8">
        <f>SUM(J66:J70)</f>
        <v>30680.790943853393</v>
      </c>
      <c r="M71" s="8">
        <f>SUM(K68:K70)</f>
        <v>47613.815498727403</v>
      </c>
      <c r="N71" s="12"/>
      <c r="O71" s="28" t="e">
        <f t="shared" si="28"/>
        <v>#DIV/0!</v>
      </c>
      <c r="P71" s="28" t="e">
        <f t="shared" si="29"/>
        <v>#DIV/0!</v>
      </c>
      <c r="Q71" s="12">
        <f>SUM(O66:O70)</f>
        <v>8340406453.4989338</v>
      </c>
      <c r="R71" s="12">
        <f>SUM(P68:P70)</f>
        <v>2281623106.8570981</v>
      </c>
      <c r="S71" s="12"/>
      <c r="T71" s="5"/>
      <c r="U71" s="5"/>
    </row>
    <row r="72" spans="1:33" s="9" customFormat="1" x14ac:dyDescent="0.25">
      <c r="A72" s="9" t="s">
        <v>6</v>
      </c>
      <c r="B72" s="9" t="s">
        <v>30</v>
      </c>
      <c r="C72" s="9" t="s">
        <v>4</v>
      </c>
      <c r="D72" s="19">
        <f>SUM(8.380952,
380.952381)</f>
        <v>389.33333299999998</v>
      </c>
      <c r="E72" s="19"/>
      <c r="F72" s="19"/>
      <c r="G72" s="10">
        <f>0.537*11.3</f>
        <v>6.0681000000000012</v>
      </c>
      <c r="H72" s="10">
        <f>0.537*11.3</f>
        <v>6.0681000000000012</v>
      </c>
      <c r="I72" s="10" t="s">
        <v>48</v>
      </c>
      <c r="J72" s="10">
        <f>G72*D72</f>
        <v>2362.5135979773004</v>
      </c>
      <c r="K72" s="10">
        <v>2362.5135979773004</v>
      </c>
      <c r="L72" s="7">
        <v>2362.5135979773004</v>
      </c>
      <c r="M72" s="7">
        <v>2362.5135979773004</v>
      </c>
      <c r="N72" s="10" t="s">
        <v>53</v>
      </c>
      <c r="O72" s="28">
        <f t="shared" si="28"/>
        <v>691522796.08351958</v>
      </c>
      <c r="P72" s="28">
        <f t="shared" si="29"/>
        <v>691522796.08351958</v>
      </c>
      <c r="Q72" s="10">
        <f>O72</f>
        <v>691522796.08351958</v>
      </c>
      <c r="R72" s="10">
        <f>P72</f>
        <v>691522796.08351958</v>
      </c>
      <c r="S72" s="12"/>
      <c r="T72" s="12"/>
      <c r="U72" s="12"/>
      <c r="V72" s="11"/>
      <c r="W72" s="11"/>
      <c r="X72" s="11"/>
      <c r="Y72" s="11"/>
      <c r="Z72" s="11"/>
      <c r="AA72" s="1"/>
      <c r="AB72" s="11"/>
      <c r="AC72" s="11"/>
      <c r="AD72" s="11"/>
      <c r="AE72" s="11"/>
      <c r="AF72" s="11"/>
      <c r="AG72" s="11"/>
    </row>
    <row r="73" spans="1:33" s="1" customFormat="1" x14ac:dyDescent="0.25">
      <c r="A73" s="1" t="s">
        <v>6</v>
      </c>
      <c r="B73" s="1" t="s">
        <v>31</v>
      </c>
      <c r="C73" s="1" t="s">
        <v>18</v>
      </c>
      <c r="D73" s="22">
        <f>1851.428571</f>
        <v>1851.4285709999999</v>
      </c>
      <c r="E73" s="22">
        <v>450</v>
      </c>
      <c r="F73" s="22">
        <v>450</v>
      </c>
      <c r="G73" s="5">
        <f>(10^(2.85*(LOG10(E73*10^-3*1000))-7.62))*0.447</f>
        <v>0.39080776789498056</v>
      </c>
      <c r="H73" s="5">
        <f>(10^(2.85*(LOG10(F73*10^-3*1000))-7.62))*0.447</f>
        <v>0.39080776789498056</v>
      </c>
      <c r="I73" s="5" t="s">
        <v>42</v>
      </c>
      <c r="J73" s="5">
        <f>G73*$D73</f>
        <v>723.55266724950354</v>
      </c>
      <c r="K73" s="5">
        <f>H73*$D73</f>
        <v>723.55266724950354</v>
      </c>
      <c r="N73" s="5" t="s">
        <v>53</v>
      </c>
      <c r="O73" s="28">
        <f t="shared" si="28"/>
        <v>420411627.13776028</v>
      </c>
      <c r="P73" s="28">
        <f t="shared" si="29"/>
        <v>420411627.13776028</v>
      </c>
      <c r="T73" s="12"/>
      <c r="U73" s="12"/>
    </row>
    <row r="74" spans="1:33" s="1" customFormat="1" ht="16.5" thickBot="1" x14ac:dyDescent="0.3">
      <c r="A74" s="1" t="s">
        <v>6</v>
      </c>
      <c r="B74" s="1" t="s">
        <v>31</v>
      </c>
      <c r="C74" s="1" t="s">
        <v>9</v>
      </c>
      <c r="D74" s="22">
        <f>1769.795918</f>
        <v>1769.795918</v>
      </c>
      <c r="E74" s="22">
        <v>600</v>
      </c>
      <c r="F74" s="22">
        <v>600</v>
      </c>
      <c r="G74" s="5">
        <f t="shared" ref="G74:H79" si="33">(10^(2.85*(LOG10(E74*10^-3*1000))-7.62))*0.447</f>
        <v>0.88723483865811659</v>
      </c>
      <c r="H74" s="5">
        <f t="shared" si="33"/>
        <v>0.88723483865811659</v>
      </c>
      <c r="I74" s="5"/>
      <c r="J74" s="5">
        <f t="shared" ref="J74:K79" si="34">G74*$D74</f>
        <v>1570.2245957645234</v>
      </c>
      <c r="K74" s="5">
        <f t="shared" si="34"/>
        <v>1570.2245957645234</v>
      </c>
      <c r="L74" s="8"/>
      <c r="M74" s="8"/>
      <c r="N74" s="5" t="s">
        <v>53</v>
      </c>
      <c r="O74" s="28">
        <f t="shared" si="28"/>
        <v>743271526.06896782</v>
      </c>
      <c r="P74" s="28">
        <f t="shared" si="29"/>
        <v>743271526.06896782</v>
      </c>
      <c r="Q74" s="5"/>
      <c r="R74" s="5"/>
      <c r="S74" s="5"/>
      <c r="AA74" s="11"/>
    </row>
    <row r="75" spans="1:33" s="1" customFormat="1" ht="17.25" thickTop="1" thickBot="1" x14ac:dyDescent="0.3">
      <c r="A75" s="1" t="s">
        <v>6</v>
      </c>
      <c r="B75" s="1" t="s">
        <v>31</v>
      </c>
      <c r="C75" s="1" t="s">
        <v>10</v>
      </c>
      <c r="D75" s="22">
        <v>1480.272109</v>
      </c>
      <c r="E75" s="22">
        <f>AVERAGE(800,750,450)</f>
        <v>666.66666666666663</v>
      </c>
      <c r="F75" s="22">
        <f>AVERAGE(560,950,850)</f>
        <v>786.66666666666663</v>
      </c>
      <c r="G75" s="5">
        <f t="shared" si="33"/>
        <v>1.1979741166682267</v>
      </c>
      <c r="H75" s="5">
        <f t="shared" si="33"/>
        <v>1.9200438871492924</v>
      </c>
      <c r="I75" s="5"/>
      <c r="J75" s="5">
        <f t="shared" si="34"/>
        <v>1773.3276722078881</v>
      </c>
      <c r="K75" s="5">
        <f t="shared" si="34"/>
        <v>2842.187414203041</v>
      </c>
      <c r="L75" s="8"/>
      <c r="M75" s="8"/>
      <c r="N75" s="5" t="s">
        <v>53</v>
      </c>
      <c r="O75" s="28">
        <f t="shared" si="28"/>
        <v>1248062171.2036481</v>
      </c>
      <c r="P75" s="28">
        <f t="shared" si="29"/>
        <v>692080430.06534493</v>
      </c>
      <c r="Q75" s="5"/>
      <c r="R75" s="5"/>
      <c r="S75" s="5"/>
      <c r="T75" s="5"/>
      <c r="U75" s="5"/>
      <c r="V75" s="11"/>
      <c r="W75" s="11"/>
      <c r="X75" s="11"/>
      <c r="Y75" s="11"/>
      <c r="Z75" s="11"/>
      <c r="AA75" s="25"/>
    </row>
    <row r="76" spans="1:33" s="1" customFormat="1" ht="16.5" thickTop="1" x14ac:dyDescent="0.25">
      <c r="A76" s="1" t="s">
        <v>6</v>
      </c>
      <c r="B76" s="1" t="s">
        <v>31</v>
      </c>
      <c r="C76" s="1" t="s">
        <v>11</v>
      </c>
      <c r="D76" s="22">
        <f>137.142857</f>
        <v>137.14285699999999</v>
      </c>
      <c r="E76" s="22">
        <f>AVERAGE(950,850,560)</f>
        <v>786.66666666666663</v>
      </c>
      <c r="F76" s="22">
        <f>AVERAGE(1050,950,700)</f>
        <v>900</v>
      </c>
      <c r="G76" s="5">
        <f t="shared" si="33"/>
        <v>1.9200438871492924</v>
      </c>
      <c r="H76" s="5">
        <f t="shared" si="33"/>
        <v>2.8177254528580589</v>
      </c>
      <c r="I76" s="5"/>
      <c r="J76" s="5">
        <f t="shared" si="34"/>
        <v>263.32030424903951</v>
      </c>
      <c r="K76" s="5">
        <f t="shared" si="34"/>
        <v>386.43091884657298</v>
      </c>
      <c r="L76" s="8"/>
      <c r="M76" s="8"/>
      <c r="N76" s="5" t="s">
        <v>53</v>
      </c>
      <c r="O76" s="28">
        <f t="shared" si="28"/>
        <v>150813231.36005872</v>
      </c>
      <c r="P76" s="28">
        <f t="shared" si="29"/>
        <v>93369502.788844138</v>
      </c>
      <c r="Q76" s="5"/>
      <c r="R76" s="5"/>
      <c r="S76" s="5"/>
      <c r="T76" s="5"/>
      <c r="U76" s="5"/>
      <c r="V76" s="25"/>
      <c r="W76" s="25"/>
      <c r="X76" s="25"/>
      <c r="Y76" s="25"/>
      <c r="Z76" s="25"/>
      <c r="AA76" s="11"/>
    </row>
    <row r="77" spans="1:33" s="1" customFormat="1" x14ac:dyDescent="0.25">
      <c r="A77" s="1" t="s">
        <v>6</v>
      </c>
      <c r="B77" s="1" t="s">
        <v>31</v>
      </c>
      <c r="C77" s="1" t="s">
        <v>12</v>
      </c>
      <c r="D77" s="22">
        <f>65.306122</f>
        <v>65.306122000000002</v>
      </c>
      <c r="E77" s="22">
        <f>AVERAGE(650,1200,950)</f>
        <v>933.33333333333337</v>
      </c>
      <c r="F77" s="22">
        <f>AVERAGE(1300,1100,850)</f>
        <v>1083.3333333333333</v>
      </c>
      <c r="G77" s="5">
        <f t="shared" si="33"/>
        <v>3.1254484233881543</v>
      </c>
      <c r="H77" s="5">
        <f t="shared" si="33"/>
        <v>4.7794676451112066</v>
      </c>
      <c r="I77" s="5"/>
      <c r="J77" s="5">
        <f t="shared" si="34"/>
        <v>204.11091604249447</v>
      </c>
      <c r="K77" s="5">
        <f t="shared" si="34"/>
        <v>312.12849712668515</v>
      </c>
      <c r="L77" s="8"/>
      <c r="M77" s="8"/>
      <c r="N77" s="5" t="s">
        <v>53</v>
      </c>
      <c r="O77" s="28">
        <f t="shared" si="28"/>
        <v>107845171.09830634</v>
      </c>
      <c r="P77" s="28">
        <f t="shared" si="29"/>
        <v>63418609.704506025</v>
      </c>
      <c r="Q77" s="5"/>
      <c r="R77" s="5"/>
      <c r="S77" s="5"/>
      <c r="T77" s="5"/>
      <c r="U77" s="5"/>
      <c r="V77" s="11"/>
      <c r="W77" s="11"/>
      <c r="X77" s="11"/>
      <c r="Y77" s="11"/>
      <c r="Z77" s="11"/>
    </row>
    <row r="78" spans="1:33" s="1" customFormat="1" x14ac:dyDescent="0.25">
      <c r="A78" s="1" t="s">
        <v>6</v>
      </c>
      <c r="B78" s="1" t="s">
        <v>31</v>
      </c>
      <c r="C78" s="1" t="s">
        <v>13</v>
      </c>
      <c r="D78" s="22">
        <f>SUM(4.571429,
1048.163265)</f>
        <v>1052.734694</v>
      </c>
      <c r="E78" s="22">
        <f>AVERAGE(1150,1600,850)</f>
        <v>1200</v>
      </c>
      <c r="F78" s="22">
        <f>AVERAGE(1150,1600,850)</f>
        <v>1200</v>
      </c>
      <c r="G78" s="5">
        <f t="shared" si="33"/>
        <v>6.3969664702805833</v>
      </c>
      <c r="H78" s="5">
        <f t="shared" si="33"/>
        <v>6.3969664702805833</v>
      </c>
      <c r="I78" s="5"/>
      <c r="J78" s="5">
        <f t="shared" si="34"/>
        <v>6734.30853961909</v>
      </c>
      <c r="K78" s="5">
        <f t="shared" si="34"/>
        <v>6734.30853961909</v>
      </c>
      <c r="L78" s="8"/>
      <c r="M78" s="8"/>
      <c r="N78" s="5" t="s">
        <v>53</v>
      </c>
      <c r="O78" s="28">
        <f t="shared" si="28"/>
        <v>1945337049.9582417</v>
      </c>
      <c r="P78" s="28">
        <f t="shared" si="29"/>
        <v>1945337049.9582417</v>
      </c>
      <c r="Q78" s="5"/>
      <c r="R78" s="5"/>
      <c r="S78" s="5"/>
      <c r="T78" s="5"/>
      <c r="U78" s="5"/>
    </row>
    <row r="79" spans="1:33" s="1" customFormat="1" x14ac:dyDescent="0.25">
      <c r="A79" s="1" t="s">
        <v>6</v>
      </c>
      <c r="B79" s="1" t="s">
        <v>31</v>
      </c>
      <c r="C79" s="1" t="s">
        <v>14</v>
      </c>
      <c r="D79" s="22">
        <v>45.714286000000001</v>
      </c>
      <c r="E79" s="22">
        <f>AVERAGE(800,1200,1000)</f>
        <v>1000</v>
      </c>
      <c r="F79" s="22">
        <f>AVERAGE(800,1200,1000)</f>
        <v>1000</v>
      </c>
      <c r="G79" s="5">
        <f t="shared" si="33"/>
        <v>3.8045870307646301</v>
      </c>
      <c r="H79" s="5">
        <f t="shared" si="33"/>
        <v>3.8045870307646301</v>
      </c>
      <c r="I79" s="5"/>
      <c r="J79" s="5">
        <f t="shared" si="34"/>
        <v>173.9239796362651</v>
      </c>
      <c r="K79" s="5">
        <f t="shared" si="34"/>
        <v>173.9239796362651</v>
      </c>
      <c r="L79" s="8"/>
      <c r="M79" s="8"/>
      <c r="N79" s="5" t="s">
        <v>53</v>
      </c>
      <c r="O79" s="28">
        <f t="shared" si="28"/>
        <v>57210790.687448189</v>
      </c>
      <c r="P79" s="28">
        <f t="shared" si="29"/>
        <v>57210790.687448189</v>
      </c>
      <c r="Q79" s="5"/>
      <c r="R79" s="5"/>
      <c r="S79" s="5"/>
      <c r="T79" s="5"/>
      <c r="U79" s="5"/>
    </row>
    <row r="80" spans="1:33" s="11" customFormat="1" x14ac:dyDescent="0.25">
      <c r="A80" s="11" t="s">
        <v>6</v>
      </c>
      <c r="B80" s="11" t="s">
        <v>31</v>
      </c>
      <c r="C80" s="11" t="s">
        <v>15</v>
      </c>
      <c r="D80" s="20">
        <f>SUM(4.571429,
6397.823129)</f>
        <v>6402.394558</v>
      </c>
      <c r="E80" s="20"/>
      <c r="F80" s="20"/>
      <c r="G80" s="12"/>
      <c r="H80" s="12"/>
      <c r="I80" s="12"/>
      <c r="J80" s="12"/>
      <c r="K80" s="12"/>
      <c r="L80" s="8">
        <f>SUM(J73:J79)</f>
        <v>11442.768674768804</v>
      </c>
      <c r="M80" s="8">
        <f>SUM(K75:K77)</f>
        <v>3540.7468301762992</v>
      </c>
      <c r="N80" s="12"/>
      <c r="O80" s="28" t="e">
        <f t="shared" si="28"/>
        <v>#DIV/0!</v>
      </c>
      <c r="P80" s="28" t="e">
        <f t="shared" si="29"/>
        <v>#DIV/0!</v>
      </c>
      <c r="Q80" s="12">
        <f>SUM(O73:O79)</f>
        <v>4672951567.514431</v>
      </c>
      <c r="R80" s="12">
        <f>SUM(P73:P79)</f>
        <v>4015099536.4111123</v>
      </c>
      <c r="S80" s="12"/>
      <c r="T80" s="5"/>
      <c r="U80" s="5"/>
      <c r="V80" s="1"/>
      <c r="W80" s="1"/>
      <c r="X80" s="1"/>
      <c r="Y80" s="1"/>
      <c r="Z80" s="1"/>
      <c r="AA80" s="1"/>
    </row>
    <row r="81" spans="1:33" s="2" customFormat="1" x14ac:dyDescent="0.25">
      <c r="A81" s="2" t="s">
        <v>6</v>
      </c>
      <c r="B81" s="2" t="s">
        <v>32</v>
      </c>
      <c r="C81" s="2" t="s">
        <v>9</v>
      </c>
      <c r="D81" s="21">
        <v>91.428571000000005</v>
      </c>
      <c r="E81" s="21">
        <v>620</v>
      </c>
      <c r="F81" s="21">
        <v>620</v>
      </c>
      <c r="G81" s="3">
        <f t="shared" ref="G81:H86" si="35">10^(3.07*LOG10(E81)-8.37)</f>
        <v>1.5945659526775366</v>
      </c>
      <c r="H81" s="3">
        <f>10^(3.07*LOG10(F81)-8.37)</f>
        <v>1.5945659526775366</v>
      </c>
      <c r="I81" s="3" t="s">
        <v>48</v>
      </c>
      <c r="J81" s="3">
        <f>G81*$D81</f>
        <v>145.78888641856082</v>
      </c>
      <c r="K81" s="3">
        <f>H81*$D81</f>
        <v>145.78888641856082</v>
      </c>
      <c r="N81" s="3" t="s">
        <v>53</v>
      </c>
      <c r="O81" s="28">
        <f t="shared" si="28"/>
        <v>59601770.882669784</v>
      </c>
      <c r="P81" s="28">
        <f t="shared" si="29"/>
        <v>59601770.882669784</v>
      </c>
      <c r="Q81" s="3"/>
      <c r="R81" s="3"/>
      <c r="S81" s="5"/>
      <c r="T81" s="12"/>
      <c r="U81" s="12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s="2" customFormat="1" x14ac:dyDescent="0.25">
      <c r="A82" s="2" t="s">
        <v>6</v>
      </c>
      <c r="B82" s="2" t="s">
        <v>32</v>
      </c>
      <c r="C82" s="2" t="s">
        <v>10</v>
      </c>
      <c r="D82" s="21">
        <v>247.07482999999999</v>
      </c>
      <c r="E82" s="21">
        <v>800</v>
      </c>
      <c r="F82" s="21">
        <v>1000</v>
      </c>
      <c r="G82" s="3">
        <f t="shared" si="35"/>
        <v>3.4872755113851293</v>
      </c>
      <c r="H82" s="3">
        <f t="shared" si="35"/>
        <v>6.9183097091893631</v>
      </c>
      <c r="I82" s="3"/>
      <c r="J82" s="3">
        <f t="shared" ref="J82:K86" si="36">G82*$D82</f>
        <v>861.61800413864387</v>
      </c>
      <c r="K82" s="3">
        <f t="shared" si="36"/>
        <v>1709.3401952853112</v>
      </c>
      <c r="L82" s="7"/>
      <c r="M82" s="7"/>
      <c r="N82" s="3" t="s">
        <v>53</v>
      </c>
      <c r="O82" s="28">
        <f t="shared" si="28"/>
        <v>574648538.96424508</v>
      </c>
      <c r="P82" s="28">
        <f t="shared" si="29"/>
        <v>244067600.74719372</v>
      </c>
      <c r="Q82" s="3"/>
      <c r="R82" s="3"/>
      <c r="S82" s="5"/>
      <c r="T82" s="5"/>
      <c r="U82" s="5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s="2" customFormat="1" x14ac:dyDescent="0.25">
      <c r="A83" s="2" t="s">
        <v>6</v>
      </c>
      <c r="B83" s="2" t="s">
        <v>32</v>
      </c>
      <c r="C83" s="2" t="s">
        <v>11</v>
      </c>
      <c r="D83" s="21">
        <v>325.44217700000002</v>
      </c>
      <c r="E83" s="21">
        <v>1000</v>
      </c>
      <c r="F83" s="21">
        <v>1200</v>
      </c>
      <c r="G83" s="3">
        <f t="shared" si="35"/>
        <v>6.9183097091893631</v>
      </c>
      <c r="H83" s="3">
        <f t="shared" si="35"/>
        <v>12.108390686820373</v>
      </c>
      <c r="I83" s="3"/>
      <c r="J83" s="3">
        <f t="shared" si="36"/>
        <v>2251.5097729188233</v>
      </c>
      <c r="K83" s="3">
        <f t="shared" si="36"/>
        <v>3940.5810250853474</v>
      </c>
      <c r="L83" s="7"/>
      <c r="M83" s="7"/>
      <c r="N83" s="3" t="s">
        <v>53</v>
      </c>
      <c r="O83" s="28">
        <f t="shared" si="28"/>
        <v>1116234980.8416245</v>
      </c>
      <c r="P83" s="28">
        <f t="shared" si="29"/>
        <v>554494951.9103539</v>
      </c>
      <c r="Q83" s="3"/>
      <c r="R83" s="3"/>
      <c r="S83" s="5"/>
      <c r="T83" s="5"/>
      <c r="U83" s="5"/>
      <c r="V83" s="1"/>
      <c r="W83" s="1"/>
      <c r="X83" s="1"/>
      <c r="Y83" s="1"/>
      <c r="Z83" s="1"/>
      <c r="AA83" s="11"/>
      <c r="AB83" s="1"/>
      <c r="AC83" s="1"/>
      <c r="AD83" s="1"/>
      <c r="AE83" s="1"/>
      <c r="AF83" s="1"/>
      <c r="AG83" s="1"/>
    </row>
    <row r="84" spans="1:33" s="2" customFormat="1" x14ac:dyDescent="0.25">
      <c r="A84" s="2" t="s">
        <v>6</v>
      </c>
      <c r="B84" s="2" t="s">
        <v>32</v>
      </c>
      <c r="C84" s="2" t="s">
        <v>12</v>
      </c>
      <c r="D84" s="21">
        <v>314.55782299999998</v>
      </c>
      <c r="E84" s="21">
        <v>1280</v>
      </c>
      <c r="F84" s="21">
        <v>1700</v>
      </c>
      <c r="G84" s="3">
        <f t="shared" si="35"/>
        <v>14.76163990041395</v>
      </c>
      <c r="H84" s="3">
        <f t="shared" si="35"/>
        <v>35.275906972016827</v>
      </c>
      <c r="I84" s="3"/>
      <c r="J84" s="3">
        <f t="shared" si="36"/>
        <v>4643.3893109841483</v>
      </c>
      <c r="K84" s="3">
        <f t="shared" si="36"/>
        <v>11096.312501468134</v>
      </c>
      <c r="L84" s="7"/>
      <c r="M84" s="7"/>
      <c r="N84" s="3" t="s">
        <v>53</v>
      </c>
      <c r="O84" s="28">
        <f t="shared" si="28"/>
        <v>2600700816.7474985</v>
      </c>
      <c r="P84" s="28">
        <f t="shared" si="29"/>
        <v>875308038.32339621</v>
      </c>
      <c r="Q84" s="3"/>
      <c r="R84" s="3"/>
      <c r="S84" s="5"/>
      <c r="T84" s="5"/>
      <c r="U84" s="5"/>
      <c r="V84" s="11"/>
      <c r="W84" s="11"/>
      <c r="X84" s="11"/>
      <c r="Y84" s="11"/>
      <c r="Z84" s="11"/>
      <c r="AA84" s="1"/>
      <c r="AB84" s="1"/>
      <c r="AC84" s="1"/>
      <c r="AD84" s="1"/>
      <c r="AE84" s="1"/>
      <c r="AF84" s="1"/>
      <c r="AG84" s="1"/>
    </row>
    <row r="85" spans="1:33" s="2" customFormat="1" x14ac:dyDescent="0.25">
      <c r="A85" s="2" t="s">
        <v>6</v>
      </c>
      <c r="B85" s="2" t="s">
        <v>32</v>
      </c>
      <c r="C85" s="2" t="s">
        <v>13</v>
      </c>
      <c r="D85" s="21">
        <f>SUM(3.047619,
572.517007)</f>
        <v>575.56462600000009</v>
      </c>
      <c r="E85" s="21">
        <v>1600</v>
      </c>
      <c r="F85" s="21">
        <v>1800</v>
      </c>
      <c r="G85" s="3">
        <f t="shared" si="35"/>
        <v>29.285210277528982</v>
      </c>
      <c r="H85" s="3">
        <f t="shared" si="35"/>
        <v>42.042311984247227</v>
      </c>
      <c r="I85" s="3"/>
      <c r="J85" s="3">
        <f t="shared" si="36"/>
        <v>16855.531100717326</v>
      </c>
      <c r="K85" s="3">
        <f t="shared" si="36"/>
        <v>24198.067573388576</v>
      </c>
      <c r="L85" s="7"/>
      <c r="M85" s="7"/>
      <c r="N85" s="3" t="s">
        <v>53</v>
      </c>
      <c r="O85" s="28">
        <f t="shared" si="28"/>
        <v>4778746193.8804693</v>
      </c>
      <c r="P85" s="28">
        <f t="shared" si="29"/>
        <v>3040998180.0653415</v>
      </c>
      <c r="Q85" s="3"/>
      <c r="R85" s="3"/>
      <c r="S85" s="5"/>
      <c r="T85" s="5"/>
      <c r="U85" s="5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s="2" customFormat="1" x14ac:dyDescent="0.25">
      <c r="A86" s="2" t="s">
        <v>6</v>
      </c>
      <c r="B86" s="2" t="s">
        <v>32</v>
      </c>
      <c r="C86" s="2" t="s">
        <v>14</v>
      </c>
      <c r="D86" s="21">
        <v>76.190476000000004</v>
      </c>
      <c r="E86" s="21">
        <v>1400</v>
      </c>
      <c r="F86" s="21">
        <v>1600</v>
      </c>
      <c r="G86" s="3">
        <f t="shared" si="35"/>
        <v>19.436276537345488</v>
      </c>
      <c r="H86" s="3">
        <f t="shared" si="35"/>
        <v>29.285210277528982</v>
      </c>
      <c r="I86" s="3"/>
      <c r="J86" s="3">
        <f t="shared" si="36"/>
        <v>1480.8591610479846</v>
      </c>
      <c r="K86" s="3">
        <f t="shared" si="36"/>
        <v>2231.2541108050254</v>
      </c>
      <c r="L86" s="7"/>
      <c r="M86" s="7"/>
      <c r="N86" s="3" t="s">
        <v>53</v>
      </c>
      <c r="O86" s="28">
        <f t="shared" si="28"/>
        <v>488192533.3846854</v>
      </c>
      <c r="P86" s="28">
        <f t="shared" si="29"/>
        <v>292446909.57527167</v>
      </c>
      <c r="Q86" s="3"/>
      <c r="R86" s="3"/>
      <c r="S86" s="5"/>
      <c r="T86" s="5"/>
      <c r="U86" s="5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s="9" customFormat="1" x14ac:dyDescent="0.25">
      <c r="A87" s="9" t="s">
        <v>6</v>
      </c>
      <c r="B87" s="9" t="s">
        <v>32</v>
      </c>
      <c r="C87" s="9" t="s">
        <v>15</v>
      </c>
      <c r="D87" s="19">
        <f>SUM(3.047619,
1627.210884)</f>
        <v>1630.258503</v>
      </c>
      <c r="E87" s="19"/>
      <c r="F87" s="19"/>
      <c r="G87" s="10"/>
      <c r="H87" s="10"/>
      <c r="I87" s="10"/>
      <c r="J87" s="10"/>
      <c r="K87" s="10"/>
      <c r="L87" s="7">
        <f>SUM(J81:J86)</f>
        <v>26238.696236225485</v>
      </c>
      <c r="M87" s="7">
        <f>SUM(K81:K86)</f>
        <v>43321.344292450958</v>
      </c>
      <c r="N87" s="10"/>
      <c r="O87" s="28" t="e">
        <f t="shared" si="28"/>
        <v>#DIV/0!</v>
      </c>
      <c r="P87" s="28" t="e">
        <f t="shared" si="29"/>
        <v>#DIV/0!</v>
      </c>
      <c r="Q87" s="10">
        <f>SUM(O81:O86)</f>
        <v>9618124834.7011929</v>
      </c>
      <c r="R87" s="10">
        <f>SUM(P81:P86)</f>
        <v>5066917451.5042267</v>
      </c>
      <c r="S87" s="12"/>
      <c r="T87" s="5"/>
      <c r="U87" s="5"/>
      <c r="V87" s="1"/>
      <c r="W87" s="1"/>
      <c r="X87" s="1"/>
      <c r="Y87" s="1"/>
      <c r="Z87" s="1"/>
      <c r="AA87" s="1"/>
      <c r="AB87" s="11"/>
      <c r="AC87" s="11"/>
      <c r="AD87" s="11"/>
      <c r="AE87" s="11"/>
      <c r="AF87" s="11"/>
      <c r="AG87" s="11"/>
    </row>
    <row r="88" spans="1:33" s="11" customFormat="1" x14ac:dyDescent="0.25">
      <c r="A88" s="11" t="s">
        <v>6</v>
      </c>
      <c r="B88" s="11" t="s">
        <v>33</v>
      </c>
      <c r="C88" s="11" t="s">
        <v>4</v>
      </c>
      <c r="D88" s="20">
        <f>SUM(133.790476,
45.714286)</f>
        <v>179.50476200000003</v>
      </c>
      <c r="E88" s="20">
        <v>31</v>
      </c>
      <c r="F88" s="20">
        <v>31</v>
      </c>
      <c r="G88" s="12">
        <f>0.4*(0.0049*(E88)^2.957)</f>
        <v>50.374714760229551</v>
      </c>
      <c r="H88" s="12">
        <f>0.4*(0.0049*(F88)^2.957)</f>
        <v>50.374714760229551</v>
      </c>
      <c r="I88" s="12" t="s">
        <v>43</v>
      </c>
      <c r="J88" s="12">
        <f>G88*$D88</f>
        <v>9042.5011838528935</v>
      </c>
      <c r="K88" s="12">
        <f>H88*$D88</f>
        <v>9042.5011838528935</v>
      </c>
      <c r="L88" s="8">
        <f>J88</f>
        <v>9042.5011838528935</v>
      </c>
      <c r="M88" s="8">
        <f>K88</f>
        <v>9042.5011838528935</v>
      </c>
      <c r="N88" s="12" t="s">
        <v>51</v>
      </c>
      <c r="O88" s="28">
        <f t="shared" si="28"/>
        <v>1559303992.711463</v>
      </c>
      <c r="P88" s="28">
        <f t="shared" si="29"/>
        <v>1559303992.711463</v>
      </c>
      <c r="Q88" s="12">
        <v>346511998.38032514</v>
      </c>
      <c r="R88" s="12">
        <v>346511998.38032514</v>
      </c>
      <c r="S88" s="12"/>
      <c r="T88" s="12"/>
      <c r="U88" s="12"/>
      <c r="V88" s="1"/>
      <c r="W88" s="1"/>
      <c r="X88" s="1"/>
      <c r="Y88" s="1"/>
      <c r="Z88" s="1"/>
      <c r="AA88" s="1"/>
    </row>
    <row r="89" spans="1:33" s="2" customFormat="1" x14ac:dyDescent="0.25">
      <c r="A89" s="2" t="s">
        <v>6</v>
      </c>
      <c r="B89" s="2" t="s">
        <v>34</v>
      </c>
      <c r="C89" s="2" t="s">
        <v>13</v>
      </c>
      <c r="D89" s="21">
        <f>SUM(25.6,
2637.278912)</f>
        <v>2662.8789120000001</v>
      </c>
      <c r="E89" s="21">
        <v>400</v>
      </c>
      <c r="F89" s="21">
        <v>450</v>
      </c>
      <c r="G89" s="3">
        <f t="shared" ref="G89:H90" si="37">9.4676*10^-7*(E89*10^-3*1000)^2.16</f>
        <v>0.3950840365236063</v>
      </c>
      <c r="H89" s="3">
        <f t="shared" si="37"/>
        <v>0.50954076026517292</v>
      </c>
      <c r="I89" s="3" t="s">
        <v>44</v>
      </c>
      <c r="J89" s="3">
        <f t="shared" ref="J89:K90" si="38">G89*$D89</f>
        <v>1052.060949326549</v>
      </c>
      <c r="K89" s="3">
        <f>H89*$D89</f>
        <v>1356.8453453145767</v>
      </c>
      <c r="L89" s="3"/>
      <c r="M89" s="7"/>
      <c r="N89" s="3" t="s">
        <v>53</v>
      </c>
      <c r="O89" s="28">
        <f t="shared" si="28"/>
        <v>786236760.17201245</v>
      </c>
      <c r="P89" s="28">
        <f t="shared" si="29"/>
        <v>572059937.87895525</v>
      </c>
      <c r="Q89" s="3"/>
      <c r="R89" s="3"/>
      <c r="S89" s="5"/>
      <c r="T89" s="12"/>
      <c r="U89" s="12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s="2" customFormat="1" x14ac:dyDescent="0.25">
      <c r="A90" s="2" t="s">
        <v>6</v>
      </c>
      <c r="B90" s="2" t="s">
        <v>34</v>
      </c>
      <c r="C90" s="2" t="s">
        <v>14</v>
      </c>
      <c r="D90" s="21">
        <f>70.748299</f>
        <v>70.748299000000003</v>
      </c>
      <c r="E90" s="21">
        <v>292</v>
      </c>
      <c r="F90" s="21">
        <v>315</v>
      </c>
      <c r="G90" s="3">
        <f t="shared" si="37"/>
        <v>0.20020128473370938</v>
      </c>
      <c r="H90" s="3">
        <f t="shared" si="37"/>
        <v>0.23582546375970134</v>
      </c>
      <c r="I90" s="3"/>
      <c r="J90" s="3">
        <f t="shared" si="38"/>
        <v>14.163900352524607</v>
      </c>
      <c r="K90" s="3">
        <f t="shared" si="38"/>
        <v>16.684250421885015</v>
      </c>
      <c r="L90" s="3"/>
      <c r="M90" s="7"/>
      <c r="N90" s="3" t="s">
        <v>53</v>
      </c>
      <c r="O90" s="28">
        <f t="shared" si="28"/>
        <v>11458700.054273784</v>
      </c>
      <c r="P90" s="28">
        <f t="shared" si="29"/>
        <v>9337498.7149670087</v>
      </c>
      <c r="Q90" s="3"/>
      <c r="R90" s="3"/>
      <c r="S90" s="5"/>
      <c r="T90" s="5"/>
      <c r="U90" s="5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s="9" customFormat="1" ht="16.5" thickBot="1" x14ac:dyDescent="0.3">
      <c r="A91" s="9" t="s">
        <v>6</v>
      </c>
      <c r="B91" s="9" t="s">
        <v>34</v>
      </c>
      <c r="C91" s="9" t="s">
        <v>15</v>
      </c>
      <c r="D91" s="19">
        <f>SUM(25.6,
2708.027211)</f>
        <v>2733.627211</v>
      </c>
      <c r="E91" s="24"/>
      <c r="F91" s="24"/>
      <c r="G91" s="13"/>
      <c r="H91" s="13"/>
      <c r="I91" s="13"/>
      <c r="J91" s="13"/>
      <c r="K91" s="13"/>
      <c r="L91" s="7">
        <f>SUM(J89:J90)</f>
        <v>1066.2248496790737</v>
      </c>
      <c r="M91" s="7">
        <f>SUM(K89:K90)</f>
        <v>1373.5295957364617</v>
      </c>
      <c r="N91" s="10"/>
      <c r="O91" s="28" t="e">
        <f t="shared" si="28"/>
        <v>#DIV/0!</v>
      </c>
      <c r="P91" s="28" t="e">
        <f t="shared" si="29"/>
        <v>#DIV/0!</v>
      </c>
      <c r="Q91" s="10">
        <f>SUM(O89:O90)</f>
        <v>797695460.22628617</v>
      </c>
      <c r="R91" s="10">
        <f>SUM(P89:P90)</f>
        <v>581397436.59392226</v>
      </c>
      <c r="S91" s="12"/>
      <c r="T91" s="5"/>
      <c r="U91" s="5"/>
      <c r="V91" s="1"/>
      <c r="W91" s="1"/>
      <c r="X91" s="1"/>
      <c r="Y91" s="1"/>
      <c r="Z91" s="1"/>
      <c r="AA91" s="11"/>
      <c r="AB91" s="11"/>
      <c r="AC91" s="11"/>
      <c r="AD91" s="11"/>
      <c r="AE91" s="11"/>
      <c r="AF91" s="11"/>
      <c r="AG91" s="11"/>
    </row>
    <row r="92" spans="1:33" s="25" customFormat="1" ht="17.25" thickTop="1" thickBot="1" x14ac:dyDescent="0.3">
      <c r="A92" s="25" t="s">
        <v>35</v>
      </c>
      <c r="B92" s="25" t="s">
        <v>3</v>
      </c>
      <c r="C92" s="25" t="s">
        <v>4</v>
      </c>
      <c r="D92" s="26">
        <f>SUM(273.613675,
183.589744)</f>
        <v>457.203419</v>
      </c>
      <c r="E92" s="20">
        <v>10</v>
      </c>
      <c r="F92" s="20">
        <v>22</v>
      </c>
      <c r="G92" s="12">
        <f>0.17*(0.00194*(E92)^3.05)*1000</f>
        <v>370.04168622878763</v>
      </c>
      <c r="H92" s="12">
        <f>0.17*(0.00194*(F92)^3.05)*1000</f>
        <v>4098.640506337576</v>
      </c>
      <c r="I92" s="12" t="s">
        <v>43</v>
      </c>
      <c r="J92" s="12">
        <f>G92*D92</f>
        <v>169184.32411632693</v>
      </c>
      <c r="K92" s="12">
        <f>H92*D92</f>
        <v>1873912.4527494309</v>
      </c>
      <c r="L92" s="8">
        <f>J92</f>
        <v>169184.32411632693</v>
      </c>
      <c r="M92" s="8">
        <f>K92</f>
        <v>1873912.4527494309</v>
      </c>
      <c r="N92" s="12" t="s">
        <v>51</v>
      </c>
      <c r="O92" s="28">
        <f>(63*(G92*10^6)^-0.25)*(EXP(0.0693*(-1.17-20)))*(K92*10^6)</f>
        <v>196282689919.92429</v>
      </c>
      <c r="P92" s="28">
        <f t="shared" si="29"/>
        <v>9713942544.9571991</v>
      </c>
      <c r="Q92" s="37">
        <f>O92</f>
        <v>196282689919.92429</v>
      </c>
      <c r="R92" s="37">
        <f>P92</f>
        <v>9713942544.9571991</v>
      </c>
      <c r="S92" s="27"/>
      <c r="T92" s="12"/>
      <c r="U92" s="12"/>
      <c r="V92" s="11"/>
      <c r="W92" s="11"/>
      <c r="X92" s="11"/>
      <c r="Y92" s="11"/>
      <c r="Z92" s="11"/>
      <c r="AA92" s="1"/>
    </row>
    <row r="93" spans="1:33" s="9" customFormat="1" ht="16.5" thickTop="1" x14ac:dyDescent="0.25">
      <c r="A93" s="14" t="s">
        <v>35</v>
      </c>
      <c r="B93" s="9" t="s">
        <v>7</v>
      </c>
      <c r="C93" s="9" t="s">
        <v>4</v>
      </c>
      <c r="D93" s="19">
        <f>SUM(206.878632,
889.230769)</f>
        <v>1096.1094009999999</v>
      </c>
      <c r="E93" s="19">
        <v>3</v>
      </c>
      <c r="F93" s="19">
        <v>3.5</v>
      </c>
      <c r="G93" s="10">
        <f>((0.0228*(E93)^2.3698)/0.9)*0.4*1000</f>
        <v>136.90971875758837</v>
      </c>
      <c r="H93" s="10">
        <f>((0.0228*(F93)^2.3698)/0.9)*0.4*1000</f>
        <v>197.28078183567442</v>
      </c>
      <c r="I93" s="10" t="s">
        <v>77</v>
      </c>
      <c r="J93" s="10">
        <f>G93*$D93</f>
        <v>150068.02981845863</v>
      </c>
      <c r="K93" s="10">
        <f>H93*$D93</f>
        <v>216241.31960671276</v>
      </c>
      <c r="L93" s="7">
        <f>J93</f>
        <v>150068.02981845863</v>
      </c>
      <c r="M93" s="7">
        <f>K93</f>
        <v>216241.31960671276</v>
      </c>
      <c r="N93" s="10" t="s">
        <v>53</v>
      </c>
      <c r="O93" s="28">
        <f>(63*(G93*10^6)^-0.25)*(EXP(0.0693*(-1.17-20)))*(K93*10^6)</f>
        <v>29041930383.325836</v>
      </c>
      <c r="P93" s="28">
        <f t="shared" si="29"/>
        <v>18395532011.830471</v>
      </c>
      <c r="Q93" s="37">
        <f>O93</f>
        <v>29041930383.325836</v>
      </c>
      <c r="R93" s="37">
        <f>P93</f>
        <v>18395532011.830471</v>
      </c>
      <c r="S93" s="12"/>
      <c r="T93" s="27"/>
      <c r="U93" s="27"/>
      <c r="V93" s="1"/>
      <c r="W93" s="1"/>
      <c r="X93" s="1"/>
      <c r="Y93" s="1"/>
      <c r="Z93" s="1"/>
      <c r="AA93" s="1"/>
      <c r="AB93" s="11"/>
      <c r="AC93" s="11"/>
      <c r="AD93" s="11"/>
      <c r="AE93" s="11"/>
      <c r="AF93" s="11"/>
      <c r="AG93" s="11"/>
    </row>
    <row r="94" spans="1:33" s="1" customFormat="1" x14ac:dyDescent="0.25">
      <c r="A94" s="16" t="s">
        <v>35</v>
      </c>
      <c r="B94" s="1" t="s">
        <v>8</v>
      </c>
      <c r="C94" s="1" t="s">
        <v>18</v>
      </c>
      <c r="D94" s="22">
        <v>20.512820999999999</v>
      </c>
      <c r="E94" s="22">
        <v>560</v>
      </c>
      <c r="F94" s="22">
        <v>850</v>
      </c>
      <c r="G94" s="5">
        <f t="shared" ref="G94:H96" si="39">0.0048*(E94*10^-3)^3.5687*1000</f>
        <v>0.60617755177674504</v>
      </c>
      <c r="H94" s="5">
        <f t="shared" si="39"/>
        <v>2.6875624065207009</v>
      </c>
      <c r="I94" s="5" t="s">
        <v>47</v>
      </c>
      <c r="J94" s="12">
        <f>G94*$D94</f>
        <v>12.434411613814602</v>
      </c>
      <c r="K94" s="12">
        <f>H94*$D94</f>
        <v>55.129486571288368</v>
      </c>
      <c r="L94" s="8"/>
      <c r="M94" s="8"/>
      <c r="N94" s="5" t="s">
        <v>52</v>
      </c>
      <c r="O94" s="28">
        <f t="shared" si="28"/>
        <v>28703136.224998131</v>
      </c>
      <c r="P94" s="28">
        <f t="shared" si="29"/>
        <v>4461500.7146500964</v>
      </c>
      <c r="Q94" s="5"/>
      <c r="R94" s="5"/>
      <c r="S94" s="5"/>
      <c r="T94" s="12"/>
      <c r="U94" s="12"/>
    </row>
    <row r="95" spans="1:33" s="1" customFormat="1" x14ac:dyDescent="0.25">
      <c r="A95" s="16" t="s">
        <v>35</v>
      </c>
      <c r="B95" s="1" t="s">
        <v>8</v>
      </c>
      <c r="C95" s="1" t="s">
        <v>9</v>
      </c>
      <c r="D95" s="22">
        <f>SUM(2.461538,
55.384615)</f>
        <v>57.846152999999994</v>
      </c>
      <c r="E95" s="22">
        <v>730</v>
      </c>
      <c r="F95" s="22">
        <v>1200</v>
      </c>
      <c r="G95" s="5">
        <f t="shared" si="39"/>
        <v>1.561282631007372</v>
      </c>
      <c r="H95" s="5">
        <f t="shared" si="39"/>
        <v>9.2005830554977788</v>
      </c>
      <c r="I95" s="5"/>
      <c r="J95" s="12">
        <f>G95*$D95</f>
        <v>90.314193949494978</v>
      </c>
      <c r="K95" s="12">
        <f t="shared" ref="K95:K99" si="40">H95*$D95</f>
        <v>532.21833511753198</v>
      </c>
      <c r="L95" s="8"/>
      <c r="M95" s="8"/>
      <c r="N95" s="5" t="s">
        <v>52</v>
      </c>
      <c r="O95" s="28">
        <f t="shared" si="28"/>
        <v>218733255.43049607</v>
      </c>
      <c r="P95" s="28">
        <f t="shared" si="29"/>
        <v>23823059.714168731</v>
      </c>
      <c r="Q95" s="5"/>
      <c r="R95" s="5"/>
      <c r="S95" s="5"/>
      <c r="T95" s="5"/>
      <c r="U95" s="5"/>
    </row>
    <row r="96" spans="1:33" s="1" customFormat="1" x14ac:dyDescent="0.25">
      <c r="A96" s="16" t="s">
        <v>35</v>
      </c>
      <c r="B96" s="1" t="s">
        <v>8</v>
      </c>
      <c r="C96" s="1" t="s">
        <v>11</v>
      </c>
      <c r="D96" s="22">
        <f>SUM(12.307692,
51.282051)</f>
        <v>63.589742999999999</v>
      </c>
      <c r="E96" s="22">
        <v>1300</v>
      </c>
      <c r="F96" s="22">
        <v>1500</v>
      </c>
      <c r="G96" s="5">
        <f t="shared" si="39"/>
        <v>12.242521594866513</v>
      </c>
      <c r="H96" s="5">
        <f t="shared" si="39"/>
        <v>20.401312748969502</v>
      </c>
      <c r="I96" s="5"/>
      <c r="J96" s="12">
        <f t="shared" ref="J96:J99" si="41">G96*$D96</f>
        <v>778.4988018895117</v>
      </c>
      <c r="K96" s="12">
        <f t="shared" si="40"/>
        <v>1297.3142345695942</v>
      </c>
      <c r="L96" s="8"/>
      <c r="M96" s="8"/>
      <c r="N96" s="5" t="s">
        <v>52</v>
      </c>
      <c r="O96" s="28">
        <f t="shared" si="28"/>
        <v>318619851.07724094</v>
      </c>
      <c r="P96" s="28">
        <f t="shared" si="29"/>
        <v>168282434.71746567</v>
      </c>
      <c r="Q96" s="5"/>
      <c r="R96" s="5"/>
      <c r="S96" s="5"/>
      <c r="T96" s="5"/>
      <c r="U96" s="5"/>
    </row>
    <row r="97" spans="1:33" s="1" customFormat="1" x14ac:dyDescent="0.25">
      <c r="A97" s="16" t="s">
        <v>35</v>
      </c>
      <c r="B97" s="1" t="s">
        <v>8</v>
      </c>
      <c r="C97" s="1" t="s">
        <v>12</v>
      </c>
      <c r="D97" s="22">
        <f>SUM(454.673504,
274.871795)</f>
        <v>729.545299</v>
      </c>
      <c r="E97" s="22">
        <v>2000</v>
      </c>
      <c r="F97" s="22">
        <v>3000</v>
      </c>
      <c r="G97" s="5">
        <f>0.0048*(E97*10^-3)^3.5687*1000</f>
        <v>56.954360901634594</v>
      </c>
      <c r="H97" s="5">
        <f>0.0048*(F97*10^-3)^3.5687*1000</f>
        <v>242.07161024415183</v>
      </c>
      <c r="I97" s="5"/>
      <c r="J97" s="12">
        <f t="shared" si="41"/>
        <v>41550.786253336919</v>
      </c>
      <c r="K97" s="12">
        <f t="shared" si="40"/>
        <v>176602.20527498121</v>
      </c>
      <c r="L97" s="8"/>
      <c r="M97" s="8"/>
      <c r="N97" s="5" t="s">
        <v>52</v>
      </c>
      <c r="O97" s="28">
        <f t="shared" si="28"/>
        <v>29533148105.445881</v>
      </c>
      <c r="P97" s="28">
        <f t="shared" si="29"/>
        <v>4839367996.4991541</v>
      </c>
      <c r="Q97" s="5"/>
      <c r="R97" s="5"/>
      <c r="S97" s="5"/>
      <c r="T97" s="5"/>
      <c r="U97" s="5"/>
    </row>
    <row r="98" spans="1:33" s="1" customFormat="1" x14ac:dyDescent="0.25">
      <c r="A98" s="16" t="s">
        <v>35</v>
      </c>
      <c r="B98" s="1" t="s">
        <v>8</v>
      </c>
      <c r="C98" s="1" t="s">
        <v>13</v>
      </c>
      <c r="D98" s="22">
        <f>SUM(569.217094,
65.641026)</f>
        <v>634.85811999999999</v>
      </c>
      <c r="E98" s="22">
        <v>1860</v>
      </c>
      <c r="F98" s="22">
        <v>3200</v>
      </c>
      <c r="G98" s="5">
        <f t="shared" ref="G98:H99" si="42">0.0048*(E98*10^-3)^3.5687*1000</f>
        <v>43.959432925065776</v>
      </c>
      <c r="H98" s="5">
        <f t="shared" si="42"/>
        <v>304.7684210199219</v>
      </c>
      <c r="I98" s="5"/>
      <c r="J98" s="12">
        <f t="shared" si="41"/>
        <v>27908.002943073359</v>
      </c>
      <c r="K98" s="12">
        <f t="shared" si="40"/>
        <v>193484.70680407609</v>
      </c>
      <c r="L98" s="8"/>
      <c r="M98" s="8"/>
      <c r="N98" s="5" t="s">
        <v>52</v>
      </c>
      <c r="O98" s="28">
        <f t="shared" si="28"/>
        <v>34520652020.359695</v>
      </c>
      <c r="P98" s="28">
        <f t="shared" si="29"/>
        <v>3068538916.0986638</v>
      </c>
      <c r="Q98" s="5"/>
      <c r="R98" s="5"/>
      <c r="S98" s="5"/>
      <c r="T98" s="5"/>
      <c r="U98" s="5"/>
    </row>
    <row r="99" spans="1:33" s="1" customFormat="1" x14ac:dyDescent="0.25">
      <c r="A99" s="16" t="s">
        <v>35</v>
      </c>
      <c r="B99" s="1" t="s">
        <v>8</v>
      </c>
      <c r="C99" s="1" t="s">
        <v>14</v>
      </c>
      <c r="D99" s="22">
        <v>3.2820510000000001</v>
      </c>
      <c r="E99" s="22">
        <v>1950</v>
      </c>
      <c r="F99" s="22">
        <v>2800</v>
      </c>
      <c r="G99" s="5">
        <f t="shared" si="42"/>
        <v>52.034064977684302</v>
      </c>
      <c r="H99" s="5">
        <f t="shared" si="42"/>
        <v>189.24050739954041</v>
      </c>
      <c r="I99" s="5"/>
      <c r="J99" s="12">
        <f t="shared" si="41"/>
        <v>170.77845499407374</v>
      </c>
      <c r="K99" s="12">
        <f t="shared" si="40"/>
        <v>621.09699655116901</v>
      </c>
      <c r="L99" s="8"/>
      <c r="M99" s="8"/>
      <c r="N99" s="5" t="s">
        <v>52</v>
      </c>
      <c r="O99" s="28">
        <f t="shared" si="28"/>
        <v>106238726.72940053</v>
      </c>
      <c r="P99" s="28">
        <f t="shared" si="29"/>
        <v>21153143.759881899</v>
      </c>
      <c r="Q99" s="5"/>
      <c r="R99" s="5"/>
      <c r="S99" s="5"/>
      <c r="T99" s="5"/>
      <c r="U99" s="5"/>
    </row>
    <row r="100" spans="1:33" s="11" customFormat="1" x14ac:dyDescent="0.25">
      <c r="A100" s="17" t="s">
        <v>35</v>
      </c>
      <c r="B100" s="11" t="s">
        <v>8</v>
      </c>
      <c r="C100" s="11" t="s">
        <v>15</v>
      </c>
      <c r="D100" s="20">
        <f>SUM(1041.94188,
467.692308)</f>
        <v>1509.634188</v>
      </c>
      <c r="E100" s="20"/>
      <c r="F100" s="20"/>
      <c r="G100" s="12"/>
      <c r="H100" s="12"/>
      <c r="I100" s="12"/>
      <c r="J100" s="12"/>
      <c r="K100" s="12"/>
      <c r="L100" s="8">
        <f>SUM(J94:J99)</f>
        <v>70510.815058857173</v>
      </c>
      <c r="M100" s="8">
        <f>SUM(K94:K99)</f>
        <v>372592.67113186687</v>
      </c>
      <c r="N100" s="12"/>
      <c r="O100" s="28" t="e">
        <f t="shared" si="28"/>
        <v>#DIV/0!</v>
      </c>
      <c r="P100" s="28" t="e">
        <f t="shared" si="29"/>
        <v>#DIV/0!</v>
      </c>
      <c r="Q100" s="12">
        <f>SUM(O94:O99)</f>
        <v>64726095095.267715</v>
      </c>
      <c r="R100" s="12">
        <f>SUM(P94:P99)</f>
        <v>8125627051.5039845</v>
      </c>
      <c r="S100" s="12"/>
      <c r="T100" s="5"/>
      <c r="U100" s="5"/>
      <c r="V100" s="1"/>
      <c r="W100" s="1"/>
      <c r="X100" s="1"/>
      <c r="Y100" s="1"/>
      <c r="Z100" s="1"/>
    </row>
    <row r="101" spans="1:33" s="2" customFormat="1" x14ac:dyDescent="0.25">
      <c r="A101" s="15" t="s">
        <v>35</v>
      </c>
      <c r="B101" s="2" t="s">
        <v>16</v>
      </c>
      <c r="C101" s="2" t="s">
        <v>18</v>
      </c>
      <c r="D101" s="21">
        <f>SUM(16.136752,
465.641026)</f>
        <v>481.77777800000001</v>
      </c>
      <c r="E101" s="21">
        <v>600</v>
      </c>
      <c r="F101" s="21">
        <v>1000</v>
      </c>
      <c r="G101" s="3">
        <f>4.742*(E101*10^-3)^3.452</f>
        <v>0.81309195862009598</v>
      </c>
      <c r="H101" s="3">
        <f>4.742*(F101*10^-3)^3.452</f>
        <v>4.742</v>
      </c>
      <c r="I101" s="3" t="s">
        <v>41</v>
      </c>
      <c r="J101" s="10">
        <f>G101*$D101</f>
        <v>391.72963713365777</v>
      </c>
      <c r="K101" s="10">
        <f>H101*$D101</f>
        <v>2284.590223276</v>
      </c>
      <c r="L101" s="7"/>
      <c r="M101" s="7"/>
      <c r="N101" s="3" t="s">
        <v>52</v>
      </c>
      <c r="O101" s="28">
        <f t="shared" si="28"/>
        <v>1105270971.7441871</v>
      </c>
      <c r="P101" s="28">
        <f t="shared" si="29"/>
        <v>121952697.07300733</v>
      </c>
      <c r="Q101" s="3"/>
      <c r="R101" s="3"/>
      <c r="S101" s="5"/>
      <c r="T101" s="12"/>
      <c r="U101" s="12"/>
      <c r="V101" s="11"/>
      <c r="W101" s="11"/>
      <c r="X101" s="11"/>
      <c r="Y101" s="11"/>
      <c r="Z101" s="11"/>
      <c r="AA101" s="11"/>
      <c r="AB101" s="1"/>
      <c r="AC101" s="1"/>
      <c r="AD101" s="1"/>
      <c r="AE101" s="1"/>
      <c r="AF101" s="1"/>
      <c r="AG101" s="1"/>
    </row>
    <row r="102" spans="1:33" s="2" customFormat="1" x14ac:dyDescent="0.25">
      <c r="A102" s="15" t="s">
        <v>35</v>
      </c>
      <c r="B102" s="2" t="s">
        <v>16</v>
      </c>
      <c r="C102" s="2" t="s">
        <v>9</v>
      </c>
      <c r="D102" s="21">
        <f>333.333333</f>
        <v>333.33333299999998</v>
      </c>
      <c r="E102" s="21">
        <v>1100</v>
      </c>
      <c r="F102" s="21">
        <v>1370</v>
      </c>
      <c r="G102" s="3">
        <f t="shared" ref="G102:G106" si="43">4.742*(E102*10^-3)^3.452</f>
        <v>6.5894489660089315</v>
      </c>
      <c r="H102" s="3">
        <f t="shared" ref="H102:H106" si="44">4.742*(F102*10^-3)^3.452</f>
        <v>14.057916113595834</v>
      </c>
      <c r="I102" s="3"/>
      <c r="J102" s="10">
        <f t="shared" ref="J102:K107" si="45">G102*$D102</f>
        <v>2196.4829864731605</v>
      </c>
      <c r="K102" s="10">
        <f t="shared" si="45"/>
        <v>4685.972033179306</v>
      </c>
      <c r="L102" s="7"/>
      <c r="M102" s="7"/>
      <c r="N102" s="3" t="s">
        <v>52</v>
      </c>
      <c r="O102" s="28">
        <f t="shared" si="28"/>
        <v>1343639566.868928</v>
      </c>
      <c r="P102" s="28">
        <f t="shared" si="29"/>
        <v>521126278.294366</v>
      </c>
      <c r="Q102" s="3"/>
      <c r="R102" s="3"/>
      <c r="S102" s="5"/>
      <c r="T102" s="5"/>
      <c r="U102" s="5"/>
      <c r="V102" s="11"/>
      <c r="W102" s="11"/>
      <c r="X102" s="11"/>
      <c r="Y102" s="11"/>
      <c r="Z102" s="11"/>
      <c r="AA102" s="1"/>
      <c r="AB102" s="1"/>
      <c r="AC102" s="1"/>
      <c r="AD102" s="1"/>
      <c r="AE102" s="1"/>
      <c r="AF102" s="1"/>
      <c r="AG102" s="1"/>
    </row>
    <row r="103" spans="1:33" s="2" customFormat="1" x14ac:dyDescent="0.25">
      <c r="A103" s="15" t="s">
        <v>35</v>
      </c>
      <c r="B103" s="2" t="s">
        <v>16</v>
      </c>
      <c r="C103" s="2" t="s">
        <v>10</v>
      </c>
      <c r="D103" s="21">
        <f>SUM(2.461538,
81.025641)</f>
        <v>83.487178999999998</v>
      </c>
      <c r="E103" s="21">
        <v>1400</v>
      </c>
      <c r="F103" s="21">
        <v>2000</v>
      </c>
      <c r="G103" s="3">
        <f t="shared" si="43"/>
        <v>15.149403351788706</v>
      </c>
      <c r="H103" s="3">
        <f t="shared" si="44"/>
        <v>51.893993688844894</v>
      </c>
      <c r="I103" s="3"/>
      <c r="J103" s="10">
        <f t="shared" si="45"/>
        <v>1264.7809493739837</v>
      </c>
      <c r="K103" s="10">
        <f t="shared" si="45"/>
        <v>4332.4831401254642</v>
      </c>
      <c r="L103" s="7"/>
      <c r="M103" s="7"/>
      <c r="N103" s="3" t="s">
        <v>52</v>
      </c>
      <c r="O103" s="28">
        <f t="shared" si="28"/>
        <v>1008865720.6470729</v>
      </c>
      <c r="P103" s="28">
        <f t="shared" si="29"/>
        <v>216486793.76010966</v>
      </c>
      <c r="Q103" s="3"/>
      <c r="R103" s="3"/>
      <c r="S103" s="5"/>
      <c r="T103" s="5"/>
      <c r="U103" s="5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s="2" customFormat="1" x14ac:dyDescent="0.25">
      <c r="A104" s="15" t="s">
        <v>35</v>
      </c>
      <c r="B104" s="2" t="s">
        <v>16</v>
      </c>
      <c r="C104" s="2" t="s">
        <v>11</v>
      </c>
      <c r="D104" s="21">
        <f>SUM(9.846154,
163.076923)</f>
        <v>172.92307700000001</v>
      </c>
      <c r="E104" s="21">
        <v>2000</v>
      </c>
      <c r="F104" s="21">
        <v>2700</v>
      </c>
      <c r="G104" s="3">
        <f t="shared" si="43"/>
        <v>51.893993688844894</v>
      </c>
      <c r="H104" s="3">
        <f t="shared" si="44"/>
        <v>146.22757018221634</v>
      </c>
      <c r="I104" s="3"/>
      <c r="J104" s="10">
        <f t="shared" si="45"/>
        <v>8973.6690664936395</v>
      </c>
      <c r="K104" s="10">
        <f t="shared" si="45"/>
        <v>25286.121378142299</v>
      </c>
      <c r="L104" s="7"/>
      <c r="M104" s="7"/>
      <c r="N104" s="3" t="s">
        <v>52</v>
      </c>
      <c r="O104" s="28">
        <f t="shared" si="28"/>
        <v>4328110212.6755314</v>
      </c>
      <c r="P104" s="28">
        <f t="shared" si="29"/>
        <v>1185517857.6877384</v>
      </c>
      <c r="Q104" s="3"/>
      <c r="R104" s="3"/>
      <c r="S104" s="5"/>
      <c r="T104" s="5"/>
      <c r="U104" s="5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s="2" customFormat="1" x14ac:dyDescent="0.25">
      <c r="A105" s="15" t="s">
        <v>35</v>
      </c>
      <c r="B105" s="2" t="s">
        <v>16</v>
      </c>
      <c r="C105" s="2" t="s">
        <v>12</v>
      </c>
      <c r="D105" s="21">
        <f>96</f>
        <v>96</v>
      </c>
      <c r="E105" s="21">
        <v>2700</v>
      </c>
      <c r="F105" s="21">
        <v>3500</v>
      </c>
      <c r="G105" s="3">
        <f t="shared" si="43"/>
        <v>146.22757018221634</v>
      </c>
      <c r="H105" s="3">
        <f t="shared" si="44"/>
        <v>358.1660676243805</v>
      </c>
      <c r="I105" s="3"/>
      <c r="J105" s="10">
        <f t="shared" si="45"/>
        <v>14037.846737492768</v>
      </c>
      <c r="K105" s="10">
        <f t="shared" si="45"/>
        <v>34383.942491940528</v>
      </c>
      <c r="L105" s="7"/>
      <c r="M105" s="7"/>
      <c r="N105" s="3" t="s">
        <v>52</v>
      </c>
      <c r="O105" s="28">
        <f t="shared" si="28"/>
        <v>4542487308.1297321</v>
      </c>
      <c r="P105" s="28">
        <f t="shared" si="29"/>
        <v>1482431905.6672902</v>
      </c>
      <c r="Q105" s="3"/>
      <c r="R105" s="3"/>
      <c r="S105" s="5"/>
      <c r="T105" s="5"/>
      <c r="U105" s="5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s="2" customFormat="1" x14ac:dyDescent="0.25">
      <c r="A106" s="15" t="s">
        <v>35</v>
      </c>
      <c r="B106" s="2" t="s">
        <v>16</v>
      </c>
      <c r="C106" s="2" t="s">
        <v>13</v>
      </c>
      <c r="D106" s="21">
        <v>12.307691999999999</v>
      </c>
      <c r="E106" s="21">
        <v>3400</v>
      </c>
      <c r="F106" s="21">
        <v>4800</v>
      </c>
      <c r="G106" s="3">
        <f t="shared" si="43"/>
        <v>324.06100256862544</v>
      </c>
      <c r="H106" s="3">
        <f t="shared" si="44"/>
        <v>1065.6296629826547</v>
      </c>
      <c r="I106" s="3"/>
      <c r="J106" s="10">
        <f t="shared" si="45"/>
        <v>3988.4430088258505</v>
      </c>
      <c r="K106" s="10">
        <f t="shared" si="45"/>
        <v>13115.441678054316</v>
      </c>
      <c r="L106" s="7"/>
      <c r="M106" s="7"/>
      <c r="N106" s="3" t="s">
        <v>52</v>
      </c>
      <c r="O106" s="28">
        <f t="shared" si="28"/>
        <v>1420108720.7229927</v>
      </c>
      <c r="P106" s="28">
        <f t="shared" si="29"/>
        <v>320698687.21914506</v>
      </c>
      <c r="Q106" s="3"/>
      <c r="R106" s="3"/>
      <c r="S106" s="5"/>
      <c r="T106" s="5"/>
      <c r="U106" s="5"/>
      <c r="V106" s="1"/>
      <c r="W106" s="1"/>
      <c r="X106" s="1"/>
      <c r="Y106" s="1"/>
      <c r="Z106" s="1"/>
      <c r="AA106" s="11"/>
      <c r="AB106" s="1"/>
      <c r="AC106" s="1"/>
      <c r="AD106" s="1"/>
      <c r="AE106" s="1"/>
      <c r="AF106" s="1"/>
      <c r="AG106" s="1"/>
    </row>
    <row r="107" spans="1:33" s="2" customFormat="1" x14ac:dyDescent="0.25">
      <c r="A107" s="15" t="s">
        <v>35</v>
      </c>
      <c r="B107" s="2" t="s">
        <v>16</v>
      </c>
      <c r="C107" s="2" t="s">
        <v>14</v>
      </c>
      <c r="D107" s="21">
        <v>2.461538</v>
      </c>
      <c r="E107" s="21">
        <v>2000</v>
      </c>
      <c r="F107" s="21">
        <v>4000</v>
      </c>
      <c r="G107" s="3">
        <f>4.742*(E107*10^-3)^3.452</f>
        <v>51.893993688844894</v>
      </c>
      <c r="H107" s="3">
        <f>4.742*(F107*10^-3)^3.452</f>
        <v>567.90100821971191</v>
      </c>
      <c r="I107" s="3"/>
      <c r="J107" s="10">
        <f t="shared" si="45"/>
        <v>127.73903743685189</v>
      </c>
      <c r="K107" s="10">
        <f t="shared" si="45"/>
        <v>1397.9099119711332</v>
      </c>
      <c r="L107" s="7"/>
      <c r="M107" s="7"/>
      <c r="N107" s="3" t="s">
        <v>52</v>
      </c>
      <c r="O107" s="28">
        <f t="shared" si="28"/>
        <v>239273871.85733399</v>
      </c>
      <c r="P107" s="28">
        <f t="shared" si="29"/>
        <v>12021283.684466738</v>
      </c>
      <c r="Q107" s="3"/>
      <c r="R107" s="3"/>
      <c r="S107" s="5"/>
      <c r="T107" s="5"/>
      <c r="U107" s="5"/>
      <c r="V107" s="11"/>
      <c r="W107" s="11"/>
      <c r="X107" s="11"/>
      <c r="Y107" s="11"/>
      <c r="Z107" s="11"/>
      <c r="AA107" s="1"/>
      <c r="AB107" s="1"/>
      <c r="AC107" s="1"/>
      <c r="AD107" s="1"/>
      <c r="AE107" s="1"/>
      <c r="AF107" s="1"/>
      <c r="AG107" s="1"/>
    </row>
    <row r="108" spans="1:33" s="9" customFormat="1" x14ac:dyDescent="0.25">
      <c r="A108" s="14" t="s">
        <v>35</v>
      </c>
      <c r="B108" s="9" t="s">
        <v>16</v>
      </c>
      <c r="C108" s="9" t="s">
        <v>15</v>
      </c>
      <c r="D108" s="19">
        <f>SUM(D101:D107)</f>
        <v>1182.2905969999999</v>
      </c>
      <c r="E108" s="19"/>
      <c r="F108" s="19"/>
      <c r="G108" s="10"/>
      <c r="H108" s="10"/>
      <c r="I108" s="10"/>
      <c r="J108" s="10"/>
      <c r="K108" s="10"/>
      <c r="L108" s="7">
        <f>SUM(J101:J107)</f>
        <v>30980.691423229913</v>
      </c>
      <c r="M108" s="7">
        <f>SUM(K101:K107)</f>
        <v>85486.460856689038</v>
      </c>
      <c r="N108" s="10"/>
      <c r="O108" s="28" t="e">
        <f t="shared" si="28"/>
        <v>#DIV/0!</v>
      </c>
      <c r="P108" s="28" t="e">
        <f t="shared" si="29"/>
        <v>#DIV/0!</v>
      </c>
      <c r="Q108" s="10">
        <f>SUM(O101:O107)</f>
        <v>13987756372.645779</v>
      </c>
      <c r="R108" s="10">
        <f>SUM(P101:P107)</f>
        <v>3860235503.3861232</v>
      </c>
      <c r="S108" s="12"/>
      <c r="T108" s="5"/>
      <c r="U108" s="5"/>
      <c r="V108" s="1"/>
      <c r="W108" s="1"/>
      <c r="X108" s="1"/>
      <c r="Y108" s="1"/>
      <c r="Z108" s="1"/>
      <c r="AA108" s="1"/>
      <c r="AB108" s="11"/>
      <c r="AC108" s="11"/>
      <c r="AD108" s="11"/>
      <c r="AE108" s="11"/>
      <c r="AF108" s="11"/>
      <c r="AG108" s="11"/>
    </row>
    <row r="109" spans="1:33" s="1" customFormat="1" x14ac:dyDescent="0.25">
      <c r="A109" s="16" t="s">
        <v>35</v>
      </c>
      <c r="B109" s="1" t="s">
        <v>17</v>
      </c>
      <c r="C109" s="1" t="s">
        <v>18</v>
      </c>
      <c r="D109" s="22">
        <v>65.641025999999997</v>
      </c>
      <c r="E109" s="22">
        <v>950</v>
      </c>
      <c r="F109" s="22">
        <v>1500</v>
      </c>
      <c r="G109" s="5">
        <f>7.263*(E109*10^-3)^3.106</f>
        <v>6.1933491234965805</v>
      </c>
      <c r="H109" s="5">
        <f>7.263*(F109*10^-3)^3.106</f>
        <v>25.589128476667867</v>
      </c>
      <c r="I109" s="5" t="s">
        <v>41</v>
      </c>
      <c r="J109" s="5">
        <f>G109*$D109</f>
        <v>406.53779084251624</v>
      </c>
      <c r="K109" s="5">
        <f t="shared" ref="K109:K115" si="46">H109*$D109</f>
        <v>1679.6966476542957</v>
      </c>
      <c r="N109" s="5" t="s">
        <v>52</v>
      </c>
      <c r="O109" s="28">
        <f t="shared" si="28"/>
        <v>489153124.04161018</v>
      </c>
      <c r="P109" s="28">
        <f t="shared" si="29"/>
        <v>83039058.369098455</v>
      </c>
      <c r="Q109" s="5"/>
      <c r="R109" s="5"/>
      <c r="S109" s="5"/>
      <c r="T109" s="12"/>
      <c r="U109" s="12"/>
    </row>
    <row r="110" spans="1:33" s="1" customFormat="1" x14ac:dyDescent="0.25">
      <c r="A110" s="16" t="s">
        <v>35</v>
      </c>
      <c r="B110" s="1" t="s">
        <v>17</v>
      </c>
      <c r="C110" s="1" t="s">
        <v>9</v>
      </c>
      <c r="D110" s="22">
        <f>SUM(13.128205,
1031.794872)</f>
        <v>1044.9230769999999</v>
      </c>
      <c r="E110" s="22">
        <v>1500</v>
      </c>
      <c r="F110" s="22">
        <v>2600</v>
      </c>
      <c r="G110" s="5">
        <f t="shared" ref="G110:H115" si="47">7.263*(E110*10^-3)^3.106</f>
        <v>25.589128476667867</v>
      </c>
      <c r="H110" s="5">
        <f t="shared" si="47"/>
        <v>141.26132091409403</v>
      </c>
      <c r="I110" s="5"/>
      <c r="J110" s="5">
        <f t="shared" ref="J110:J115" si="48">G110*$D110</f>
        <v>26738.670865588108</v>
      </c>
      <c r="K110" s="5">
        <f t="shared" si="46"/>
        <v>147607.21411063959</v>
      </c>
      <c r="L110" s="8"/>
      <c r="M110" s="8"/>
      <c r="N110" s="5" t="s">
        <v>52</v>
      </c>
      <c r="O110" s="28">
        <f t="shared" si="28"/>
        <v>30150122188.718166</v>
      </c>
      <c r="P110" s="28">
        <f t="shared" si="29"/>
        <v>3563111117.9709067</v>
      </c>
      <c r="Q110" s="5"/>
      <c r="R110" s="5"/>
      <c r="S110" s="5"/>
      <c r="T110" s="5"/>
      <c r="U110" s="5"/>
    </row>
    <row r="111" spans="1:33" s="1" customFormat="1" x14ac:dyDescent="0.25">
      <c r="A111" s="16" t="s">
        <v>35</v>
      </c>
      <c r="B111" s="1" t="s">
        <v>17</v>
      </c>
      <c r="C111" s="1" t="s">
        <v>10</v>
      </c>
      <c r="D111" s="22">
        <f>SUM(349.374359,
363.076923)</f>
        <v>712.45128199999999</v>
      </c>
      <c r="E111" s="22">
        <v>2600</v>
      </c>
      <c r="F111" s="22">
        <v>3500</v>
      </c>
      <c r="G111" s="5">
        <f t="shared" si="47"/>
        <v>141.26132091409403</v>
      </c>
      <c r="H111" s="5">
        <f t="shared" si="47"/>
        <v>355.62426808540175</v>
      </c>
      <c r="I111" s="5"/>
      <c r="J111" s="5">
        <f t="shared" si="48"/>
        <v>100641.80918225971</v>
      </c>
      <c r="K111" s="5">
        <f>H111*$D111</f>
        <v>253364.96570775617</v>
      </c>
      <c r="L111" s="8"/>
      <c r="M111" s="8"/>
      <c r="N111" s="5" t="s">
        <v>52</v>
      </c>
      <c r="O111" s="28">
        <f t="shared" si="28"/>
        <v>33762617848.72258</v>
      </c>
      <c r="P111" s="28">
        <f t="shared" si="29"/>
        <v>10646968138.230953</v>
      </c>
      <c r="Q111" s="5"/>
      <c r="R111" s="5"/>
      <c r="S111" s="5"/>
      <c r="T111" s="5"/>
      <c r="U111" s="5"/>
      <c r="AA111" s="11"/>
    </row>
    <row r="112" spans="1:33" s="1" customFormat="1" x14ac:dyDescent="0.25">
      <c r="A112" s="16" t="s">
        <v>35</v>
      </c>
      <c r="B112" s="1" t="s">
        <v>17</v>
      </c>
      <c r="C112" s="1" t="s">
        <v>11</v>
      </c>
      <c r="D112" s="22">
        <v>321.476923</v>
      </c>
      <c r="E112" s="22">
        <v>3500</v>
      </c>
      <c r="F112" s="22">
        <v>4200</v>
      </c>
      <c r="G112" s="5">
        <f t="shared" si="47"/>
        <v>355.62426808540175</v>
      </c>
      <c r="H112" s="5">
        <f t="shared" si="47"/>
        <v>626.5104800772491</v>
      </c>
      <c r="I112" s="5"/>
      <c r="J112" s="5">
        <f t="shared" si="48"/>
        <v>114324.99544822205</v>
      </c>
      <c r="K112" s="5">
        <f t="shared" si="46"/>
        <v>201408.66136248683</v>
      </c>
      <c r="L112" s="8"/>
      <c r="M112" s="8"/>
      <c r="N112" s="5" t="s">
        <v>52</v>
      </c>
      <c r="O112" s="28">
        <f t="shared" si="28"/>
        <v>21307164663.611198</v>
      </c>
      <c r="P112" s="28">
        <f t="shared" si="29"/>
        <v>10497949381.463352</v>
      </c>
      <c r="Q112" s="5"/>
      <c r="R112" s="5"/>
      <c r="S112" s="5"/>
      <c r="T112" s="5"/>
      <c r="U112" s="5"/>
      <c r="V112" s="11"/>
      <c r="W112" s="11"/>
      <c r="X112" s="11"/>
      <c r="Y112" s="11"/>
      <c r="Z112" s="11"/>
    </row>
    <row r="113" spans="1:33" s="1" customFormat="1" x14ac:dyDescent="0.25">
      <c r="A113" s="16" t="s">
        <v>35</v>
      </c>
      <c r="B113" s="1" t="s">
        <v>17</v>
      </c>
      <c r="C113" s="1" t="s">
        <v>12</v>
      </c>
      <c r="D113" s="22">
        <v>1650.54359</v>
      </c>
      <c r="E113" s="22">
        <v>4600</v>
      </c>
      <c r="F113" s="22">
        <v>5400</v>
      </c>
      <c r="G113" s="5">
        <f t="shared" si="47"/>
        <v>831.07815957792832</v>
      </c>
      <c r="H113" s="5">
        <f t="shared" si="47"/>
        <v>1367.5117360953927</v>
      </c>
      <c r="I113" s="5"/>
      <c r="J113" s="5">
        <f t="shared" si="48"/>
        <v>1371730.7290803466</v>
      </c>
      <c r="K113" s="5">
        <f t="shared" si="46"/>
        <v>2257137.730262022</v>
      </c>
      <c r="L113" s="8"/>
      <c r="M113" s="8"/>
      <c r="N113" s="5" t="s">
        <v>52</v>
      </c>
      <c r="O113" s="28">
        <f t="shared" si="28"/>
        <v>193126984655.93912</v>
      </c>
      <c r="P113" s="28">
        <f t="shared" si="29"/>
        <v>103629038527.57979</v>
      </c>
      <c r="Q113" s="5"/>
      <c r="R113" s="5"/>
      <c r="S113" s="5"/>
      <c r="T113" s="5"/>
      <c r="U113" s="5"/>
    </row>
    <row r="114" spans="1:33" s="1" customFormat="1" x14ac:dyDescent="0.25">
      <c r="A114" s="16" t="s">
        <v>35</v>
      </c>
      <c r="B114" s="1" t="s">
        <v>17</v>
      </c>
      <c r="C114" s="1" t="s">
        <v>13</v>
      </c>
      <c r="D114" s="22">
        <v>757.98974399999997</v>
      </c>
      <c r="E114" s="22">
        <v>6600</v>
      </c>
      <c r="F114" s="22">
        <v>7200</v>
      </c>
      <c r="G114" s="5">
        <f t="shared" si="47"/>
        <v>2550.465821375426</v>
      </c>
      <c r="H114" s="5">
        <f t="shared" si="47"/>
        <v>3341.8794371620952</v>
      </c>
      <c r="I114" s="5"/>
      <c r="J114" s="5">
        <f t="shared" si="48"/>
        <v>1933226.9350251087</v>
      </c>
      <c r="K114" s="5">
        <f t="shared" si="46"/>
        <v>2533110.3390533607</v>
      </c>
      <c r="L114" s="8"/>
      <c r="M114" s="8"/>
      <c r="N114" s="5" t="s">
        <v>52</v>
      </c>
      <c r="O114" s="28">
        <f t="shared" si="28"/>
        <v>163755010487.61642</v>
      </c>
      <c r="P114" s="28">
        <f t="shared" si="29"/>
        <v>116810130607.09264</v>
      </c>
      <c r="Q114" s="5"/>
      <c r="R114" s="5"/>
      <c r="S114" s="5"/>
      <c r="T114" s="5"/>
      <c r="U114" s="5"/>
    </row>
    <row r="115" spans="1:33" s="1" customFormat="1" x14ac:dyDescent="0.25">
      <c r="A115" s="16" t="s">
        <v>35</v>
      </c>
      <c r="B115" s="1" t="s">
        <v>17</v>
      </c>
      <c r="C115" s="1" t="s">
        <v>14</v>
      </c>
      <c r="D115" s="22">
        <v>2.461538</v>
      </c>
      <c r="E115" s="22">
        <v>4900</v>
      </c>
      <c r="F115" s="22">
        <v>5600</v>
      </c>
      <c r="G115" s="5">
        <f t="shared" si="47"/>
        <v>1011.2652147179986</v>
      </c>
      <c r="H115" s="5">
        <f t="shared" si="47"/>
        <v>1531.0453543271549</v>
      </c>
      <c r="I115" s="5"/>
      <c r="J115" s="5">
        <f t="shared" si="48"/>
        <v>2489.2677541065127</v>
      </c>
      <c r="K115" s="5">
        <f t="shared" si="46"/>
        <v>3768.726319399756</v>
      </c>
      <c r="L115" s="8"/>
      <c r="M115" s="8"/>
      <c r="N115" s="5" t="s">
        <v>52</v>
      </c>
      <c r="O115" s="28">
        <f t="shared" si="28"/>
        <v>307024971.76016557</v>
      </c>
      <c r="P115" s="28">
        <f t="shared" si="29"/>
        <v>182818426.18748027</v>
      </c>
      <c r="Q115" s="5"/>
      <c r="R115" s="5"/>
      <c r="S115" s="5"/>
      <c r="T115" s="5"/>
      <c r="U115" s="5"/>
    </row>
    <row r="116" spans="1:33" s="1" customFormat="1" x14ac:dyDescent="0.25">
      <c r="A116" s="16" t="s">
        <v>35</v>
      </c>
      <c r="B116" s="1" t="s">
        <v>17</v>
      </c>
      <c r="C116" s="1" t="s">
        <v>15</v>
      </c>
      <c r="D116" s="22">
        <f>SUM(D109:D115)</f>
        <v>4555.4871800000001</v>
      </c>
      <c r="E116" s="22"/>
      <c r="F116" s="22"/>
      <c r="G116" s="5"/>
      <c r="H116" s="5"/>
      <c r="I116" s="5"/>
      <c r="J116" s="5"/>
      <c r="K116" s="5"/>
      <c r="L116" s="8">
        <f>SUM(J109:J115)</f>
        <v>3549558.9451464741</v>
      </c>
      <c r="M116" s="8">
        <f>SUM(K109:K115)</f>
        <v>5398077.3334633196</v>
      </c>
      <c r="N116" s="5"/>
      <c r="O116" s="28" t="e">
        <f t="shared" si="28"/>
        <v>#DIV/0!</v>
      </c>
      <c r="P116" s="28" t="e">
        <f t="shared" si="29"/>
        <v>#DIV/0!</v>
      </c>
      <c r="Q116" s="12">
        <f>SUM(O109:O115)</f>
        <v>442898077940.40936</v>
      </c>
      <c r="R116" s="12">
        <f>SUM(P109:P115)</f>
        <v>245413055256.8942</v>
      </c>
      <c r="S116" s="12"/>
      <c r="T116" s="5"/>
      <c r="U116" s="5"/>
    </row>
    <row r="117" spans="1:33" s="9" customFormat="1" x14ac:dyDescent="0.25">
      <c r="A117" s="14" t="s">
        <v>35</v>
      </c>
      <c r="B117" s="9" t="s">
        <v>19</v>
      </c>
      <c r="C117" s="9" t="s">
        <v>4</v>
      </c>
      <c r="D117" s="19">
        <f>SUM(65.859829,
169.230769)</f>
        <v>235.090598</v>
      </c>
      <c r="E117" s="19">
        <f>1.7</f>
        <v>1.7</v>
      </c>
      <c r="F117" s="19">
        <f>2.8</f>
        <v>2.8</v>
      </c>
      <c r="G117" s="10">
        <f>((0.0228*(E117)^2.3698)/0.9)*0.4*1000</f>
        <v>35.63446006817815</v>
      </c>
      <c r="H117" s="10">
        <f>((0.0228*(F117)^2.3698)/0.9)*0.4*1000</f>
        <v>116.259227141754</v>
      </c>
      <c r="I117" s="10" t="s">
        <v>46</v>
      </c>
      <c r="J117" s="10">
        <f>G117*$D117</f>
        <v>8377.3265268351224</v>
      </c>
      <c r="K117" s="10">
        <f>H117*$D117</f>
        <v>27331.451231772779</v>
      </c>
      <c r="L117" s="7">
        <f>J117</f>
        <v>8377.3265268351224</v>
      </c>
      <c r="M117" s="7">
        <f>K117</f>
        <v>27331.451231772779</v>
      </c>
      <c r="N117" s="10" t="s">
        <v>54</v>
      </c>
      <c r="O117" s="28">
        <f t="shared" si="28"/>
        <v>5139140761.5210733</v>
      </c>
      <c r="P117" s="28">
        <f t="shared" si="29"/>
        <v>1172044097.8957572</v>
      </c>
      <c r="Q117" s="10">
        <f>O117</f>
        <v>5139140761.5210733</v>
      </c>
      <c r="R117" s="10">
        <f>P117</f>
        <v>1172044097.8957572</v>
      </c>
      <c r="S117" s="12"/>
      <c r="T117" s="12"/>
      <c r="U117" s="5"/>
      <c r="V117" s="1"/>
      <c r="W117" s="1"/>
      <c r="X117" s="1"/>
      <c r="Y117" s="1"/>
      <c r="Z117" s="1"/>
      <c r="AA117" s="1"/>
      <c r="AB117" s="11"/>
      <c r="AC117" s="11"/>
      <c r="AD117" s="11"/>
      <c r="AE117" s="11"/>
      <c r="AF117" s="11"/>
      <c r="AG117" s="11"/>
    </row>
    <row r="118" spans="1:33" s="11" customFormat="1" x14ac:dyDescent="0.25">
      <c r="A118" s="17" t="s">
        <v>35</v>
      </c>
      <c r="B118" s="11" t="s">
        <v>20</v>
      </c>
      <c r="C118" s="11" t="s">
        <v>4</v>
      </c>
      <c r="D118" s="20">
        <f>SUM(1043.364103,
885.128205)</f>
        <v>1928.4923079999999</v>
      </c>
      <c r="E118" s="20">
        <v>11.6871446</v>
      </c>
      <c r="F118" s="20">
        <v>11.6871446</v>
      </c>
      <c r="G118" s="12">
        <f>0.4*(0.00032*(E118)^3)*1000</f>
        <v>204.33145234296978</v>
      </c>
      <c r="H118" s="12">
        <f>0.4*(0.00032*(F118)^3)*1000</f>
        <v>204.33145234296978</v>
      </c>
      <c r="I118" s="12"/>
      <c r="J118" s="12">
        <f>G118*$D118</f>
        <v>394051.63412588579</v>
      </c>
      <c r="K118" s="12">
        <f>H118*$D118</f>
        <v>394051.63412588579</v>
      </c>
      <c r="L118" s="8">
        <f>J118</f>
        <v>394051.63412588579</v>
      </c>
      <c r="M118" s="8">
        <f>K118</f>
        <v>394051.63412588579</v>
      </c>
      <c r="N118" s="12" t="s">
        <v>51</v>
      </c>
      <c r="O118" s="28">
        <f t="shared" si="28"/>
        <v>47881163381.857597</v>
      </c>
      <c r="P118" s="28">
        <f t="shared" si="29"/>
        <v>47881163381.857597</v>
      </c>
      <c r="Q118" s="12">
        <f>O118</f>
        <v>47881163381.857597</v>
      </c>
      <c r="R118" s="12">
        <f>P118</f>
        <v>47881163381.857597</v>
      </c>
      <c r="S118" s="12"/>
      <c r="T118" s="12"/>
      <c r="U118" s="12"/>
      <c r="V118" s="1"/>
      <c r="W118" s="1"/>
      <c r="X118" s="1"/>
      <c r="Y118" s="1"/>
      <c r="Z118" s="1"/>
    </row>
    <row r="119" spans="1:33" s="2" customFormat="1" x14ac:dyDescent="0.25">
      <c r="A119" s="15" t="s">
        <v>35</v>
      </c>
      <c r="B119" s="2" t="s">
        <v>21</v>
      </c>
      <c r="C119" s="2" t="s">
        <v>11</v>
      </c>
      <c r="D119" s="21">
        <f>SUM(36.102564,
56.410256)</f>
        <v>92.512820000000005</v>
      </c>
      <c r="E119" s="21">
        <v>1800</v>
      </c>
      <c r="F119" s="21">
        <v>2200</v>
      </c>
      <c r="G119" s="3">
        <f>((0.0089*(E119*10^-3)^3.4119)/0.9)*0.47*1000</f>
        <v>34.531036561114568</v>
      </c>
      <c r="H119" s="3">
        <f>((0.0089*(F119*10^-3)^3.4119)/0.9)*0.47*1000</f>
        <v>68.478982676295388</v>
      </c>
      <c r="I119" s="3" t="s">
        <v>46</v>
      </c>
      <c r="J119" s="3">
        <f>G119*$D119</f>
        <v>3194.5635697918115</v>
      </c>
      <c r="K119" s="3">
        <f t="shared" ref="K119:K122" si="49">H119*$D119</f>
        <v>6335.1837981152339</v>
      </c>
      <c r="L119" s="7"/>
      <c r="M119" s="7"/>
      <c r="N119" s="3" t="s">
        <v>51</v>
      </c>
      <c r="O119" s="28">
        <f t="shared" si="28"/>
        <v>1200610624.1716983</v>
      </c>
      <c r="P119" s="28">
        <f t="shared" si="29"/>
        <v>510173124.2971999</v>
      </c>
      <c r="Q119" s="3"/>
      <c r="R119" s="3"/>
      <c r="S119" s="5"/>
      <c r="T119" s="12"/>
      <c r="U119" s="12"/>
      <c r="V119" s="11"/>
      <c r="W119" s="11"/>
      <c r="X119" s="11"/>
      <c r="Y119" s="11"/>
      <c r="Z119" s="11"/>
      <c r="AA119" s="11"/>
      <c r="AB119" s="1"/>
      <c r="AC119" s="1"/>
      <c r="AD119" s="1"/>
      <c r="AE119" s="1"/>
      <c r="AF119" s="1"/>
      <c r="AG119" s="1"/>
    </row>
    <row r="120" spans="1:33" s="2" customFormat="1" x14ac:dyDescent="0.25">
      <c r="A120" s="15" t="s">
        <v>35</v>
      </c>
      <c r="B120" s="2" t="s">
        <v>21</v>
      </c>
      <c r="C120" s="2" t="s">
        <v>12</v>
      </c>
      <c r="D120" s="21">
        <f>SUM(76.252991,
41.025641)</f>
        <v>117.27863199999999</v>
      </c>
      <c r="E120" s="21">
        <v>2200</v>
      </c>
      <c r="F120" s="21">
        <v>2800</v>
      </c>
      <c r="G120" s="3">
        <f t="shared" ref="G120:G122" si="50">((0.0089*(E120*10^-3)^3.4119)/0.9)*0.47*1000</f>
        <v>68.478982676295388</v>
      </c>
      <c r="H120" s="3">
        <f t="shared" ref="H120:H122" si="51">((0.0089*(F120*10^-3)^3.4119)/0.9)*0.47*1000</f>
        <v>155.9207238445286</v>
      </c>
      <c r="I120" s="3"/>
      <c r="J120" s="3">
        <f t="shared" ref="J120:J122" si="52">G120*$D120</f>
        <v>8031.1214090276208</v>
      </c>
      <c r="K120" s="3">
        <f>H120*$D120</f>
        <v>18286.169192936093</v>
      </c>
      <c r="L120" s="7"/>
      <c r="M120" s="7"/>
      <c r="N120" s="3" t="s">
        <v>51</v>
      </c>
      <c r="O120" s="28">
        <f t="shared" si="28"/>
        <v>2920308788.5946774</v>
      </c>
      <c r="P120" s="28">
        <f t="shared" si="29"/>
        <v>1044108418.4315842</v>
      </c>
      <c r="Q120" s="3"/>
      <c r="R120" s="3"/>
      <c r="S120" s="5"/>
      <c r="T120" s="5"/>
      <c r="U120" s="5"/>
      <c r="V120" s="11"/>
      <c r="W120" s="11"/>
      <c r="X120" s="11"/>
      <c r="Y120" s="11"/>
      <c r="Z120" s="11"/>
      <c r="AA120" s="1"/>
      <c r="AB120" s="1"/>
      <c r="AC120" s="1"/>
      <c r="AD120" s="1"/>
      <c r="AE120" s="1"/>
      <c r="AF120" s="1"/>
      <c r="AG120" s="1"/>
    </row>
    <row r="121" spans="1:33" s="2" customFormat="1" x14ac:dyDescent="0.25">
      <c r="A121" s="15" t="s">
        <v>35</v>
      </c>
      <c r="B121" s="2" t="s">
        <v>21</v>
      </c>
      <c r="C121" s="2" t="s">
        <v>13</v>
      </c>
      <c r="D121" s="21">
        <f>77.511111</f>
        <v>77.511111</v>
      </c>
      <c r="E121" s="21">
        <v>2700</v>
      </c>
      <c r="F121" s="21">
        <v>3200</v>
      </c>
      <c r="G121" s="3">
        <f t="shared" si="50"/>
        <v>137.72582485028883</v>
      </c>
      <c r="H121" s="3">
        <f t="shared" si="51"/>
        <v>245.90455088187281</v>
      </c>
      <c r="I121" s="3"/>
      <c r="J121" s="3">
        <f t="shared" si="52"/>
        <v>10675.281697537295</v>
      </c>
      <c r="K121" s="3">
        <f t="shared" si="49"/>
        <v>19060.334938809992</v>
      </c>
      <c r="L121" s="7"/>
      <c r="M121" s="7"/>
      <c r="N121" s="3" t="s">
        <v>51</v>
      </c>
      <c r="O121" s="28">
        <f t="shared" si="28"/>
        <v>2556065915.5123119</v>
      </c>
      <c r="P121" s="28">
        <f t="shared" si="29"/>
        <v>1238463093.5277195</v>
      </c>
      <c r="Q121" s="3"/>
      <c r="R121" s="3"/>
      <c r="S121" s="5"/>
      <c r="T121" s="5"/>
      <c r="U121" s="5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s="2" customFormat="1" x14ac:dyDescent="0.25">
      <c r="A122" s="15" t="s">
        <v>35</v>
      </c>
      <c r="B122" s="2" t="s">
        <v>21</v>
      </c>
      <c r="C122" s="2" t="s">
        <v>14</v>
      </c>
      <c r="D122" s="21">
        <f>4.923077</f>
        <v>4.9230770000000001</v>
      </c>
      <c r="E122" s="21">
        <v>2900</v>
      </c>
      <c r="F122" s="21">
        <v>3200</v>
      </c>
      <c r="G122" s="3">
        <f t="shared" si="50"/>
        <v>175.75232711616172</v>
      </c>
      <c r="H122" s="3">
        <f t="shared" si="51"/>
        <v>245.90455088187281</v>
      </c>
      <c r="I122" s="3"/>
      <c r="J122" s="3">
        <f t="shared" si="52"/>
        <v>865.24223932205211</v>
      </c>
      <c r="K122" s="3">
        <f t="shared" si="49"/>
        <v>1210.6070386418778</v>
      </c>
      <c r="L122" s="7"/>
      <c r="M122" s="7"/>
      <c r="N122" s="3" t="s">
        <v>51</v>
      </c>
      <c r="O122" s="28">
        <f t="shared" si="28"/>
        <v>152747211.35274798</v>
      </c>
      <c r="P122" s="28">
        <f t="shared" si="29"/>
        <v>100378670.15807584</v>
      </c>
      <c r="Q122" s="3"/>
      <c r="R122" s="3"/>
      <c r="S122" s="5"/>
      <c r="T122" s="5"/>
      <c r="U122" s="5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s="9" customFormat="1" x14ac:dyDescent="0.25">
      <c r="A123" s="14" t="s">
        <v>35</v>
      </c>
      <c r="B123" s="9" t="s">
        <v>21</v>
      </c>
      <c r="C123" s="9" t="s">
        <v>15</v>
      </c>
      <c r="D123" s="19">
        <f>SUM(194.789744,
97.435897)</f>
        <v>292.225641</v>
      </c>
      <c r="E123" s="19"/>
      <c r="F123" s="19"/>
      <c r="G123" s="10"/>
      <c r="H123" s="10"/>
      <c r="I123" s="10"/>
      <c r="J123" s="10"/>
      <c r="K123" s="10"/>
      <c r="L123" s="7">
        <f>SUM(J119:J122)</f>
        <v>22766.208915678781</v>
      </c>
      <c r="M123" s="7">
        <f>SUM(K119:K122)</f>
        <v>44892.2949685032</v>
      </c>
      <c r="N123" s="10"/>
      <c r="O123" s="28" t="e">
        <f t="shared" si="28"/>
        <v>#DIV/0!</v>
      </c>
      <c r="P123" s="28" t="e">
        <f t="shared" si="29"/>
        <v>#DIV/0!</v>
      </c>
      <c r="Q123" s="10">
        <f>SUM(O119:O122)</f>
        <v>6829732539.6314354</v>
      </c>
      <c r="R123" s="10">
        <f>SUM(P119:P122)</f>
        <v>2893123306.4145794</v>
      </c>
      <c r="S123" s="12"/>
      <c r="T123" s="5"/>
      <c r="U123" s="5"/>
      <c r="V123" s="1"/>
      <c r="W123" s="1"/>
      <c r="X123" s="1"/>
      <c r="Y123" s="1"/>
      <c r="Z123" s="1"/>
      <c r="AA123" s="1"/>
      <c r="AB123" s="11"/>
      <c r="AC123" s="11"/>
      <c r="AD123" s="11"/>
      <c r="AE123" s="11"/>
      <c r="AF123" s="11"/>
      <c r="AG123" s="11"/>
    </row>
    <row r="124" spans="1:33" s="1" customFormat="1" x14ac:dyDescent="0.25">
      <c r="A124" s="16" t="s">
        <v>35</v>
      </c>
      <c r="B124" s="1" t="s">
        <v>22</v>
      </c>
      <c r="C124" s="1" t="s">
        <v>10</v>
      </c>
      <c r="D124" s="22">
        <v>13.675214</v>
      </c>
      <c r="E124" s="22">
        <v>1400</v>
      </c>
      <c r="F124" s="22">
        <v>1700</v>
      </c>
      <c r="G124" s="5">
        <f>((0.0031*(E124*10^-3)^4.7164)/0.9)*0.4*1000</f>
        <v>6.7356179121466413</v>
      </c>
      <c r="H124" s="5">
        <f>((0.0031*(F124*10^-3)^4.7164)/0.9)*0.4*1000</f>
        <v>16.829393632447292</v>
      </c>
      <c r="I124" s="5" t="s">
        <v>61</v>
      </c>
      <c r="J124" s="5">
        <f>G124*$D124</f>
        <v>92.111016370838527</v>
      </c>
      <c r="K124" s="5">
        <f>H124*$D124</f>
        <v>230.14555941395406</v>
      </c>
      <c r="L124" s="8"/>
      <c r="M124" s="8"/>
      <c r="N124" s="5" t="s">
        <v>51</v>
      </c>
      <c r="O124" s="28">
        <f t="shared" si="28"/>
        <v>65630181.543369688</v>
      </c>
      <c r="P124" s="28">
        <f t="shared" si="29"/>
        <v>20892471.76623071</v>
      </c>
      <c r="Q124" s="5"/>
      <c r="R124" s="5"/>
      <c r="S124" s="5"/>
      <c r="T124" s="12"/>
      <c r="U124" s="12"/>
    </row>
    <row r="125" spans="1:33" s="1" customFormat="1" x14ac:dyDescent="0.25">
      <c r="A125" s="16" t="s">
        <v>35</v>
      </c>
      <c r="B125" s="1" t="s">
        <v>22</v>
      </c>
      <c r="C125" s="1" t="s">
        <v>12</v>
      </c>
      <c r="D125" s="22">
        <v>2.461538</v>
      </c>
      <c r="E125" s="22">
        <v>2000</v>
      </c>
      <c r="F125" s="22">
        <v>2800</v>
      </c>
      <c r="G125" s="5">
        <f t="shared" ref="G125:G127" si="53">((0.0031*(E125*10^-3)^4.7164)/0.9)*0.4*1000</f>
        <v>36.220717351897861</v>
      </c>
      <c r="H125" s="5">
        <f t="shared" ref="H125:H127" si="54">((0.0031*(F125*10^-3)^4.7164)/0.9)*0.4*1000</f>
        <v>177.07421074808025</v>
      </c>
      <c r="I125" s="5"/>
      <c r="J125" s="5">
        <f t="shared" ref="J125:K127" si="55">G125*$D125</f>
        <v>89.158672148955958</v>
      </c>
      <c r="K125" s="5">
        <f t="shared" si="55"/>
        <v>435.87489857640793</v>
      </c>
      <c r="L125" s="8"/>
      <c r="M125" s="8"/>
      <c r="N125" s="5" t="s">
        <v>51</v>
      </c>
      <c r="O125" s="28">
        <f t="shared" si="28"/>
        <v>81624017.011806071</v>
      </c>
      <c r="P125" s="28">
        <f t="shared" si="29"/>
        <v>11228458.283425184</v>
      </c>
      <c r="Q125" s="5"/>
      <c r="R125" s="5"/>
      <c r="S125" s="5"/>
      <c r="T125" s="5"/>
      <c r="U125" s="5"/>
    </row>
    <row r="126" spans="1:33" s="1" customFormat="1" x14ac:dyDescent="0.25">
      <c r="A126" s="16" t="s">
        <v>35</v>
      </c>
      <c r="B126" s="1" t="s">
        <v>22</v>
      </c>
      <c r="C126" s="1" t="s">
        <v>13</v>
      </c>
      <c r="D126" s="22">
        <v>7.3846150000000002</v>
      </c>
      <c r="E126" s="22">
        <v>2900</v>
      </c>
      <c r="F126" s="22">
        <v>3700</v>
      </c>
      <c r="G126" s="5">
        <f t="shared" si="53"/>
        <v>208.94553401978536</v>
      </c>
      <c r="H126" s="5">
        <f t="shared" si="54"/>
        <v>659.24339476966725</v>
      </c>
      <c r="I126" s="5"/>
      <c r="J126" s="5">
        <f t="shared" si="55"/>
        <v>1542.9823247055172</v>
      </c>
      <c r="K126" s="5">
        <f>H126*$D126</f>
        <v>4868.258661667006</v>
      </c>
      <c r="L126" s="8"/>
      <c r="M126" s="8"/>
      <c r="N126" s="5" t="s">
        <v>51</v>
      </c>
      <c r="O126" s="28">
        <f t="shared" si="28"/>
        <v>588248378.36308813</v>
      </c>
      <c r="P126" s="28">
        <f t="shared" si="29"/>
        <v>139892641.58078262</v>
      </c>
      <c r="Q126" s="5"/>
      <c r="R126" s="5"/>
      <c r="S126" s="5"/>
      <c r="T126" s="5"/>
      <c r="U126" s="5"/>
    </row>
    <row r="127" spans="1:33" s="1" customFormat="1" x14ac:dyDescent="0.25">
      <c r="A127" s="16" t="s">
        <v>35</v>
      </c>
      <c r="B127" s="1" t="s">
        <v>22</v>
      </c>
      <c r="C127" s="1" t="s">
        <v>14</v>
      </c>
      <c r="D127" s="22">
        <v>18.871794999999999</v>
      </c>
      <c r="E127" s="22">
        <v>2600</v>
      </c>
      <c r="F127" s="22">
        <v>3000</v>
      </c>
      <c r="G127" s="5">
        <f t="shared" si="53"/>
        <v>124.84164255560299</v>
      </c>
      <c r="H127" s="5">
        <f t="shared" si="54"/>
        <v>245.17368887396498</v>
      </c>
      <c r="I127" s="5"/>
      <c r="J127" s="5">
        <f t="shared" si="55"/>
        <v>2355.9858857726153</v>
      </c>
      <c r="K127" s="5">
        <f t="shared" si="55"/>
        <v>4626.8675958232479</v>
      </c>
      <c r="L127" s="8"/>
      <c r="M127" s="8"/>
      <c r="N127" s="5" t="s">
        <v>51</v>
      </c>
      <c r="O127" s="28">
        <f t="shared" si="28"/>
        <v>635905483.33739543</v>
      </c>
      <c r="P127" s="28">
        <f t="shared" si="29"/>
        <v>273526611.65377194</v>
      </c>
      <c r="Q127" s="5"/>
      <c r="R127" s="5"/>
      <c r="S127" s="5"/>
      <c r="T127" s="5"/>
      <c r="U127" s="5"/>
      <c r="AA127" s="11"/>
    </row>
    <row r="128" spans="1:33" s="11" customFormat="1" x14ac:dyDescent="0.25">
      <c r="A128" s="17" t="s">
        <v>35</v>
      </c>
      <c r="B128" s="11" t="s">
        <v>22</v>
      </c>
      <c r="C128" s="11" t="s">
        <v>15</v>
      </c>
      <c r="D128" s="20">
        <v>44.854700999999999</v>
      </c>
      <c r="E128" s="20"/>
      <c r="F128" s="20"/>
      <c r="G128" s="12"/>
      <c r="H128" s="12"/>
      <c r="I128" s="12"/>
      <c r="J128" s="12"/>
      <c r="K128" s="12"/>
      <c r="L128" s="8">
        <f>SUM(J124:J127)</f>
        <v>4080.237898997927</v>
      </c>
      <c r="M128" s="8">
        <f>SUM(K124:K127)</f>
        <v>10161.146715480616</v>
      </c>
      <c r="N128" s="12"/>
      <c r="O128" s="28" t="e">
        <f t="shared" si="28"/>
        <v>#DIV/0!</v>
      </c>
      <c r="P128" s="28" t="e">
        <f t="shared" si="29"/>
        <v>#DIV/0!</v>
      </c>
      <c r="Q128" s="12">
        <f>SUM(O124:O127)</f>
        <v>1371408060.2556593</v>
      </c>
      <c r="R128" s="12">
        <f>SUM(P124:P127)</f>
        <v>445540183.28421044</v>
      </c>
      <c r="S128" s="12"/>
      <c r="T128" s="5"/>
      <c r="U128" s="5"/>
      <c r="AA128" s="1"/>
    </row>
    <row r="129" spans="1:33" s="2" customFormat="1" x14ac:dyDescent="0.25">
      <c r="A129" s="15" t="s">
        <v>35</v>
      </c>
      <c r="B129" s="2" t="s">
        <v>23</v>
      </c>
      <c r="C129" s="2" t="s">
        <v>9</v>
      </c>
      <c r="D129" s="21">
        <f>SUM(14.769231,
86.153846)</f>
        <v>100.92307700000001</v>
      </c>
      <c r="E129" s="21">
        <v>650</v>
      </c>
      <c r="F129" s="21">
        <v>1000</v>
      </c>
      <c r="G129" s="3">
        <f>10^(3.07*LOG10(E129)-8.37)</f>
        <v>1.8435036630733526</v>
      </c>
      <c r="H129" s="3">
        <f t="shared" ref="H129:H134" si="56">10^(3.07*LOG10(F129)-8.37)</f>
        <v>6.9183097091893631</v>
      </c>
      <c r="I129" s="3" t="s">
        <v>48</v>
      </c>
      <c r="J129" s="3">
        <f>G129*$D129</f>
        <v>186.05206213813403</v>
      </c>
      <c r="K129" s="3">
        <f>H129*$D129</f>
        <v>698.21710349036573</v>
      </c>
      <c r="L129" s="7"/>
      <c r="M129" s="7"/>
      <c r="N129" s="3" t="s">
        <v>53</v>
      </c>
      <c r="O129" s="28">
        <f t="shared" si="28"/>
        <v>275280119.72016221</v>
      </c>
      <c r="P129" s="28">
        <f t="shared" si="29"/>
        <v>52702334.679644555</v>
      </c>
      <c r="Q129" s="3"/>
      <c r="R129" s="3"/>
      <c r="S129" s="5"/>
      <c r="T129" s="12"/>
      <c r="U129" s="12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s="2" customFormat="1" x14ac:dyDescent="0.25">
      <c r="A130" s="15" t="s">
        <v>35</v>
      </c>
      <c r="B130" s="2" t="s">
        <v>23</v>
      </c>
      <c r="C130" s="2" t="s">
        <v>10</v>
      </c>
      <c r="D130" s="21">
        <f>SUM(8.205128,
15.384615)</f>
        <v>23.589742999999999</v>
      </c>
      <c r="E130" s="21">
        <v>1000</v>
      </c>
      <c r="F130" s="21">
        <v>1300</v>
      </c>
      <c r="G130" s="3">
        <f t="shared" ref="G130:G134" si="57">10^(3.07*LOG10(E130)-8.37)</f>
        <v>6.9183097091893631</v>
      </c>
      <c r="H130" s="3">
        <f>10^(3.07*LOG10(F130)-8.37)</f>
        <v>15.4812524115867</v>
      </c>
      <c r="I130" s="3"/>
      <c r="J130" s="3">
        <f t="shared" ref="J130:K134" si="58">G130*$D130</f>
        <v>163.20114803418181</v>
      </c>
      <c r="K130" s="3">
        <f t="shared" si="58"/>
        <v>365.19876570746044</v>
      </c>
      <c r="L130" s="7"/>
      <c r="M130" s="7"/>
      <c r="N130" s="3" t="s">
        <v>53</v>
      </c>
      <c r="O130" s="28">
        <f t="shared" ref="O130:O187" si="59">(63*(G130*10^6)^-0.25)*(EXP(0.0693*(-1.17-20)))*(K130*10^6)</f>
        <v>103448611.93001938</v>
      </c>
      <c r="P130" s="28">
        <f t="shared" ref="P130:P187" si="60">(63*(H130*10^6)^-0.25)*(EXP(0.0693*(-1.17-20)))*(J130*10^6)</f>
        <v>37797846.171846099</v>
      </c>
      <c r="Q130" s="3"/>
      <c r="R130" s="3"/>
      <c r="S130" s="5"/>
      <c r="T130" s="5"/>
      <c r="U130" s="5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s="2" customFormat="1" x14ac:dyDescent="0.25">
      <c r="A131" s="15" t="s">
        <v>35</v>
      </c>
      <c r="B131" s="2" t="s">
        <v>23</v>
      </c>
      <c r="C131" s="2" t="s">
        <v>11</v>
      </c>
      <c r="D131" s="21">
        <f>SUM(2.461538,
20.512821)</f>
        <v>22.974359</v>
      </c>
      <c r="E131" s="21">
        <v>1450</v>
      </c>
      <c r="F131" s="21">
        <v>1800</v>
      </c>
      <c r="G131" s="3">
        <f t="shared" si="57"/>
        <v>21.647102166396493</v>
      </c>
      <c r="H131" s="3">
        <f t="shared" si="56"/>
        <v>42.042311984247227</v>
      </c>
      <c r="I131" s="3"/>
      <c r="J131" s="3">
        <f t="shared" si="58"/>
        <v>497.32829648047078</v>
      </c>
      <c r="K131" s="3">
        <f t="shared" si="58"/>
        <v>965.89516871609817</v>
      </c>
      <c r="L131" s="7"/>
      <c r="M131" s="7"/>
      <c r="N131" s="3" t="s">
        <v>53</v>
      </c>
      <c r="O131" s="28">
        <f t="shared" si="59"/>
        <v>205719480.3990314</v>
      </c>
      <c r="P131" s="28">
        <f t="shared" si="60"/>
        <v>89725706.977441102</v>
      </c>
      <c r="Q131" s="3"/>
      <c r="R131" s="3"/>
      <c r="S131" s="5"/>
      <c r="T131" s="5"/>
      <c r="U131" s="5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s="2" customFormat="1" x14ac:dyDescent="0.25">
      <c r="A132" s="15" t="s">
        <v>35</v>
      </c>
      <c r="B132" s="2" t="s">
        <v>23</v>
      </c>
      <c r="C132" s="2" t="s">
        <v>12</v>
      </c>
      <c r="D132" s="21">
        <v>18.051282</v>
      </c>
      <c r="E132" s="21">
        <v>2300</v>
      </c>
      <c r="F132" s="21">
        <v>3300</v>
      </c>
      <c r="G132" s="3">
        <f t="shared" si="57"/>
        <v>89.228677586730711</v>
      </c>
      <c r="H132" s="3">
        <f t="shared" si="56"/>
        <v>270.29486517128805</v>
      </c>
      <c r="I132" s="3"/>
      <c r="J132" s="3">
        <f t="shared" si="58"/>
        <v>1610.6920216051556</v>
      </c>
      <c r="K132" s="3">
        <f>H132*$D132</f>
        <v>4879.1688343588994</v>
      </c>
      <c r="L132" s="7"/>
      <c r="M132" s="7"/>
      <c r="N132" s="3" t="s">
        <v>53</v>
      </c>
      <c r="O132" s="28">
        <f t="shared" si="59"/>
        <v>729314920.93174005</v>
      </c>
      <c r="P132" s="28">
        <f t="shared" si="60"/>
        <v>182493930.60897127</v>
      </c>
      <c r="Q132" s="3"/>
      <c r="R132" s="3"/>
      <c r="S132" s="5"/>
      <c r="T132" s="5"/>
      <c r="U132" s="5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s="2" customFormat="1" x14ac:dyDescent="0.25">
      <c r="A133" s="15" t="s">
        <v>35</v>
      </c>
      <c r="B133" s="2" t="s">
        <v>23</v>
      </c>
      <c r="C133" s="2" t="s">
        <v>13</v>
      </c>
      <c r="D133" s="21">
        <v>70.400000000000006</v>
      </c>
      <c r="E133" s="21">
        <v>3375</v>
      </c>
      <c r="F133" s="21">
        <v>3800</v>
      </c>
      <c r="G133" s="3">
        <f t="shared" si="57"/>
        <v>289.60129256866611</v>
      </c>
      <c r="H133" s="3">
        <f t="shared" si="56"/>
        <v>416.807611897897</v>
      </c>
      <c r="I133" s="3"/>
      <c r="J133" s="3">
        <f t="shared" si="58"/>
        <v>20387.930996834097</v>
      </c>
      <c r="K133" s="3">
        <f t="shared" si="58"/>
        <v>29343.255877611951</v>
      </c>
      <c r="L133" s="7"/>
      <c r="M133" s="7"/>
      <c r="N133" s="3" t="s">
        <v>53</v>
      </c>
      <c r="O133" s="28">
        <f t="shared" si="59"/>
        <v>3267785515.519124</v>
      </c>
      <c r="P133" s="28">
        <f t="shared" si="60"/>
        <v>2072929878.1758215</v>
      </c>
      <c r="Q133" s="3"/>
      <c r="R133" s="3"/>
      <c r="S133" s="5"/>
      <c r="T133" s="5"/>
      <c r="U133" s="5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s="2" customFormat="1" x14ac:dyDescent="0.25">
      <c r="A134" s="15" t="s">
        <v>35</v>
      </c>
      <c r="B134" s="2" t="s">
        <v>23</v>
      </c>
      <c r="C134" s="2" t="s">
        <v>14</v>
      </c>
      <c r="D134" s="21">
        <f>SUM(40.369231,5.579487)</f>
        <v>45.948718</v>
      </c>
      <c r="E134" s="21">
        <v>3375</v>
      </c>
      <c r="F134" s="21">
        <v>3700</v>
      </c>
      <c r="G134" s="3">
        <f t="shared" si="57"/>
        <v>289.60129256866611</v>
      </c>
      <c r="H134" s="3">
        <f t="shared" si="56"/>
        <v>384.04250418385305</v>
      </c>
      <c r="I134" s="3"/>
      <c r="J134" s="3">
        <f t="shared" si="58"/>
        <v>13306.808124673134</v>
      </c>
      <c r="K134" s="3">
        <f t="shared" si="58"/>
        <v>17646.260724757685</v>
      </c>
      <c r="L134" s="7"/>
      <c r="M134" s="7"/>
      <c r="N134" s="3" t="s">
        <v>53</v>
      </c>
      <c r="O134" s="28">
        <f t="shared" si="59"/>
        <v>1965160084.48242</v>
      </c>
      <c r="P134" s="28">
        <f t="shared" si="60"/>
        <v>1380938819.1793427</v>
      </c>
      <c r="Q134" s="3"/>
      <c r="R134" s="3"/>
      <c r="S134" s="5"/>
      <c r="T134" s="5"/>
      <c r="U134" s="5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s="9" customFormat="1" x14ac:dyDescent="0.25">
      <c r="A135" s="14" t="s">
        <v>35</v>
      </c>
      <c r="B135" s="9" t="s">
        <v>23</v>
      </c>
      <c r="C135" s="9" t="s">
        <v>15</v>
      </c>
      <c r="D135" s="19">
        <f>SUM(159.835897,
122.051282)</f>
        <v>281.887179</v>
      </c>
      <c r="E135" s="19"/>
      <c r="F135" s="19"/>
      <c r="G135" s="10"/>
      <c r="H135" s="10"/>
      <c r="I135" s="10"/>
      <c r="J135" s="10"/>
      <c r="K135" s="10"/>
      <c r="L135" s="7"/>
      <c r="M135" s="7"/>
      <c r="N135" s="10"/>
      <c r="O135" s="28" t="e">
        <f t="shared" si="59"/>
        <v>#DIV/0!</v>
      </c>
      <c r="P135" s="28" t="e">
        <f t="shared" si="60"/>
        <v>#DIV/0!</v>
      </c>
      <c r="Q135" s="10">
        <f>SUM(O129:O134)</f>
        <v>6546708732.9824972</v>
      </c>
      <c r="R135" s="10">
        <f>SUM(P129:P134)</f>
        <v>3816588515.7930675</v>
      </c>
      <c r="S135" s="12"/>
      <c r="T135" s="5"/>
      <c r="U135" s="5"/>
      <c r="V135" s="1"/>
      <c r="W135" s="1"/>
      <c r="X135" s="1"/>
      <c r="Y135" s="1"/>
      <c r="Z135" s="1"/>
      <c r="AA135" s="11"/>
      <c r="AB135" s="11"/>
      <c r="AC135" s="11"/>
      <c r="AD135" s="11"/>
      <c r="AE135" s="11"/>
      <c r="AF135" s="11"/>
      <c r="AG135" s="11"/>
    </row>
    <row r="136" spans="1:33" s="11" customFormat="1" x14ac:dyDescent="0.25">
      <c r="A136" s="17" t="s">
        <v>35</v>
      </c>
      <c r="B136" s="11" t="s">
        <v>24</v>
      </c>
      <c r="C136" s="11" t="s">
        <v>4</v>
      </c>
      <c r="D136" s="61">
        <v>308.57</v>
      </c>
      <c r="E136" s="20">
        <v>5</v>
      </c>
      <c r="F136" s="20">
        <v>13</v>
      </c>
      <c r="G136" s="12">
        <f>0.297*((0.039*(E136)^3.5032)/0.9)*1000</f>
        <v>3615.8488360450829</v>
      </c>
      <c r="H136" s="12">
        <f>0.297*((0.039*(F136)^3.5032)/0.9)*1000</f>
        <v>102788.58764018776</v>
      </c>
      <c r="I136" s="12" t="s">
        <v>43</v>
      </c>
      <c r="J136" s="12">
        <f>G136*$D136</f>
        <v>1115742.4753384313</v>
      </c>
      <c r="K136" s="12">
        <f>H136*$D136</f>
        <v>31717474.488132738</v>
      </c>
      <c r="L136" s="8">
        <f>J136</f>
        <v>1115742.4753384313</v>
      </c>
      <c r="M136" s="8">
        <f>K136</f>
        <v>31717474.488132738</v>
      </c>
      <c r="N136" s="12" t="s">
        <v>53</v>
      </c>
      <c r="O136" s="28">
        <f>(63*(G136*10^6)^-0.25)*(EXP(0.0693*(-1.17-20)))*(K136*10^6)</f>
        <v>1879063252043.2166</v>
      </c>
      <c r="P136" s="28">
        <f>(63*(H136*10^6)^-0.25)*(EXP(0.0693*(-1.17-20)))*(J136*10^6)</f>
        <v>28626820087.082012</v>
      </c>
      <c r="Q136" s="12">
        <f>O136</f>
        <v>1879063252043.2166</v>
      </c>
      <c r="R136" s="12">
        <f>P136</f>
        <v>28626820087.082012</v>
      </c>
      <c r="S136" s="12"/>
      <c r="T136" s="12"/>
      <c r="U136" s="12"/>
      <c r="AA136" s="1"/>
    </row>
    <row r="137" spans="1:33" s="2" customFormat="1" x14ac:dyDescent="0.25">
      <c r="A137" s="15" t="s">
        <v>35</v>
      </c>
      <c r="B137" s="2" t="s">
        <v>25</v>
      </c>
      <c r="C137" s="2" t="s">
        <v>18</v>
      </c>
      <c r="D137" s="21">
        <f>SUM(2.461538,
369.230769)</f>
        <v>371.69230700000003</v>
      </c>
      <c r="E137" s="21">
        <v>550</v>
      </c>
      <c r="F137" s="21">
        <v>810</v>
      </c>
      <c r="G137" s="3">
        <f>7.498*(E137*10^-3)^3.225</f>
        <v>1.0904734839613437</v>
      </c>
      <c r="H137" s="3">
        <f>7.498*(F137*10^-3)^3.225</f>
        <v>3.8002277240591043</v>
      </c>
      <c r="I137" s="3" t="s">
        <v>41</v>
      </c>
      <c r="J137" s="3">
        <f>G137*$D137</f>
        <v>405.32060497591937</v>
      </c>
      <c r="K137" s="3">
        <f>H137*$D137</f>
        <v>1412.515409880888</v>
      </c>
      <c r="N137" s="3" t="s">
        <v>53</v>
      </c>
      <c r="O137" s="28">
        <f t="shared" si="59"/>
        <v>635016169.14725029</v>
      </c>
      <c r="P137" s="28">
        <f t="shared" si="60"/>
        <v>133364930.61640239</v>
      </c>
      <c r="Q137" s="3"/>
      <c r="R137" s="3"/>
      <c r="S137" s="5"/>
      <c r="T137" s="12"/>
      <c r="U137" s="12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s="2" customFormat="1" x14ac:dyDescent="0.25">
      <c r="A138" s="15" t="s">
        <v>35</v>
      </c>
      <c r="B138" s="2" t="s">
        <v>25</v>
      </c>
      <c r="C138" s="2" t="s">
        <v>9</v>
      </c>
      <c r="D138" s="21">
        <f>SUM(2.461538,
567.179487)</f>
        <v>569.64102500000001</v>
      </c>
      <c r="E138" s="21">
        <v>810</v>
      </c>
      <c r="F138" s="21">
        <v>960</v>
      </c>
      <c r="G138" s="3">
        <f t="shared" ref="G138:H143" si="61">7.498*(E138*10^-3)^3.225</f>
        <v>3.8002277240591043</v>
      </c>
      <c r="H138" s="3">
        <f t="shared" si="61"/>
        <v>6.5730988370014938</v>
      </c>
      <c r="I138" s="3"/>
      <c r="J138" s="3">
        <f t="shared" ref="J138:K143" si="62">G138*$D138</f>
        <v>2164.7656159664452</v>
      </c>
      <c r="K138" s="3">
        <f t="shared" si="62"/>
        <v>3744.3067589358388</v>
      </c>
      <c r="L138" s="7"/>
      <c r="M138" s="7"/>
      <c r="N138" s="3" t="s">
        <v>53</v>
      </c>
      <c r="O138" s="28">
        <f t="shared" si="59"/>
        <v>1232010425.7755961</v>
      </c>
      <c r="P138" s="28">
        <f t="shared" si="60"/>
        <v>621103114.75670183</v>
      </c>
      <c r="Q138" s="3"/>
      <c r="R138" s="3"/>
      <c r="S138" s="5"/>
      <c r="T138" s="5"/>
      <c r="U138" s="5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s="2" customFormat="1" x14ac:dyDescent="0.25">
      <c r="A139" s="15" t="s">
        <v>35</v>
      </c>
      <c r="B139" s="2" t="s">
        <v>25</v>
      </c>
      <c r="C139" s="2" t="s">
        <v>10</v>
      </c>
      <c r="D139" s="21">
        <f>SUM(16.246154,
704.615385)</f>
        <v>720.86153899999999</v>
      </c>
      <c r="E139" s="21">
        <v>960</v>
      </c>
      <c r="F139" s="21">
        <v>1190</v>
      </c>
      <c r="G139" s="3">
        <f t="shared" si="61"/>
        <v>6.5730988370014938</v>
      </c>
      <c r="H139" s="3">
        <f t="shared" si="61"/>
        <v>13.13966783459518</v>
      </c>
      <c r="I139" s="3"/>
      <c r="J139" s="3">
        <f t="shared" si="62"/>
        <v>4738.294143640007</v>
      </c>
      <c r="K139" s="3">
        <f t="shared" si="62"/>
        <v>9471.8811771950786</v>
      </c>
      <c r="L139" s="7"/>
      <c r="M139" s="7"/>
      <c r="N139" s="3" t="s">
        <v>53</v>
      </c>
      <c r="O139" s="28">
        <f t="shared" si="59"/>
        <v>2717622110.3894453</v>
      </c>
      <c r="P139" s="28">
        <f t="shared" si="60"/>
        <v>1143329179.1178</v>
      </c>
      <c r="Q139" s="3"/>
      <c r="R139" s="3"/>
      <c r="S139" s="5"/>
      <c r="T139" s="5"/>
      <c r="U139" s="5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s="2" customFormat="1" x14ac:dyDescent="0.25">
      <c r="A140" s="15" t="s">
        <v>35</v>
      </c>
      <c r="B140" s="2" t="s">
        <v>25</v>
      </c>
      <c r="C140" s="2" t="s">
        <v>11</v>
      </c>
      <c r="D140" s="21">
        <f>SUM(120.013675,
1902.564103)</f>
        <v>2022.5777779999999</v>
      </c>
      <c r="E140" s="21">
        <v>1200</v>
      </c>
      <c r="F140" s="21">
        <v>1700</v>
      </c>
      <c r="G140" s="3">
        <f t="shared" si="61"/>
        <v>13.4991043523647</v>
      </c>
      <c r="H140" s="3">
        <f t="shared" si="61"/>
        <v>41.509089526501782</v>
      </c>
      <c r="I140" s="3"/>
      <c r="J140" s="3">
        <f t="shared" si="62"/>
        <v>27302.988485995924</v>
      </c>
      <c r="K140" s="3">
        <f t="shared" si="62"/>
        <v>83955.362061315042</v>
      </c>
      <c r="L140" s="7"/>
      <c r="M140" s="7"/>
      <c r="N140" s="3" t="s">
        <v>53</v>
      </c>
      <c r="O140" s="28">
        <f t="shared" si="59"/>
        <v>20121834232.6936</v>
      </c>
      <c r="P140" s="28">
        <f t="shared" si="60"/>
        <v>4941624604.5584364</v>
      </c>
      <c r="Q140" s="3"/>
      <c r="R140" s="3"/>
      <c r="S140" s="5"/>
      <c r="T140" s="5"/>
      <c r="U140" s="5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s="2" customFormat="1" x14ac:dyDescent="0.25">
      <c r="A141" s="15" t="s">
        <v>35</v>
      </c>
      <c r="B141" s="2" t="s">
        <v>25</v>
      </c>
      <c r="C141" s="2" t="s">
        <v>12</v>
      </c>
      <c r="D141" s="21">
        <f>SUM(829.976068,
429.74359)</f>
        <v>1259.719658</v>
      </c>
      <c r="E141" s="21">
        <v>1770</v>
      </c>
      <c r="F141" s="21">
        <v>2120</v>
      </c>
      <c r="G141" s="3">
        <f t="shared" si="61"/>
        <v>47.27801347584105</v>
      </c>
      <c r="H141" s="3">
        <f t="shared" si="61"/>
        <v>84.601602145198584</v>
      </c>
      <c r="I141" s="3"/>
      <c r="J141" s="3">
        <f t="shared" si="62"/>
        <v>59557.042966705878</v>
      </c>
      <c r="K141" s="3">
        <f t="shared" si="62"/>
        <v>106574.30132060162</v>
      </c>
      <c r="L141" s="7"/>
      <c r="M141" s="7"/>
      <c r="N141" s="3" t="s">
        <v>53</v>
      </c>
      <c r="O141" s="28">
        <f t="shared" si="59"/>
        <v>18671665386.187725</v>
      </c>
      <c r="P141" s="28">
        <f t="shared" si="60"/>
        <v>9021605796.3312817</v>
      </c>
      <c r="Q141" s="3"/>
      <c r="R141" s="3"/>
      <c r="S141" s="5"/>
      <c r="T141" s="5"/>
      <c r="U141" s="5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s="2" customFormat="1" x14ac:dyDescent="0.25">
      <c r="A142" s="15" t="s">
        <v>35</v>
      </c>
      <c r="B142" s="2" t="s">
        <v>25</v>
      </c>
      <c r="C142" s="2" t="s">
        <v>13</v>
      </c>
      <c r="D142" s="21">
        <f>SUM(3882.611966)</f>
        <v>3882.6119659999999</v>
      </c>
      <c r="E142" s="21">
        <v>2500</v>
      </c>
      <c r="F142" s="21">
        <v>3000</v>
      </c>
      <c r="G142" s="3">
        <f t="shared" si="61"/>
        <v>143.97993197907149</v>
      </c>
      <c r="H142" s="3">
        <f t="shared" si="61"/>
        <v>259.21580773964502</v>
      </c>
      <c r="I142" s="3"/>
      <c r="J142" s="3">
        <f t="shared" si="62"/>
        <v>559018.20676580898</v>
      </c>
      <c r="K142" s="3">
        <f t="shared" si="62"/>
        <v>1006434.3969063011</v>
      </c>
      <c r="L142" s="7"/>
      <c r="M142" s="7"/>
      <c r="N142" s="3" t="s">
        <v>53</v>
      </c>
      <c r="O142" s="28">
        <f t="shared" si="59"/>
        <v>133476664962.90553</v>
      </c>
      <c r="P142" s="28">
        <f t="shared" si="60"/>
        <v>64003827896.316681</v>
      </c>
      <c r="Q142" s="3"/>
      <c r="R142" s="3"/>
      <c r="S142" s="5"/>
      <c r="T142" s="5"/>
      <c r="U142" s="5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s="2" customFormat="1" x14ac:dyDescent="0.25">
      <c r="A143" s="15" t="s">
        <v>35</v>
      </c>
      <c r="B143" s="2" t="s">
        <v>25</v>
      </c>
      <c r="C143" s="2" t="s">
        <v>14</v>
      </c>
      <c r="D143" s="21">
        <f>SUM(515.82906,
97.435897)</f>
        <v>613.26495699999998</v>
      </c>
      <c r="E143" s="21">
        <v>1960</v>
      </c>
      <c r="F143" s="21">
        <v>2400</v>
      </c>
      <c r="G143" s="3">
        <f t="shared" si="61"/>
        <v>65.685765602486825</v>
      </c>
      <c r="H143" s="3">
        <f t="shared" si="61"/>
        <v>126.2195683439836</v>
      </c>
      <c r="I143" s="3"/>
      <c r="J143" s="3">
        <f t="shared" si="62"/>
        <v>40282.778217721163</v>
      </c>
      <c r="K143" s="3">
        <f t="shared" si="62"/>
        <v>77406.038153031652</v>
      </c>
      <c r="L143" s="7"/>
      <c r="M143" s="7"/>
      <c r="N143" s="3" t="s">
        <v>53</v>
      </c>
      <c r="O143" s="28">
        <f t="shared" si="59"/>
        <v>12491149026.669436</v>
      </c>
      <c r="P143" s="28">
        <f t="shared" si="60"/>
        <v>5521195295.7718229</v>
      </c>
      <c r="Q143" s="3"/>
      <c r="R143" s="3"/>
      <c r="S143" s="5"/>
      <c r="T143" s="5"/>
      <c r="U143" s="5"/>
      <c r="V143" s="1"/>
      <c r="W143" s="1"/>
      <c r="X143" s="1"/>
      <c r="Y143" s="1"/>
      <c r="Z143" s="1"/>
      <c r="AA143" s="11"/>
      <c r="AB143" s="1"/>
      <c r="AC143" s="1"/>
      <c r="AD143" s="1"/>
      <c r="AE143" s="1"/>
      <c r="AF143" s="1"/>
      <c r="AG143" s="1"/>
    </row>
    <row r="144" spans="1:33" s="9" customFormat="1" x14ac:dyDescent="0.25">
      <c r="A144" s="14" t="s">
        <v>35</v>
      </c>
      <c r="B144" s="2" t="s">
        <v>25</v>
      </c>
      <c r="C144" s="9" t="s">
        <v>15</v>
      </c>
      <c r="D144" s="19">
        <f>SUM(D137:D143)</f>
        <v>9440.3692300000002</v>
      </c>
      <c r="E144" s="19"/>
      <c r="F144" s="19"/>
      <c r="G144" s="10"/>
      <c r="H144" s="10"/>
      <c r="I144" s="10"/>
      <c r="J144" s="10"/>
      <c r="K144" s="10"/>
      <c r="L144" s="7">
        <f>SUM(J137:J143)</f>
        <v>693469.39680081431</v>
      </c>
      <c r="M144" s="7">
        <f>SUM(K137:K143)</f>
        <v>1288998.8017872612</v>
      </c>
      <c r="N144" s="10"/>
      <c r="O144" s="28" t="e">
        <f t="shared" si="59"/>
        <v>#DIV/0!</v>
      </c>
      <c r="P144" s="28" t="e">
        <f t="shared" si="60"/>
        <v>#DIV/0!</v>
      </c>
      <c r="Q144" s="10">
        <f>SUM(O137:O143)</f>
        <v>189345962313.76859</v>
      </c>
      <c r="R144" s="10">
        <f>SUM(P137:P143)</f>
        <v>85386050817.469116</v>
      </c>
      <c r="S144" s="12"/>
      <c r="T144" s="5"/>
      <c r="U144" s="5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spans="1:33" s="1" customFormat="1" x14ac:dyDescent="0.25">
      <c r="A145" s="16" t="s">
        <v>35</v>
      </c>
      <c r="B145" s="1" t="s">
        <v>26</v>
      </c>
      <c r="C145" s="1" t="s">
        <v>18</v>
      </c>
      <c r="D145" s="22">
        <f>20.512821</f>
        <v>20.512820999999999</v>
      </c>
      <c r="E145" s="22">
        <v>250</v>
      </c>
      <c r="F145" s="22">
        <v>250</v>
      </c>
      <c r="G145" s="5">
        <f>10^(3.07*LOG10(E145)-8.37)</f>
        <v>9.8101540367281956E-2</v>
      </c>
      <c r="H145" s="5">
        <f>10^(3.07*LOG10(F145)-8.37)</f>
        <v>9.8101540367281956E-2</v>
      </c>
      <c r="I145" s="5" t="s">
        <v>48</v>
      </c>
      <c r="J145" s="5">
        <f>G145*$D145</f>
        <v>2.0123393373783287</v>
      </c>
      <c r="K145" s="5">
        <f>H145*$D145</f>
        <v>2.0123393373783287</v>
      </c>
      <c r="N145" s="5" t="s">
        <v>53</v>
      </c>
      <c r="O145" s="28">
        <f t="shared" si="59"/>
        <v>1651876.6979962701</v>
      </c>
      <c r="P145" s="28">
        <f t="shared" si="60"/>
        <v>1651876.6979962701</v>
      </c>
      <c r="Q145" s="5"/>
      <c r="R145" s="5"/>
      <c r="S145" s="5"/>
      <c r="T145" s="12"/>
      <c r="U145" s="12"/>
      <c r="V145" s="11"/>
      <c r="W145" s="11"/>
      <c r="X145" s="11"/>
      <c r="Y145" s="11"/>
      <c r="Z145" s="11"/>
    </row>
    <row r="146" spans="1:33" s="1" customFormat="1" x14ac:dyDescent="0.25">
      <c r="A146" s="16" t="s">
        <v>35</v>
      </c>
      <c r="B146" s="1" t="s">
        <v>26</v>
      </c>
      <c r="C146" s="1" t="s">
        <v>9</v>
      </c>
      <c r="D146" s="22">
        <f>SUM(24.615385,
275.897436)</f>
        <v>300.51282100000003</v>
      </c>
      <c r="E146" s="22">
        <f>AVERAGE(230,280)</f>
        <v>255</v>
      </c>
      <c r="F146" s="22">
        <f>AVERAGE(340,370)</f>
        <v>355</v>
      </c>
      <c r="G146" s="5">
        <f t="shared" ref="G146:H150" si="63">10^(3.07*LOG10(E146)-8.37)</f>
        <v>0.10425054977210545</v>
      </c>
      <c r="H146" s="5">
        <f t="shared" si="63"/>
        <v>0.28787307302032633</v>
      </c>
      <c r="I146" s="5"/>
      <c r="J146" s="5">
        <f t="shared" ref="J146:K151" si="64">G146*$D146</f>
        <v>31.32862680281632</v>
      </c>
      <c r="K146" s="5">
        <f>H146*$D146</f>
        <v>86.509549263277265</v>
      </c>
      <c r="L146" s="8"/>
      <c r="M146" s="8"/>
      <c r="N146" s="5" t="s">
        <v>53</v>
      </c>
      <c r="O146" s="28">
        <f t="shared" si="59"/>
        <v>69942286.753523722</v>
      </c>
      <c r="P146" s="28">
        <f t="shared" si="60"/>
        <v>19648819.58433488</v>
      </c>
      <c r="Q146" s="5"/>
      <c r="R146" s="5"/>
      <c r="S146" s="5"/>
      <c r="T146" s="5"/>
      <c r="U146" s="5"/>
    </row>
    <row r="147" spans="1:33" s="1" customFormat="1" x14ac:dyDescent="0.25">
      <c r="A147" s="16" t="s">
        <v>35</v>
      </c>
      <c r="B147" s="1" t="s">
        <v>26</v>
      </c>
      <c r="C147" s="1" t="s">
        <v>10</v>
      </c>
      <c r="D147" s="22">
        <f>SUM(112.62906,
4259.487179)</f>
        <v>4372.116239</v>
      </c>
      <c r="E147" s="22">
        <f>AVERAGE(310,410)</f>
        <v>360</v>
      </c>
      <c r="F147" s="22">
        <f>AVERAGE(340,470)</f>
        <v>405</v>
      </c>
      <c r="G147" s="5">
        <f>10^(3.07*LOG10(E147)-8.37)</f>
        <v>0.30050290681026581</v>
      </c>
      <c r="H147" s="5">
        <f t="shared" si="63"/>
        <v>0.43140673536445334</v>
      </c>
      <c r="I147" s="5"/>
      <c r="J147" s="5">
        <f t="shared" si="64"/>
        <v>1313.8336387318668</v>
      </c>
      <c r="K147" s="5">
        <f t="shared" si="64"/>
        <v>1886.1603933009021</v>
      </c>
      <c r="L147" s="8"/>
      <c r="M147" s="8"/>
      <c r="N147" s="5" t="s">
        <v>53</v>
      </c>
      <c r="O147" s="28">
        <f t="shared" si="59"/>
        <v>1170339379.4051385</v>
      </c>
      <c r="P147" s="28">
        <f t="shared" si="60"/>
        <v>744756004.70002007</v>
      </c>
      <c r="Q147" s="5"/>
      <c r="R147" s="5"/>
      <c r="S147" s="5"/>
      <c r="T147" s="5"/>
      <c r="U147" s="5"/>
    </row>
    <row r="148" spans="1:33" s="1" customFormat="1" x14ac:dyDescent="0.25">
      <c r="A148" s="16" t="s">
        <v>35</v>
      </c>
      <c r="B148" s="1" t="s">
        <v>26</v>
      </c>
      <c r="C148" s="1" t="s">
        <v>11</v>
      </c>
      <c r="D148" s="22">
        <f>SUM(138.502564,
10486.153846)</f>
        <v>10624.65641</v>
      </c>
      <c r="E148" s="22">
        <f>AVERAGE(450,340)</f>
        <v>395</v>
      </c>
      <c r="F148" s="22">
        <f>AVERAGE(520,420)</f>
        <v>470</v>
      </c>
      <c r="G148" s="5">
        <f t="shared" si="63"/>
        <v>0.39953339306854257</v>
      </c>
      <c r="H148" s="5">
        <f t="shared" si="63"/>
        <v>0.68130319229582648</v>
      </c>
      <c r="I148" s="5"/>
      <c r="J148" s="5">
        <f t="shared" si="64"/>
        <v>4244.9050256747405</v>
      </c>
      <c r="K148" s="5">
        <f t="shared" si="64"/>
        <v>7238.6123291793156</v>
      </c>
      <c r="L148" s="8"/>
      <c r="M148" s="8"/>
      <c r="N148" s="5" t="s">
        <v>53</v>
      </c>
      <c r="O148" s="28">
        <f t="shared" si="59"/>
        <v>4182754873.9938712</v>
      </c>
      <c r="P148" s="28">
        <f t="shared" si="60"/>
        <v>2146486881.52107</v>
      </c>
      <c r="Q148" s="5"/>
      <c r="R148" s="5"/>
      <c r="S148" s="5"/>
      <c r="T148" s="5"/>
      <c r="U148" s="5"/>
    </row>
    <row r="149" spans="1:33" s="1" customFormat="1" x14ac:dyDescent="0.25">
      <c r="A149" s="16" t="s">
        <v>35</v>
      </c>
      <c r="B149" s="1" t="s">
        <v>26</v>
      </c>
      <c r="C149" s="1" t="s">
        <v>12</v>
      </c>
      <c r="D149" s="22">
        <f>SUM(76.964103,
5761.025641)</f>
        <v>5837.9897440000004</v>
      </c>
      <c r="E149" s="22">
        <f>470</f>
        <v>470</v>
      </c>
      <c r="F149" s="22">
        <v>580</v>
      </c>
      <c r="G149" s="5">
        <f t="shared" si="63"/>
        <v>0.68130319229582648</v>
      </c>
      <c r="H149" s="5">
        <f>10^(3.07*LOG10(F149)-8.37)</f>
        <v>1.2993433864335129</v>
      </c>
      <c r="I149" s="5"/>
      <c r="J149" s="5">
        <f t="shared" si="64"/>
        <v>3977.4410491774952</v>
      </c>
      <c r="K149" s="5">
        <f t="shared" si="64"/>
        <v>7585.5533639330779</v>
      </c>
      <c r="L149" s="8"/>
      <c r="M149" s="8"/>
      <c r="N149" s="5" t="s">
        <v>53</v>
      </c>
      <c r="O149" s="28">
        <f t="shared" si="59"/>
        <v>3835725578.3766928</v>
      </c>
      <c r="P149" s="28">
        <f t="shared" si="60"/>
        <v>1711465437.6006911</v>
      </c>
      <c r="Q149" s="5"/>
      <c r="R149" s="5"/>
      <c r="S149" s="5"/>
      <c r="T149" s="5"/>
      <c r="U149" s="5"/>
    </row>
    <row r="150" spans="1:33" s="1" customFormat="1" x14ac:dyDescent="0.25">
      <c r="A150" s="16" t="s">
        <v>35</v>
      </c>
      <c r="B150" s="1" t="s">
        <v>26</v>
      </c>
      <c r="C150" s="1" t="s">
        <v>13</v>
      </c>
      <c r="D150" s="22">
        <f>SUM(153.435897,
6732.307692)</f>
        <v>6885.7435890000006</v>
      </c>
      <c r="E150" s="22">
        <v>540</v>
      </c>
      <c r="F150" s="22">
        <v>630</v>
      </c>
      <c r="G150" s="5">
        <f t="shared" si="63"/>
        <v>1.043395219650612</v>
      </c>
      <c r="H150" s="5">
        <f t="shared" si="63"/>
        <v>1.6748483387596196</v>
      </c>
      <c r="I150" s="5"/>
      <c r="J150" s="5">
        <f t="shared" si="64"/>
        <v>7184.5519445024493</v>
      </c>
      <c r="K150" s="5">
        <f t="shared" si="64"/>
        <v>11532.576211161351</v>
      </c>
      <c r="L150" s="8"/>
      <c r="M150" s="8"/>
      <c r="N150" s="5" t="s">
        <v>53</v>
      </c>
      <c r="O150" s="28">
        <f t="shared" si="59"/>
        <v>5242150548.6691418</v>
      </c>
      <c r="P150" s="28">
        <f t="shared" si="60"/>
        <v>2901357092.1781955</v>
      </c>
      <c r="Q150" s="5"/>
      <c r="R150" s="5"/>
      <c r="S150" s="5"/>
      <c r="T150" s="5"/>
      <c r="U150" s="5"/>
      <c r="AA150" s="11"/>
    </row>
    <row r="151" spans="1:33" s="1" customFormat="1" x14ac:dyDescent="0.25">
      <c r="A151" s="16" t="s">
        <v>35</v>
      </c>
      <c r="B151" s="1" t="s">
        <v>26</v>
      </c>
      <c r="C151" s="1" t="s">
        <v>14</v>
      </c>
      <c r="D151" s="22">
        <f>SUM(20.239316,
520)</f>
        <v>540.23931600000003</v>
      </c>
      <c r="E151" s="22">
        <v>500</v>
      </c>
      <c r="F151" s="22">
        <v>570</v>
      </c>
      <c r="G151" s="5">
        <f>10^(3.07*LOG10(E151)-8.37)</f>
        <v>0.8238305889012606</v>
      </c>
      <c r="H151" s="5">
        <f>10^(3.07*LOG10(F151)-8.37)</f>
        <v>1.2317875405449858</v>
      </c>
      <c r="I151" s="5"/>
      <c r="J151" s="5">
        <f t="shared" si="64"/>
        <v>445.06567384789423</v>
      </c>
      <c r="K151" s="5">
        <f t="shared" si="64"/>
        <v>665.46005836134543</v>
      </c>
      <c r="L151" s="8"/>
      <c r="M151" s="8"/>
      <c r="N151" s="5" t="s">
        <v>53</v>
      </c>
      <c r="O151" s="28">
        <f t="shared" si="59"/>
        <v>320891255.23510408</v>
      </c>
      <c r="P151" s="28">
        <f t="shared" si="60"/>
        <v>194082114.47752681</v>
      </c>
      <c r="Q151" s="5"/>
      <c r="R151" s="5"/>
      <c r="S151" s="5"/>
      <c r="T151" s="5"/>
      <c r="U151" s="5"/>
      <c r="V151" s="11"/>
      <c r="W151" s="11"/>
      <c r="X151" s="11"/>
      <c r="Y151" s="11"/>
      <c r="Z151" s="11"/>
    </row>
    <row r="152" spans="1:33" s="11" customFormat="1" x14ac:dyDescent="0.25">
      <c r="A152" s="17" t="s">
        <v>35</v>
      </c>
      <c r="B152" s="11" t="s">
        <v>26</v>
      </c>
      <c r="C152" s="11" t="s">
        <v>15</v>
      </c>
      <c r="D152" s="20">
        <f>SUM(D145:D151)</f>
        <v>28581.770939999999</v>
      </c>
      <c r="E152" s="20"/>
      <c r="F152" s="20"/>
      <c r="G152" s="12"/>
      <c r="H152" s="12"/>
      <c r="I152" s="12"/>
      <c r="J152" s="12"/>
      <c r="K152" s="12"/>
      <c r="L152" s="8">
        <f>SUM(J147:J151)</f>
        <v>17165.797331934446</v>
      </c>
      <c r="M152" s="8">
        <f>SUM(K147:K151)</f>
        <v>28908.362355935995</v>
      </c>
      <c r="N152" s="12"/>
      <c r="O152" s="28" t="e">
        <f t="shared" si="59"/>
        <v>#DIV/0!</v>
      </c>
      <c r="P152" s="28" t="e">
        <f t="shared" si="60"/>
        <v>#DIV/0!</v>
      </c>
      <c r="Q152" s="12">
        <f>SUM(O145:O151)</f>
        <v>14823455799.131468</v>
      </c>
      <c r="R152" s="12">
        <f>SUM(P145:P151)</f>
        <v>7719448226.7598352</v>
      </c>
      <c r="S152" s="12"/>
      <c r="T152" s="5"/>
      <c r="U152" s="5"/>
      <c r="V152" s="1"/>
      <c r="W152" s="1"/>
      <c r="X152" s="1"/>
      <c r="Y152" s="1"/>
      <c r="Z152" s="1"/>
      <c r="AA152" s="1"/>
    </row>
    <row r="153" spans="1:33" s="2" customFormat="1" x14ac:dyDescent="0.25">
      <c r="A153" s="15" t="s">
        <v>35</v>
      </c>
      <c r="B153" s="2" t="s">
        <v>27</v>
      </c>
      <c r="C153" s="2" t="s">
        <v>18</v>
      </c>
      <c r="D153" s="21">
        <f>106.666667</f>
        <v>106.666667</v>
      </c>
      <c r="E153" s="21">
        <v>200</v>
      </c>
      <c r="F153" s="21">
        <v>240</v>
      </c>
      <c r="G153" s="3">
        <f>9.4676*10^-7*(E153*10^-3*1000)^2.16</f>
        <v>8.8402529453012677E-2</v>
      </c>
      <c r="H153" s="3">
        <f>9.4676*10^-7*(F153*10^-3*1000)^2.16</f>
        <v>0.13106785230452156</v>
      </c>
      <c r="I153" s="3" t="s">
        <v>44</v>
      </c>
      <c r="J153" s="3">
        <f>G153*$D153</f>
        <v>9.4296031711221957</v>
      </c>
      <c r="K153" s="3">
        <f>H153*$D153</f>
        <v>13.980570956171585</v>
      </c>
      <c r="N153" s="3" t="s">
        <v>53</v>
      </c>
      <c r="O153" s="28">
        <f t="shared" si="59"/>
        <v>11778882.832866022</v>
      </c>
      <c r="P153" s="28">
        <f t="shared" si="60"/>
        <v>7199705.5867936742</v>
      </c>
      <c r="Q153" s="3"/>
      <c r="R153" s="3"/>
      <c r="S153" s="5"/>
      <c r="T153" s="12"/>
      <c r="U153" s="12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s="2" customFormat="1" x14ac:dyDescent="0.25">
      <c r="A154" s="15" t="s">
        <v>35</v>
      </c>
      <c r="B154" s="2" t="s">
        <v>27</v>
      </c>
      <c r="C154" s="2" t="s">
        <v>9</v>
      </c>
      <c r="D154" s="21">
        <f>SUM(2.461538,
458.461538)</f>
        <v>460.92307600000004</v>
      </c>
      <c r="E154" s="21">
        <v>240</v>
      </c>
      <c r="F154" s="21">
        <v>280</v>
      </c>
      <c r="G154" s="3">
        <f t="shared" ref="G154:H159" si="65">9.4676*10^-7*(E154*10^-3*1000)^2.16</f>
        <v>0.13106785230452156</v>
      </c>
      <c r="H154" s="3">
        <f t="shared" si="65"/>
        <v>0.18285264576036406</v>
      </c>
      <c r="I154" s="3"/>
      <c r="J154" s="3">
        <f t="shared" ref="J154:K159" si="66">G154*$D154</f>
        <v>60.412197648913768</v>
      </c>
      <c r="K154" s="3">
        <f>H154*$D154</f>
        <v>84.281003938605366</v>
      </c>
      <c r="L154" s="7"/>
      <c r="M154" s="7"/>
      <c r="N154" s="3" t="s">
        <v>53</v>
      </c>
      <c r="O154" s="28">
        <f t="shared" si="59"/>
        <v>64350365.959795006</v>
      </c>
      <c r="P154" s="28">
        <f t="shared" si="60"/>
        <v>42441887.423780359</v>
      </c>
      <c r="Q154" s="3"/>
      <c r="R154" s="3"/>
      <c r="S154" s="5"/>
      <c r="T154" s="5"/>
      <c r="U154" s="5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s="2" customFormat="1" x14ac:dyDescent="0.25">
      <c r="A155" s="15" t="s">
        <v>35</v>
      </c>
      <c r="B155" s="2" t="s">
        <v>27</v>
      </c>
      <c r="C155" s="2" t="s">
        <v>10</v>
      </c>
      <c r="D155" s="21">
        <f>SUM(2.461538,
395.897436)</f>
        <v>398.35897400000005</v>
      </c>
      <c r="E155" s="21">
        <v>280</v>
      </c>
      <c r="F155" s="21">
        <v>320</v>
      </c>
      <c r="G155" s="3">
        <f t="shared" si="65"/>
        <v>0.18285264576036406</v>
      </c>
      <c r="H155" s="3">
        <f t="shared" si="65"/>
        <v>0.24398540846373284</v>
      </c>
      <c r="I155" s="3"/>
      <c r="J155" s="3">
        <f t="shared" si="66"/>
        <v>72.840992358284083</v>
      </c>
      <c r="K155" s="3">
        <f>H155*$D155</f>
        <v>97.193776986583543</v>
      </c>
      <c r="L155" s="7"/>
      <c r="M155" s="7"/>
      <c r="N155" s="3" t="s">
        <v>53</v>
      </c>
      <c r="O155" s="28">
        <f t="shared" si="59"/>
        <v>68282358.558276415</v>
      </c>
      <c r="P155" s="28">
        <f t="shared" si="60"/>
        <v>47613516.437055372</v>
      </c>
      <c r="Q155" s="3"/>
      <c r="R155" s="3"/>
      <c r="S155" s="5"/>
      <c r="T155" s="5"/>
      <c r="U155" s="5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s="2" customFormat="1" x14ac:dyDescent="0.25">
      <c r="A156" s="15" t="s">
        <v>35</v>
      </c>
      <c r="B156" s="2" t="s">
        <v>27</v>
      </c>
      <c r="C156" s="2" t="s">
        <v>11</v>
      </c>
      <c r="D156" s="21">
        <f>SUM(27.623932,
1778.461538)</f>
        <v>1806.08547</v>
      </c>
      <c r="E156" s="21">
        <v>320</v>
      </c>
      <c r="F156" s="21">
        <v>360</v>
      </c>
      <c r="G156" s="3">
        <f t="shared" si="65"/>
        <v>0.24398540846373284</v>
      </c>
      <c r="H156" s="3">
        <f t="shared" si="65"/>
        <v>0.31466852373011789</v>
      </c>
      <c r="I156" s="3"/>
      <c r="J156" s="3">
        <f t="shared" si="66"/>
        <v>440.65850111836289</v>
      </c>
      <c r="K156" s="3">
        <f>H156*$D156</f>
        <v>568.31824857531615</v>
      </c>
      <c r="L156" s="7"/>
      <c r="M156" s="7"/>
      <c r="N156" s="3" t="s">
        <v>53</v>
      </c>
      <c r="O156" s="28">
        <f t="shared" si="59"/>
        <v>371489039.26130944</v>
      </c>
      <c r="P156" s="28">
        <f t="shared" si="60"/>
        <v>270292623.65708232</v>
      </c>
      <c r="Q156" s="3"/>
      <c r="R156" s="3"/>
      <c r="S156" s="5"/>
      <c r="T156" s="5"/>
      <c r="U156" s="5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s="2" customFormat="1" x14ac:dyDescent="0.25">
      <c r="A157" s="15" t="s">
        <v>35</v>
      </c>
      <c r="B157" s="2" t="s">
        <v>27</v>
      </c>
      <c r="C157" s="2" t="s">
        <v>12</v>
      </c>
      <c r="D157" s="21">
        <f>SUM(155.842735,
6822.564103)</f>
        <v>6978.4068379999999</v>
      </c>
      <c r="E157" s="21">
        <v>400</v>
      </c>
      <c r="F157" s="21">
        <v>400</v>
      </c>
      <c r="G157" s="3">
        <f t="shared" si="65"/>
        <v>0.3950840365236063</v>
      </c>
      <c r="H157" s="3">
        <f t="shared" si="65"/>
        <v>0.3950840365236063</v>
      </c>
      <c r="I157" s="3"/>
      <c r="J157" s="3">
        <f t="shared" si="66"/>
        <v>2757.0571420609758</v>
      </c>
      <c r="K157" s="3">
        <f t="shared" si="66"/>
        <v>2757.0571420609758</v>
      </c>
      <c r="L157" s="7"/>
      <c r="M157" s="7"/>
      <c r="N157" s="3" t="s">
        <v>53</v>
      </c>
      <c r="O157" s="28">
        <f t="shared" si="59"/>
        <v>1597602617.3274457</v>
      </c>
      <c r="P157" s="28">
        <f t="shared" si="60"/>
        <v>1597602617.3274457</v>
      </c>
      <c r="Q157" s="3"/>
      <c r="R157" s="3"/>
      <c r="S157" s="5"/>
      <c r="T157" s="5"/>
      <c r="U157" s="5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s="2" customFormat="1" x14ac:dyDescent="0.25">
      <c r="A158" s="15" t="s">
        <v>35</v>
      </c>
      <c r="B158" s="2" t="s">
        <v>27</v>
      </c>
      <c r="C158" s="2" t="s">
        <v>13</v>
      </c>
      <c r="D158" s="21">
        <f>SUM(499.528205,
17543.589744)</f>
        <v>18043.117948999999</v>
      </c>
      <c r="E158" s="21">
        <v>420</v>
      </c>
      <c r="F158" s="21">
        <v>500</v>
      </c>
      <c r="G158" s="3">
        <f t="shared" si="65"/>
        <v>0.43899378138795536</v>
      </c>
      <c r="H158" s="3">
        <f t="shared" si="65"/>
        <v>0.63975709407633896</v>
      </c>
      <c r="I158" s="3"/>
      <c r="J158" s="3">
        <f t="shared" si="66"/>
        <v>7920.8165764603991</v>
      </c>
      <c r="K158" s="3">
        <f>H158*$D158</f>
        <v>11543.212707128872</v>
      </c>
      <c r="L158" s="7"/>
      <c r="M158" s="7"/>
      <c r="N158" s="3" t="s">
        <v>53</v>
      </c>
      <c r="O158" s="28">
        <f t="shared" si="59"/>
        <v>6514895786.9523439</v>
      </c>
      <c r="P158" s="28">
        <f t="shared" si="60"/>
        <v>4068755054.6934514</v>
      </c>
      <c r="Q158" s="3"/>
      <c r="R158" s="3"/>
      <c r="S158" s="5"/>
      <c r="T158" s="5"/>
      <c r="U158" s="5"/>
      <c r="V158" s="1"/>
      <c r="W158" s="1"/>
      <c r="X158" s="1"/>
      <c r="Y158" s="1"/>
      <c r="Z158" s="1"/>
      <c r="AA158" s="11"/>
      <c r="AB158" s="1"/>
      <c r="AC158" s="1"/>
      <c r="AD158" s="1"/>
      <c r="AE158" s="1"/>
      <c r="AF158" s="1"/>
      <c r="AG158" s="1"/>
    </row>
    <row r="159" spans="1:33" s="2" customFormat="1" x14ac:dyDescent="0.25">
      <c r="A159" s="15" t="s">
        <v>35</v>
      </c>
      <c r="B159" s="2" t="s">
        <v>27</v>
      </c>
      <c r="C159" s="2" t="s">
        <v>14</v>
      </c>
      <c r="D159" s="21">
        <f>SUM(54.263248,
1571.282051)</f>
        <v>1625.5452989999999</v>
      </c>
      <c r="E159" s="21">
        <v>380</v>
      </c>
      <c r="F159" s="21">
        <v>420</v>
      </c>
      <c r="G159" s="3">
        <f t="shared" si="65"/>
        <v>0.35364902873926202</v>
      </c>
      <c r="H159" s="3">
        <f t="shared" si="65"/>
        <v>0.43899378138795536</v>
      </c>
      <c r="I159" s="3"/>
      <c r="J159" s="3">
        <f t="shared" si="66"/>
        <v>574.87251616302319</v>
      </c>
      <c r="K159" s="3">
        <f>H159*$D159</f>
        <v>713.60427762542452</v>
      </c>
      <c r="L159" s="7"/>
      <c r="M159" s="7"/>
      <c r="N159" s="3" t="s">
        <v>53</v>
      </c>
      <c r="O159" s="28">
        <f t="shared" si="59"/>
        <v>425118195.81174803</v>
      </c>
      <c r="P159" s="28">
        <f t="shared" si="60"/>
        <v>324453393.40166426</v>
      </c>
      <c r="Q159" s="3"/>
      <c r="R159" s="3"/>
      <c r="S159" s="5"/>
      <c r="T159" s="5"/>
      <c r="U159" s="5"/>
      <c r="V159" s="11"/>
      <c r="W159" s="11"/>
      <c r="X159" s="11"/>
      <c r="Y159" s="11"/>
      <c r="Z159" s="11"/>
      <c r="AA159" s="1"/>
      <c r="AB159" s="1"/>
      <c r="AC159" s="1"/>
      <c r="AD159" s="1"/>
      <c r="AE159" s="1"/>
      <c r="AF159" s="1"/>
      <c r="AG159" s="1"/>
    </row>
    <row r="160" spans="1:33" s="9" customFormat="1" x14ac:dyDescent="0.25">
      <c r="A160" s="14" t="s">
        <v>35</v>
      </c>
      <c r="B160" s="9" t="s">
        <v>27</v>
      </c>
      <c r="C160" s="9" t="s">
        <v>15</v>
      </c>
      <c r="D160" s="19">
        <f>SUM(D153:D159)</f>
        <v>29419.104273000001</v>
      </c>
      <c r="E160" s="19"/>
      <c r="F160" s="19"/>
      <c r="G160" s="10"/>
      <c r="H160" s="10"/>
      <c r="I160" s="10"/>
      <c r="J160" s="10"/>
      <c r="K160" s="10"/>
      <c r="L160" s="7">
        <f>SUM(J153:J159)</f>
        <v>11836.087528981081</v>
      </c>
      <c r="M160" s="7">
        <f>SUM(K153:K159)</f>
        <v>15777.647727271949</v>
      </c>
      <c r="N160" s="10"/>
      <c r="O160" s="28" t="e">
        <f t="shared" si="59"/>
        <v>#DIV/0!</v>
      </c>
      <c r="P160" s="28" t="e">
        <f t="shared" si="60"/>
        <v>#DIV/0!</v>
      </c>
      <c r="Q160" s="10">
        <f>SUM(O153:O159)</f>
        <v>9053517246.7037849</v>
      </c>
      <c r="R160" s="10">
        <f>SUM(P153:P159)</f>
        <v>6358358798.5272732</v>
      </c>
      <c r="S160" s="12"/>
      <c r="T160" s="5"/>
      <c r="U160" s="5"/>
      <c r="V160" s="1"/>
      <c r="W160" s="1"/>
      <c r="X160" s="1"/>
      <c r="Y160" s="1"/>
      <c r="Z160" s="1"/>
      <c r="AA160" s="1"/>
      <c r="AB160" s="11"/>
      <c r="AC160" s="11"/>
      <c r="AD160" s="11"/>
      <c r="AE160" s="11"/>
      <c r="AF160" s="11"/>
      <c r="AG160" s="11"/>
    </row>
    <row r="161" spans="1:33" s="11" customFormat="1" x14ac:dyDescent="0.25">
      <c r="A161" s="17" t="s">
        <v>35</v>
      </c>
      <c r="B161" s="11" t="s">
        <v>28</v>
      </c>
      <c r="C161" s="11" t="s">
        <v>13</v>
      </c>
      <c r="D161" s="20">
        <f>SUM(21.169231,
3217.435897)</f>
        <v>3238.6051279999997</v>
      </c>
      <c r="E161" s="20">
        <v>400</v>
      </c>
      <c r="F161" s="20">
        <v>540</v>
      </c>
      <c r="G161" s="12">
        <f>0.4*((10^((3.16*LOG10(E161))-8.18))/0.9)</f>
        <v>0.49014779640231004</v>
      </c>
      <c r="H161" s="12">
        <f>0.4*((10^((3.16*LOG10(F161))-8.18))/0.9)</f>
        <v>1.2652657815422117</v>
      </c>
      <c r="I161" s="12" t="s">
        <v>43</v>
      </c>
      <c r="J161" s="12">
        <f>G161*$D161</f>
        <v>1587.3951669064211</v>
      </c>
      <c r="K161" s="12">
        <f>H161*$D161</f>
        <v>4097.6962483855341</v>
      </c>
      <c r="L161" s="8">
        <f>J161</f>
        <v>1587.3951669064211</v>
      </c>
      <c r="M161" s="8">
        <f>K161</f>
        <v>4097.6962483855341</v>
      </c>
      <c r="N161" s="12" t="s">
        <v>53</v>
      </c>
      <c r="O161" s="28">
        <f t="shared" si="59"/>
        <v>2249848968.978591</v>
      </c>
      <c r="P161" s="28">
        <f t="shared" si="60"/>
        <v>687598593.41907001</v>
      </c>
      <c r="Q161" s="12">
        <f>O161</f>
        <v>2249848968.978591</v>
      </c>
      <c r="R161" s="12">
        <f>P161</f>
        <v>687598593.41907001</v>
      </c>
      <c r="S161" s="12"/>
      <c r="T161" s="12"/>
      <c r="U161" s="12"/>
      <c r="V161" s="1"/>
      <c r="W161" s="1"/>
      <c r="X161" s="1"/>
      <c r="Y161" s="1"/>
      <c r="Z161" s="1"/>
      <c r="AA161" s="1"/>
    </row>
    <row r="162" spans="1:33" s="2" customFormat="1" x14ac:dyDescent="0.25">
      <c r="A162" s="15" t="s">
        <v>35</v>
      </c>
      <c r="B162" s="2" t="s">
        <v>29</v>
      </c>
      <c r="C162" s="2" t="s">
        <v>18</v>
      </c>
      <c r="D162" s="21">
        <f>SUM(4.923077,
219.487179)</f>
        <v>224.410256</v>
      </c>
      <c r="E162" s="21">
        <f>AVERAGE(1160,1000)</f>
        <v>1080</v>
      </c>
      <c r="F162" s="21">
        <f>AVERAGE(1160,1000)</f>
        <v>1080</v>
      </c>
      <c r="G162" s="3">
        <f>((0.0075*(E162*10^-3)^3.274)/0.9)*0.447*1000</f>
        <v>4.7924286142003751</v>
      </c>
      <c r="H162" s="3">
        <f>((0.0075*(F162*10^-3)^3.274)/0.9)*0.447*1000</f>
        <v>4.7924286142003751</v>
      </c>
      <c r="I162" s="3" t="s">
        <v>46</v>
      </c>
      <c r="J162" s="3">
        <f>G162*$D162</f>
        <v>1075.4701321744315</v>
      </c>
      <c r="K162" s="3">
        <f>H162*$D162</f>
        <v>1075.4701321744315</v>
      </c>
      <c r="N162" s="3" t="s">
        <v>51</v>
      </c>
      <c r="O162" s="28">
        <f t="shared" si="59"/>
        <v>333929515.40600693</v>
      </c>
      <c r="P162" s="28">
        <f t="shared" si="60"/>
        <v>333929515.40600693</v>
      </c>
      <c r="Q162" s="3"/>
      <c r="R162" s="3"/>
      <c r="S162" s="5"/>
      <c r="T162" s="12"/>
      <c r="U162" s="12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s="2" customFormat="1" x14ac:dyDescent="0.25">
      <c r="A163" s="15" t="s">
        <v>35</v>
      </c>
      <c r="B163" s="2" t="s">
        <v>29</v>
      </c>
      <c r="C163" s="2" t="s">
        <v>9</v>
      </c>
      <c r="D163" s="21">
        <f>SUM(7.384615,
197.948718)</f>
        <v>205.33333300000001</v>
      </c>
      <c r="E163" s="21">
        <v>1500</v>
      </c>
      <c r="F163" s="21">
        <v>1500</v>
      </c>
      <c r="G163" s="3">
        <f t="shared" ref="G163:G166" si="67">((0.0075*(E163*10^-3)^3.274)/0.9)*0.447*1000</f>
        <v>14.049117968657727</v>
      </c>
      <c r="H163" s="3">
        <f t="shared" ref="H163:H166" si="68">((0.0075*(F163*10^-3)^3.274)/0.9)*0.447*1000</f>
        <v>14.049117968657727</v>
      </c>
      <c r="I163" s="3"/>
      <c r="J163" s="3">
        <f t="shared" ref="J163:K166" si="69">G163*$D163</f>
        <v>2884.7522182146809</v>
      </c>
      <c r="K163" s="3">
        <f t="shared" si="69"/>
        <v>2884.7522182146809</v>
      </c>
      <c r="L163" s="7"/>
      <c r="M163" s="7"/>
      <c r="N163" s="3" t="s">
        <v>51</v>
      </c>
      <c r="O163" s="28">
        <f t="shared" si="59"/>
        <v>684528631.34951282</v>
      </c>
      <c r="P163" s="28">
        <f t="shared" si="60"/>
        <v>684528631.34951282</v>
      </c>
      <c r="Q163" s="3"/>
      <c r="R163" s="3"/>
      <c r="S163" s="5"/>
      <c r="T163" s="5"/>
      <c r="U163" s="5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s="2" customFormat="1" x14ac:dyDescent="0.25">
      <c r="A164" s="15" t="s">
        <v>35</v>
      </c>
      <c r="B164" s="2" t="s">
        <v>29</v>
      </c>
      <c r="C164" s="2" t="s">
        <v>10</v>
      </c>
      <c r="D164" s="21">
        <f>SUM(40.697436,
35.897436)</f>
        <v>76.594872000000009</v>
      </c>
      <c r="E164" s="21">
        <f>AVERAGE(2080,300)</f>
        <v>1190</v>
      </c>
      <c r="F164" s="21">
        <f>AVERAGE(2410,300)</f>
        <v>1355</v>
      </c>
      <c r="G164" s="3">
        <f t="shared" si="67"/>
        <v>6.5836544542729074</v>
      </c>
      <c r="H164" s="3">
        <f t="shared" si="68"/>
        <v>10.071531829787753</v>
      </c>
      <c r="I164" s="3"/>
      <c r="J164" s="3">
        <f t="shared" si="69"/>
        <v>504.27417021726325</v>
      </c>
      <c r="K164" s="3">
        <f t="shared" si="69"/>
        <v>771.42769134651883</v>
      </c>
      <c r="L164" s="7"/>
      <c r="M164" s="7"/>
      <c r="N164" s="3" t="s">
        <v>51</v>
      </c>
      <c r="O164" s="28">
        <f t="shared" si="59"/>
        <v>221245188.04698488</v>
      </c>
      <c r="P164" s="28">
        <f t="shared" si="60"/>
        <v>130043367.66685559</v>
      </c>
      <c r="Q164" s="3"/>
      <c r="R164" s="3"/>
      <c r="S164" s="5"/>
      <c r="T164" s="5"/>
      <c r="U164" s="5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s="2" customFormat="1" x14ac:dyDescent="0.25">
      <c r="A165" s="15" t="s">
        <v>35</v>
      </c>
      <c r="B165" s="2" t="s">
        <v>29</v>
      </c>
      <c r="C165" s="2" t="s">
        <v>11</v>
      </c>
      <c r="D165" s="21">
        <f>9.846154</f>
        <v>9.8461540000000003</v>
      </c>
      <c r="E165" s="21">
        <f>AVERAGE(2960,4000)</f>
        <v>3480</v>
      </c>
      <c r="F165" s="21">
        <f>AVERAGE(3570,5400)</f>
        <v>4485</v>
      </c>
      <c r="G165" s="3">
        <f t="shared" si="67"/>
        <v>220.93103228131193</v>
      </c>
      <c r="H165" s="3">
        <f t="shared" si="68"/>
        <v>506.98665722465563</v>
      </c>
      <c r="I165" s="3"/>
      <c r="J165" s="3">
        <f t="shared" si="69"/>
        <v>2175.3209672207686</v>
      </c>
      <c r="K165" s="3">
        <f t="shared" si="69"/>
        <v>4991.8687029791718</v>
      </c>
      <c r="L165" s="7"/>
      <c r="M165" s="7"/>
      <c r="N165" s="3" t="s">
        <v>51</v>
      </c>
      <c r="O165" s="28">
        <f t="shared" si="59"/>
        <v>594832021.98493278</v>
      </c>
      <c r="P165" s="28">
        <f t="shared" si="60"/>
        <v>210605437.64391935</v>
      </c>
      <c r="Q165" s="3"/>
      <c r="R165" s="3"/>
      <c r="S165" s="5"/>
      <c r="T165" s="5"/>
      <c r="U165" s="5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s="2" customFormat="1" x14ac:dyDescent="0.25">
      <c r="A166" s="15" t="s">
        <v>35</v>
      </c>
      <c r="B166" s="2" t="s">
        <v>29</v>
      </c>
      <c r="C166" s="2" t="s">
        <v>12</v>
      </c>
      <c r="D166" s="21">
        <f>25.107692</f>
        <v>25.107692</v>
      </c>
      <c r="E166" s="21">
        <f>AVERAGE(4400,3000)</f>
        <v>3700</v>
      </c>
      <c r="F166" s="21">
        <f>AVERAGE(5640,3800)</f>
        <v>4720</v>
      </c>
      <c r="G166" s="3">
        <f t="shared" si="67"/>
        <v>270.03416914122573</v>
      </c>
      <c r="H166" s="3">
        <f t="shared" si="68"/>
        <v>599.25598557806939</v>
      </c>
      <c r="I166" s="3"/>
      <c r="J166" s="3">
        <f t="shared" si="69"/>
        <v>6779.9347482738003</v>
      </c>
      <c r="K166" s="3">
        <f t="shared" si="69"/>
        <v>15045.934715050607</v>
      </c>
      <c r="L166" s="7"/>
      <c r="M166" s="7"/>
      <c r="N166" s="3" t="s">
        <v>51</v>
      </c>
      <c r="O166" s="28">
        <f t="shared" si="59"/>
        <v>1705139281.0490773</v>
      </c>
      <c r="P166" s="28">
        <f t="shared" si="60"/>
        <v>629531963.50234735</v>
      </c>
      <c r="Q166" s="3"/>
      <c r="R166" s="3"/>
      <c r="S166" s="5"/>
      <c r="T166" s="5"/>
      <c r="U166" s="5"/>
      <c r="V166" s="1"/>
      <c r="W166" s="1"/>
      <c r="X166" s="1"/>
      <c r="Y166" s="1"/>
      <c r="Z166" s="1"/>
      <c r="AA166" s="11"/>
      <c r="AB166" s="1"/>
      <c r="AC166" s="1"/>
      <c r="AD166" s="1"/>
      <c r="AE166" s="1"/>
      <c r="AF166" s="1"/>
      <c r="AG166" s="1"/>
    </row>
    <row r="167" spans="1:33" s="9" customFormat="1" x14ac:dyDescent="0.25">
      <c r="A167" s="14" t="s">
        <v>35</v>
      </c>
      <c r="B167" s="9" t="s">
        <v>29</v>
      </c>
      <c r="C167" s="9" t="s">
        <v>15</v>
      </c>
      <c r="D167" s="19">
        <f>SUM(D162:D166)</f>
        <v>541.29230700000005</v>
      </c>
      <c r="E167" s="19"/>
      <c r="F167" s="19"/>
      <c r="G167" s="10"/>
      <c r="H167" s="10"/>
      <c r="I167" s="10"/>
      <c r="J167" s="10"/>
      <c r="K167" s="10"/>
      <c r="L167" s="7">
        <f>SUM(J162:J166)</f>
        <v>13419.752236100943</v>
      </c>
      <c r="M167" s="7">
        <f>SUM(K164:K166)</f>
        <v>20809.231109376298</v>
      </c>
      <c r="N167" s="10"/>
      <c r="O167" s="28" t="e">
        <f t="shared" si="59"/>
        <v>#DIV/0!</v>
      </c>
      <c r="P167" s="28" t="e">
        <f t="shared" si="60"/>
        <v>#DIV/0!</v>
      </c>
      <c r="Q167" s="10">
        <f>SUM(O162:O166)</f>
        <v>3539674637.8365145</v>
      </c>
      <c r="R167" s="10">
        <f>SUM(P162:P166)</f>
        <v>1988638915.5686421</v>
      </c>
      <c r="S167" s="12"/>
      <c r="T167" s="5"/>
      <c r="U167" s="5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spans="1:33" s="1" customFormat="1" x14ac:dyDescent="0.25">
      <c r="A168" s="16" t="s">
        <v>35</v>
      </c>
      <c r="B168" s="1" t="s">
        <v>31</v>
      </c>
      <c r="C168" s="1" t="s">
        <v>18</v>
      </c>
      <c r="D168" s="22">
        <f>SUM(25.982906,
1216.410256)</f>
        <v>1242.3931619999998</v>
      </c>
      <c r="E168" s="22">
        <v>450</v>
      </c>
      <c r="F168" s="22">
        <v>450</v>
      </c>
      <c r="G168" s="5">
        <f>(10^(2.85*(LOG10(E168*10^-3*1000))-7.62))*0.447</f>
        <v>0.39080776789498056</v>
      </c>
      <c r="H168" s="5">
        <f>(10^(2.85*(LOG10(F168*10^-3*1000))-7.62))*0.447</f>
        <v>0.39080776789498056</v>
      </c>
      <c r="I168" s="5" t="s">
        <v>42</v>
      </c>
      <c r="J168" s="5">
        <f>G168*$D168</f>
        <v>485.53689848920692</v>
      </c>
      <c r="K168" s="5">
        <f>H168*$D168</f>
        <v>485.53689848920692</v>
      </c>
      <c r="N168" s="5" t="s">
        <v>53</v>
      </c>
      <c r="O168" s="28">
        <f>(63*(G168*10^6)^-0.25)*(EXP(0.0693*(-1.17-20)))*(K168*10^6)</f>
        <v>282115410.20949656</v>
      </c>
      <c r="P168" s="28">
        <f t="shared" si="60"/>
        <v>282115410.20949656</v>
      </c>
      <c r="Q168" s="5"/>
      <c r="R168" s="5"/>
      <c r="S168" s="5"/>
      <c r="T168" s="12"/>
      <c r="U168" s="12"/>
      <c r="V168" s="11"/>
      <c r="W168" s="11"/>
      <c r="X168" s="11"/>
      <c r="Y168" s="11"/>
      <c r="Z168" s="11"/>
    </row>
    <row r="169" spans="1:33" s="1" customFormat="1" x14ac:dyDescent="0.25">
      <c r="A169" s="16" t="s">
        <v>35</v>
      </c>
      <c r="B169" s="1" t="s">
        <v>31</v>
      </c>
      <c r="C169" s="1" t="s">
        <v>9</v>
      </c>
      <c r="D169" s="22">
        <f>SUM(55.904274,
956.923077)</f>
        <v>1012.827351</v>
      </c>
      <c r="E169" s="22">
        <v>600</v>
      </c>
      <c r="F169" s="22">
        <v>600</v>
      </c>
      <c r="G169" s="5">
        <f>(10^(2.85*(LOG10(E169*10^-3*1000))-7.62))*0.447</f>
        <v>0.88723483865811659</v>
      </c>
      <c r="H169" s="5">
        <f>(10^(2.85*(LOG10(F169*10^-3*1000))-7.62))*0.447</f>
        <v>0.88723483865811659</v>
      </c>
      <c r="I169" s="5"/>
      <c r="J169" s="5">
        <f t="shared" ref="J169:K174" si="70">G169*$D169</f>
        <v>898.61571135301267</v>
      </c>
      <c r="K169" s="5">
        <f t="shared" si="70"/>
        <v>898.61571135301267</v>
      </c>
      <c r="L169" s="8"/>
      <c r="M169" s="8"/>
      <c r="N169" s="5" t="s">
        <v>53</v>
      </c>
      <c r="O169" s="28">
        <f t="shared" si="59"/>
        <v>425363016.8120662</v>
      </c>
      <c r="P169" s="28">
        <f t="shared" si="60"/>
        <v>425363016.8120662</v>
      </c>
      <c r="Q169" s="5"/>
      <c r="R169" s="5"/>
      <c r="S169" s="5"/>
      <c r="T169" s="5"/>
      <c r="U169" s="5"/>
    </row>
    <row r="170" spans="1:33" s="1" customFormat="1" x14ac:dyDescent="0.25">
      <c r="A170" s="16" t="s">
        <v>35</v>
      </c>
      <c r="B170" s="1" t="s">
        <v>31</v>
      </c>
      <c r="C170" s="1" t="s">
        <v>10</v>
      </c>
      <c r="D170" s="22">
        <f>SUM(16.62906,
1092.307692)</f>
        <v>1108.9367520000001</v>
      </c>
      <c r="E170" s="22">
        <f>AVERAGE(800,750,450)</f>
        <v>666.66666666666663</v>
      </c>
      <c r="F170" s="22">
        <f>AVERAGE(560,950,850)</f>
        <v>786.66666666666663</v>
      </c>
      <c r="G170" s="5">
        <f t="shared" ref="G170:H174" si="71">(10^(2.85*(LOG10(E170*10^-3*1000))-7.62))*0.447</f>
        <v>1.1979741166682267</v>
      </c>
      <c r="H170" s="5">
        <f t="shared" si="71"/>
        <v>1.9200438871492924</v>
      </c>
      <c r="I170" s="5"/>
      <c r="J170" s="5">
        <f t="shared" si="70"/>
        <v>1328.4775259181324</v>
      </c>
      <c r="K170" s="5">
        <f t="shared" si="70"/>
        <v>2129.207231912791</v>
      </c>
      <c r="L170" s="8"/>
      <c r="M170" s="8"/>
      <c r="N170" s="5" t="s">
        <v>53</v>
      </c>
      <c r="O170" s="28">
        <f t="shared" si="59"/>
        <v>934978104.37272894</v>
      </c>
      <c r="P170" s="28">
        <f t="shared" si="60"/>
        <v>518467800.32753193</v>
      </c>
      <c r="Q170" s="5"/>
      <c r="R170" s="5"/>
      <c r="S170" s="5"/>
      <c r="T170" s="5"/>
      <c r="U170" s="5"/>
    </row>
    <row r="171" spans="1:33" s="1" customFormat="1" x14ac:dyDescent="0.25">
      <c r="A171" s="16" t="s">
        <v>35</v>
      </c>
      <c r="B171" s="1" t="s">
        <v>31</v>
      </c>
      <c r="C171" s="1" t="s">
        <v>11</v>
      </c>
      <c r="D171" s="22">
        <f>SUM(23.247863,
156.923077)</f>
        <v>180.17094</v>
      </c>
      <c r="E171" s="22">
        <f>AVERAGE(950,850,560)</f>
        <v>786.66666666666663</v>
      </c>
      <c r="F171" s="22">
        <f>AVERAGE(1050,950,700)</f>
        <v>900</v>
      </c>
      <c r="G171" s="5">
        <f t="shared" si="71"/>
        <v>1.9200438871492924</v>
      </c>
      <c r="H171" s="5">
        <f t="shared" si="71"/>
        <v>2.8177254528580589</v>
      </c>
      <c r="I171" s="5"/>
      <c r="J171" s="5">
        <f t="shared" si="70"/>
        <v>345.93611198894195</v>
      </c>
      <c r="K171" s="5">
        <f t="shared" si="70"/>
        <v>507.67224350336215</v>
      </c>
      <c r="L171" s="8"/>
      <c r="M171" s="8"/>
      <c r="N171" s="5" t="s">
        <v>53</v>
      </c>
      <c r="O171" s="28">
        <f t="shared" si="59"/>
        <v>198130345.63352624</v>
      </c>
      <c r="P171" s="28">
        <f t="shared" si="60"/>
        <v>122663851.78776519</v>
      </c>
      <c r="Q171" s="5"/>
      <c r="R171" s="5"/>
      <c r="S171" s="5"/>
      <c r="T171" s="5"/>
      <c r="U171" s="5"/>
      <c r="AA171" s="11"/>
    </row>
    <row r="172" spans="1:33" s="1" customFormat="1" x14ac:dyDescent="0.25">
      <c r="A172" s="16" t="s">
        <v>35</v>
      </c>
      <c r="B172" s="1" t="s">
        <v>31</v>
      </c>
      <c r="C172" s="1" t="s">
        <v>12</v>
      </c>
      <c r="D172" s="22">
        <f>SUM(55.083761,
493.333333)</f>
        <v>548.41709400000002</v>
      </c>
      <c r="E172" s="22">
        <f>AVERAGE(650,1200,950)</f>
        <v>933.33333333333337</v>
      </c>
      <c r="F172" s="22">
        <f>AVERAGE(1300,1100,850)</f>
        <v>1083.3333333333333</v>
      </c>
      <c r="G172" s="5">
        <f t="shared" si="71"/>
        <v>3.1254484233881543</v>
      </c>
      <c r="H172" s="5">
        <f t="shared" si="71"/>
        <v>4.7794676451112066</v>
      </c>
      <c r="I172" s="5"/>
      <c r="J172" s="5">
        <f t="shared" si="70"/>
        <v>1714.0493418014132</v>
      </c>
      <c r="K172" s="5">
        <f t="shared" si="70"/>
        <v>2621.1417567989115</v>
      </c>
      <c r="L172" s="8"/>
      <c r="M172" s="8"/>
      <c r="N172" s="5" t="s">
        <v>53</v>
      </c>
      <c r="O172" s="28">
        <f t="shared" si="59"/>
        <v>905644578.55369151</v>
      </c>
      <c r="P172" s="28">
        <f t="shared" si="60"/>
        <v>532566451.26877069</v>
      </c>
      <c r="Q172" s="5"/>
      <c r="R172" s="5"/>
      <c r="S172" s="5"/>
      <c r="T172" s="5"/>
      <c r="U172" s="5"/>
      <c r="V172" s="11"/>
      <c r="W172" s="11"/>
      <c r="X172" s="11"/>
      <c r="Y172" s="11"/>
      <c r="Z172" s="11"/>
    </row>
    <row r="173" spans="1:33" s="1" customFormat="1" x14ac:dyDescent="0.25">
      <c r="A173" s="16" t="s">
        <v>35</v>
      </c>
      <c r="B173" s="1" t="s">
        <v>31</v>
      </c>
      <c r="C173" s="1" t="s">
        <v>13</v>
      </c>
      <c r="D173" s="22">
        <f>SUM(67.938462,
1229.74359)</f>
        <v>1297.6820520000001</v>
      </c>
      <c r="E173" s="22">
        <f>AVERAGE(1150,1600,850)</f>
        <v>1200</v>
      </c>
      <c r="F173" s="22">
        <f>AVERAGE(1150,1600,850)</f>
        <v>1200</v>
      </c>
      <c r="G173" s="5">
        <f t="shared" si="71"/>
        <v>6.3969664702805833</v>
      </c>
      <c r="H173" s="5">
        <f t="shared" si="71"/>
        <v>6.3969664702805833</v>
      </c>
      <c r="I173" s="5"/>
      <c r="J173" s="5">
        <f t="shared" si="70"/>
        <v>8301.2285757289046</v>
      </c>
      <c r="K173" s="5">
        <f t="shared" si="70"/>
        <v>8301.2285757289046</v>
      </c>
      <c r="L173" s="8"/>
      <c r="M173" s="8"/>
      <c r="N173" s="5" t="s">
        <v>53</v>
      </c>
      <c r="O173" s="28">
        <f t="shared" si="59"/>
        <v>2397972622.3608603</v>
      </c>
      <c r="P173" s="28">
        <f t="shared" si="60"/>
        <v>2397972622.3608603</v>
      </c>
      <c r="Q173" s="5"/>
      <c r="R173" s="5"/>
      <c r="S173" s="5"/>
      <c r="T173" s="5"/>
      <c r="U173" s="5"/>
    </row>
    <row r="174" spans="1:33" s="1" customFormat="1" x14ac:dyDescent="0.25">
      <c r="A174" s="16" t="s">
        <v>35</v>
      </c>
      <c r="B174" s="1" t="s">
        <v>31</v>
      </c>
      <c r="C174" s="1" t="s">
        <v>14</v>
      </c>
      <c r="D174" s="22">
        <f>SUM(12.034188,
24.615385)</f>
        <v>36.649573000000004</v>
      </c>
      <c r="E174" s="22">
        <f>AVERAGE(800,1200,1000)</f>
        <v>1000</v>
      </c>
      <c r="F174" s="22">
        <f>AVERAGE(800,1200,1000)</f>
        <v>1000</v>
      </c>
      <c r="G174" s="5">
        <f t="shared" si="71"/>
        <v>3.8045870307646301</v>
      </c>
      <c r="H174" s="5">
        <f>(10^(2.85*(LOG10(F174*10^-3*1000))-7.62))*0.447</f>
        <v>3.8045870307646301</v>
      </c>
      <c r="I174" s="5"/>
      <c r="J174" s="5">
        <f t="shared" si="70"/>
        <v>139.43649011886157</v>
      </c>
      <c r="K174" s="5">
        <f t="shared" si="70"/>
        <v>139.43649011886157</v>
      </c>
      <c r="L174" s="8"/>
      <c r="M174" s="8"/>
      <c r="N174" s="5" t="s">
        <v>53</v>
      </c>
      <c r="O174" s="28">
        <f t="shared" si="59"/>
        <v>45866428.925245658</v>
      </c>
      <c r="P174" s="28">
        <f t="shared" si="60"/>
        <v>45866428.925245658</v>
      </c>
      <c r="Q174" s="5"/>
      <c r="R174" s="5"/>
      <c r="S174" s="5"/>
      <c r="T174" s="5"/>
      <c r="U174" s="5"/>
    </row>
    <row r="175" spans="1:33" s="11" customFormat="1" x14ac:dyDescent="0.25">
      <c r="A175" s="17" t="s">
        <v>35</v>
      </c>
      <c r="B175" s="11" t="s">
        <v>31</v>
      </c>
      <c r="C175" s="11" t="s">
        <v>15</v>
      </c>
      <c r="D175" s="20">
        <f>SUM(D168:D174)</f>
        <v>5427.076924</v>
      </c>
      <c r="E175" s="20"/>
      <c r="F175" s="20"/>
      <c r="G175" s="12"/>
      <c r="H175" s="12"/>
      <c r="I175" s="12"/>
      <c r="J175" s="12"/>
      <c r="K175" s="12"/>
      <c r="L175" s="8">
        <f>SUM(J168:J174)</f>
        <v>13213.280655398474</v>
      </c>
      <c r="M175" s="8">
        <f>SUM(K168:K174)</f>
        <v>15082.83890790505</v>
      </c>
      <c r="N175" s="12"/>
      <c r="O175" s="28" t="e">
        <f t="shared" si="59"/>
        <v>#DIV/0!</v>
      </c>
      <c r="P175" s="28" t="e">
        <f t="shared" si="60"/>
        <v>#DIV/0!</v>
      </c>
      <c r="Q175" s="12">
        <f>SUM(O168:O174)</f>
        <v>5190070506.8676147</v>
      </c>
      <c r="R175" s="12">
        <f>SUM(P168:P174)</f>
        <v>4325015581.6917362</v>
      </c>
      <c r="S175" s="12"/>
      <c r="T175" s="5"/>
      <c r="U175" s="5">
        <f>2.9*0.4</f>
        <v>1.1599999999999999</v>
      </c>
      <c r="V175" s="1"/>
      <c r="W175" s="1"/>
      <c r="X175" s="1"/>
      <c r="Y175" s="1"/>
      <c r="Z175" s="1"/>
      <c r="AA175" s="1"/>
    </row>
    <row r="176" spans="1:33" s="2" customFormat="1" x14ac:dyDescent="0.25">
      <c r="A176" s="15" t="s">
        <v>35</v>
      </c>
      <c r="B176" s="2" t="s">
        <v>32</v>
      </c>
      <c r="C176" s="2" t="s">
        <v>18</v>
      </c>
      <c r="D176" s="21">
        <f>SUM(2.461538,
46.153846)</f>
        <v>48.615383999999999</v>
      </c>
      <c r="E176" s="21">
        <v>500</v>
      </c>
      <c r="F176" s="21">
        <v>500</v>
      </c>
      <c r="G176" s="3">
        <f t="shared" ref="G176:H182" si="72">10^(3.07*LOG10(E176)-8.37)</f>
        <v>0.8238305889012606</v>
      </c>
      <c r="H176" s="3">
        <f t="shared" si="72"/>
        <v>0.8238305889012606</v>
      </c>
      <c r="I176" s="3" t="s">
        <v>48</v>
      </c>
      <c r="J176" s="3">
        <f>G176*$D176</f>
        <v>40.050840430380923</v>
      </c>
      <c r="K176" s="3">
        <f>H176*$D176</f>
        <v>40.050840430380923</v>
      </c>
      <c r="N176" s="3" t="s">
        <v>53</v>
      </c>
      <c r="O176" s="28">
        <f t="shared" si="59"/>
        <v>19312901.349140272</v>
      </c>
      <c r="P176" s="28">
        <f t="shared" si="60"/>
        <v>19312901.349140272</v>
      </c>
      <c r="Q176" s="3"/>
      <c r="R176" s="3"/>
      <c r="S176" s="5"/>
      <c r="T176" s="12"/>
      <c r="U176" s="12">
        <f>Q175*0.4*10^-12</f>
        <v>2.0760282027470459E-3</v>
      </c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s="2" customFormat="1" x14ac:dyDescent="0.25">
      <c r="A177" s="15" t="s">
        <v>35</v>
      </c>
      <c r="B177" s="2" t="s">
        <v>32</v>
      </c>
      <c r="C177" s="2" t="s">
        <v>9</v>
      </c>
      <c r="D177" s="21">
        <f>SUM(11.979487,
782.564103)</f>
        <v>794.54358999999999</v>
      </c>
      <c r="E177" s="21">
        <v>620</v>
      </c>
      <c r="F177" s="21">
        <v>620</v>
      </c>
      <c r="G177" s="3">
        <f t="shared" si="72"/>
        <v>1.5945659526775366</v>
      </c>
      <c r="H177" s="3">
        <f t="shared" si="72"/>
        <v>1.5945659526775366</v>
      </c>
      <c r="I177" s="3"/>
      <c r="J177" s="3">
        <f>G177*$D177</f>
        <v>1266.95215653218</v>
      </c>
      <c r="K177" s="3">
        <f t="shared" ref="J177:K182" si="73">H177*$D177</f>
        <v>1266.95215653218</v>
      </c>
      <c r="L177" s="7"/>
      <c r="M177" s="7"/>
      <c r="N177" s="3" t="s">
        <v>53</v>
      </c>
      <c r="O177" s="28">
        <f t="shared" si="59"/>
        <v>517958494.69717634</v>
      </c>
      <c r="P177" s="28">
        <f t="shared" si="60"/>
        <v>517958494.69717634</v>
      </c>
      <c r="Q177" s="3"/>
      <c r="R177" s="3"/>
      <c r="S177" s="5"/>
      <c r="T177" s="5"/>
      <c r="U177" s="12">
        <f>5.19*0.1</f>
        <v>0.51900000000000002</v>
      </c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s="2" customFormat="1" x14ac:dyDescent="0.25">
      <c r="A178" s="15" t="s">
        <v>35</v>
      </c>
      <c r="B178" s="2" t="s">
        <v>32</v>
      </c>
      <c r="C178" s="2" t="s">
        <v>10</v>
      </c>
      <c r="D178" s="21">
        <f>SUM(12.8,
951.794872)</f>
        <v>964.59487200000001</v>
      </c>
      <c r="E178" s="21">
        <v>800</v>
      </c>
      <c r="F178" s="21">
        <v>1000</v>
      </c>
      <c r="G178" s="3">
        <f t="shared" si="72"/>
        <v>3.4872755113851293</v>
      </c>
      <c r="H178" s="3">
        <f t="shared" si="72"/>
        <v>6.9183097091893631</v>
      </c>
      <c r="I178" s="3"/>
      <c r="J178" s="3">
        <f t="shared" si="73"/>
        <v>3363.8080755332735</v>
      </c>
      <c r="K178" s="3">
        <f t="shared" si="73"/>
        <v>6673.3660683918706</v>
      </c>
      <c r="L178" s="7"/>
      <c r="M178" s="7"/>
      <c r="N178" s="3" t="s">
        <v>53</v>
      </c>
      <c r="O178" s="28">
        <f t="shared" si="59"/>
        <v>2243462168.4742351</v>
      </c>
      <c r="P178" s="28">
        <f t="shared" si="60"/>
        <v>952854469.64422262</v>
      </c>
      <c r="Q178" s="3"/>
      <c r="R178" s="3"/>
      <c r="S178" s="5"/>
      <c r="T178" s="5"/>
      <c r="U178" s="5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s="2" customFormat="1" x14ac:dyDescent="0.25">
      <c r="A179" s="15" t="s">
        <v>35</v>
      </c>
      <c r="B179" s="2" t="s">
        <v>32</v>
      </c>
      <c r="C179" s="2" t="s">
        <v>11</v>
      </c>
      <c r="D179" s="21">
        <f>SUM(8.041026,
716.923077)</f>
        <v>724.96410300000002</v>
      </c>
      <c r="E179" s="21">
        <v>1000</v>
      </c>
      <c r="F179" s="21">
        <v>1200</v>
      </c>
      <c r="G179" s="3">
        <f t="shared" si="72"/>
        <v>6.9183097091893631</v>
      </c>
      <c r="H179" s="3">
        <f t="shared" si="72"/>
        <v>12.108390686820373</v>
      </c>
      <c r="I179" s="3"/>
      <c r="J179" s="3">
        <f t="shared" si="73"/>
        <v>5015.5261925986579</v>
      </c>
      <c r="K179" s="3">
        <f t="shared" si="73"/>
        <v>8778.148593044285</v>
      </c>
      <c r="L179" s="7"/>
      <c r="M179" s="7"/>
      <c r="N179" s="3" t="s">
        <v>53</v>
      </c>
      <c r="O179" s="28">
        <f t="shared" si="59"/>
        <v>2486556288.0716305</v>
      </c>
      <c r="P179" s="28">
        <f t="shared" si="60"/>
        <v>1235208475.8507433</v>
      </c>
      <c r="Q179" s="3"/>
      <c r="R179" s="3"/>
      <c r="S179" s="5"/>
      <c r="T179" s="5"/>
      <c r="U179" s="5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s="2" customFormat="1" x14ac:dyDescent="0.25">
      <c r="A180" s="15" t="s">
        <v>35</v>
      </c>
      <c r="B180" s="2" t="s">
        <v>32</v>
      </c>
      <c r="C180" s="2" t="s">
        <v>12</v>
      </c>
      <c r="D180" s="21">
        <f>SUM(6.564103,
845.128205)</f>
        <v>851.69230800000003</v>
      </c>
      <c r="E180" s="21">
        <v>1280</v>
      </c>
      <c r="F180" s="21">
        <v>1700</v>
      </c>
      <c r="G180" s="3">
        <f t="shared" si="72"/>
        <v>14.76163990041395</v>
      </c>
      <c r="H180" s="3">
        <f t="shared" si="72"/>
        <v>35.275906972016827</v>
      </c>
      <c r="I180" s="3"/>
      <c r="J180" s="3">
        <f t="shared" si="73"/>
        <v>12572.375156648448</v>
      </c>
      <c r="K180" s="3">
        <f t="shared" si="73"/>
        <v>30044.218625790305</v>
      </c>
      <c r="L180" s="7"/>
      <c r="M180" s="7"/>
      <c r="N180" s="3" t="s">
        <v>53</v>
      </c>
      <c r="O180" s="28">
        <f t="shared" si="59"/>
        <v>7041620710.3301401</v>
      </c>
      <c r="P180" s="28">
        <f t="shared" si="60"/>
        <v>2369971651.8276062</v>
      </c>
      <c r="Q180" s="3"/>
      <c r="R180" s="3"/>
      <c r="S180" s="5"/>
      <c r="T180" s="5"/>
      <c r="U180" s="5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s="2" customFormat="1" x14ac:dyDescent="0.25">
      <c r="A181" s="15" t="s">
        <v>35</v>
      </c>
      <c r="B181" s="2" t="s">
        <v>32</v>
      </c>
      <c r="C181" s="2" t="s">
        <v>13</v>
      </c>
      <c r="D181" s="21">
        <f>SUM(12.307692,
1681.025641)</f>
        <v>1693.333333</v>
      </c>
      <c r="E181" s="21">
        <v>1600</v>
      </c>
      <c r="F181" s="21">
        <v>1800</v>
      </c>
      <c r="G181" s="3">
        <f t="shared" si="72"/>
        <v>29.285210277528982</v>
      </c>
      <c r="H181" s="3">
        <f t="shared" si="72"/>
        <v>42.042311984247227</v>
      </c>
      <c r="I181" s="3"/>
      <c r="J181" s="3">
        <f t="shared" si="73"/>
        <v>49589.62272685401</v>
      </c>
      <c r="K181" s="3">
        <f t="shared" si="73"/>
        <v>71191.648279311208</v>
      </c>
      <c r="L181" s="7"/>
      <c r="M181" s="7"/>
      <c r="N181" s="3" t="s">
        <v>53</v>
      </c>
      <c r="O181" s="28">
        <f t="shared" si="59"/>
        <v>14059255650.024397</v>
      </c>
      <c r="P181" s="28">
        <f t="shared" si="60"/>
        <v>8946733957.0256691</v>
      </c>
      <c r="Q181" s="3"/>
      <c r="R181" s="3"/>
      <c r="S181" s="5"/>
      <c r="T181" s="5"/>
      <c r="U181" s="5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s="2" customFormat="1" x14ac:dyDescent="0.25">
      <c r="A182" s="15" t="s">
        <v>35</v>
      </c>
      <c r="B182" s="2" t="s">
        <v>32</v>
      </c>
      <c r="C182" s="2" t="s">
        <v>14</v>
      </c>
      <c r="D182" s="21">
        <f>81.025641</f>
        <v>81.025640999999993</v>
      </c>
      <c r="E182" s="21">
        <v>1400</v>
      </c>
      <c r="F182" s="21">
        <v>1600</v>
      </c>
      <c r="G182" s="3">
        <f t="shared" si="72"/>
        <v>19.436276537345488</v>
      </c>
      <c r="H182" s="3">
        <f t="shared" si="72"/>
        <v>29.285210277528982</v>
      </c>
      <c r="I182" s="3"/>
      <c r="J182" s="3">
        <f t="shared" si="73"/>
        <v>1574.8367650916784</v>
      </c>
      <c r="K182" s="3">
        <f t="shared" si="73"/>
        <v>2372.8529345565735</v>
      </c>
      <c r="L182" s="7"/>
      <c r="M182" s="7"/>
      <c r="N182" s="3" t="s">
        <v>53</v>
      </c>
      <c r="O182" s="28">
        <f t="shared" si="59"/>
        <v>519173983.75235277</v>
      </c>
      <c r="P182" s="28">
        <f t="shared" si="60"/>
        <v>311006041.05433619</v>
      </c>
      <c r="Q182" s="3"/>
      <c r="R182" s="3"/>
      <c r="S182" s="5"/>
      <c r="T182" s="5"/>
      <c r="U182" s="5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s="9" customFormat="1" x14ac:dyDescent="0.25">
      <c r="A183" s="14" t="s">
        <v>35</v>
      </c>
      <c r="B183" s="9" t="s">
        <v>32</v>
      </c>
      <c r="C183" s="9" t="s">
        <v>15</v>
      </c>
      <c r="D183" s="19">
        <f>SUM(D176:D181)</f>
        <v>5077.74359</v>
      </c>
      <c r="E183" s="19"/>
      <c r="F183" s="19"/>
      <c r="G183" s="10"/>
      <c r="H183" s="10"/>
      <c r="I183" s="10"/>
      <c r="J183" s="10"/>
      <c r="K183" s="10"/>
      <c r="L183" s="7">
        <f>SUM(J176:J182)</f>
        <v>73423.171913688624</v>
      </c>
      <c r="M183" s="7">
        <f>SUM(K178:K182)</f>
        <v>119060.23450109424</v>
      </c>
      <c r="N183" s="10"/>
      <c r="O183" s="28" t="e">
        <f t="shared" si="59"/>
        <v>#DIV/0!</v>
      </c>
      <c r="P183" s="28" t="e">
        <f t="shared" si="60"/>
        <v>#DIV/0!</v>
      </c>
      <c r="Q183" s="10">
        <f>SUM(O176:O182)</f>
        <v>26887340196.69907</v>
      </c>
      <c r="R183" s="10">
        <f>SUM(P176:P182)</f>
        <v>14353045991.448895</v>
      </c>
      <c r="S183" s="12"/>
      <c r="T183" s="5"/>
      <c r="U183" s="5"/>
      <c r="V183" s="1"/>
      <c r="W183" s="1"/>
      <c r="X183" s="1"/>
      <c r="Y183" s="1"/>
      <c r="Z183" s="1"/>
      <c r="AA183" s="1"/>
      <c r="AB183" s="11"/>
      <c r="AC183" s="11"/>
      <c r="AD183" s="11"/>
      <c r="AE183" s="11"/>
      <c r="AF183" s="11"/>
      <c r="AG183" s="11"/>
    </row>
    <row r="184" spans="1:33" s="11" customFormat="1" x14ac:dyDescent="0.25">
      <c r="A184" s="17" t="s">
        <v>35</v>
      </c>
      <c r="B184" s="11" t="s">
        <v>33</v>
      </c>
      <c r="C184" s="11" t="s">
        <v>4</v>
      </c>
      <c r="D184" s="20">
        <f>SUM(220.936752,
157.948718)</f>
        <v>378.88547000000005</v>
      </c>
      <c r="E184" s="20">
        <v>31</v>
      </c>
      <c r="F184" s="20">
        <v>31</v>
      </c>
      <c r="G184" s="12">
        <f>0.4*(0.0049*(E184)^2.957)</f>
        <v>50.374714760229551</v>
      </c>
      <c r="H184" s="12">
        <f>0.4*(0.0049*(F184)^2.957)</f>
        <v>50.374714760229551</v>
      </c>
      <c r="I184" s="12" t="s">
        <v>43</v>
      </c>
      <c r="J184" s="12">
        <f>G184*$D184</f>
        <v>19086.247478045512</v>
      </c>
      <c r="K184" s="12">
        <f>H184*$D184</f>
        <v>19086.247478045512</v>
      </c>
      <c r="L184" s="8">
        <f>J184</f>
        <v>19086.247478045512</v>
      </c>
      <c r="M184" s="8">
        <f>K184</f>
        <v>19086.247478045512</v>
      </c>
      <c r="N184" s="12" t="s">
        <v>51</v>
      </c>
      <c r="O184" s="28">
        <f t="shared" si="59"/>
        <v>3291264362.955225</v>
      </c>
      <c r="P184" s="28">
        <f t="shared" si="60"/>
        <v>3291264362.955225</v>
      </c>
      <c r="Q184" s="12">
        <f>O184</f>
        <v>3291264362.955225</v>
      </c>
      <c r="R184" s="12">
        <f>P184</f>
        <v>3291264362.955225</v>
      </c>
      <c r="S184" s="12"/>
      <c r="T184" s="12"/>
      <c r="U184" s="12"/>
      <c r="V184" s="1"/>
      <c r="W184" s="1"/>
      <c r="X184" s="1"/>
      <c r="Y184" s="1"/>
      <c r="Z184" s="1"/>
      <c r="AA184" s="1"/>
    </row>
    <row r="185" spans="1:33" s="2" customFormat="1" x14ac:dyDescent="0.25">
      <c r="A185" s="15" t="s">
        <v>35</v>
      </c>
      <c r="B185" s="2" t="s">
        <v>34</v>
      </c>
      <c r="C185" s="2" t="s">
        <v>12</v>
      </c>
      <c r="D185" s="21">
        <f>102.564103</f>
        <v>102.564103</v>
      </c>
      <c r="E185" s="21">
        <v>2300</v>
      </c>
      <c r="F185" s="21">
        <v>3300</v>
      </c>
      <c r="G185" s="3">
        <f t="shared" ref="G185:H187" si="74">9.4676*10^-7*(E185*10^-3*1000)^2.16</f>
        <v>17.281125603941639</v>
      </c>
      <c r="H185" s="3">
        <f t="shared" si="74"/>
        <v>37.690336175684003</v>
      </c>
      <c r="I185" s="3" t="s">
        <v>44</v>
      </c>
      <c r="J185" s="3">
        <f t="shared" ref="J185:K187" si="75">G185*$D185</f>
        <v>1772.4231463986075</v>
      </c>
      <c r="K185" s="3">
        <f t="shared" si="75"/>
        <v>3865.6755216274801</v>
      </c>
      <c r="L185" s="7">
        <f>J185</f>
        <v>1772.4231463986075</v>
      </c>
      <c r="M185" s="7">
        <f>K185</f>
        <v>3865.6755216274801</v>
      </c>
      <c r="N185" s="3" t="s">
        <v>53</v>
      </c>
      <c r="O185" s="28">
        <f t="shared" si="59"/>
        <v>871019257.94411957</v>
      </c>
      <c r="P185" s="28">
        <f t="shared" si="60"/>
        <v>328628539.56046897</v>
      </c>
      <c r="Q185" s="3"/>
      <c r="R185" s="3"/>
      <c r="S185" s="5"/>
      <c r="T185" s="12"/>
      <c r="U185" s="12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s="2" customFormat="1" x14ac:dyDescent="0.25">
      <c r="A186" s="15" t="s">
        <v>35</v>
      </c>
      <c r="B186" s="2" t="s">
        <v>34</v>
      </c>
      <c r="C186" s="2" t="s">
        <v>13</v>
      </c>
      <c r="D186" s="21">
        <f>SUM(81.28547,
7620.512821)</f>
        <v>7701.7982910000001</v>
      </c>
      <c r="E186" s="21">
        <v>400</v>
      </c>
      <c r="F186" s="21">
        <v>450</v>
      </c>
      <c r="G186" s="3">
        <f t="shared" si="74"/>
        <v>0.3950840365236063</v>
      </c>
      <c r="H186" s="3">
        <f t="shared" si="74"/>
        <v>0.50954076026517292</v>
      </c>
      <c r="I186" s="3"/>
      <c r="J186" s="3">
        <f t="shared" si="75"/>
        <v>3042.8575572988925</v>
      </c>
      <c r="K186" s="3">
        <f t="shared" si="75"/>
        <v>3924.3801566051498</v>
      </c>
      <c r="L186" s="7">
        <f t="shared" ref="L186:L187" si="76">J186</f>
        <v>3042.8575572988925</v>
      </c>
      <c r="M186" s="7">
        <f t="shared" ref="M186:M187" si="77">K186</f>
        <v>3924.3801566051498</v>
      </c>
      <c r="N186" s="3" t="s">
        <v>53</v>
      </c>
      <c r="O186" s="28">
        <f t="shared" si="59"/>
        <v>2274018885.5475011</v>
      </c>
      <c r="P186" s="28">
        <f t="shared" si="60"/>
        <v>1654558993.2951872</v>
      </c>
      <c r="Q186" s="3"/>
      <c r="R186" s="3"/>
      <c r="S186" s="5"/>
      <c r="T186" s="5"/>
      <c r="U186" s="5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s="2" customFormat="1" x14ac:dyDescent="0.25">
      <c r="A187" s="15" t="s">
        <v>35</v>
      </c>
      <c r="B187" s="2" t="s">
        <v>34</v>
      </c>
      <c r="C187" s="2" t="s">
        <v>14</v>
      </c>
      <c r="D187" s="21">
        <f>143.589744</f>
        <v>143.589744</v>
      </c>
      <c r="E187" s="21">
        <v>292</v>
      </c>
      <c r="F187" s="21">
        <v>315</v>
      </c>
      <c r="G187" s="3">
        <f t="shared" si="74"/>
        <v>0.20020128473370938</v>
      </c>
      <c r="H187" s="3">
        <f t="shared" si="74"/>
        <v>0.23582546375970134</v>
      </c>
      <c r="I187" s="3"/>
      <c r="J187" s="3">
        <f t="shared" si="75"/>
        <v>28.746851223384436</v>
      </c>
      <c r="K187" s="3">
        <f>H187*$D187</f>
        <v>33.86211796993679</v>
      </c>
      <c r="L187" s="7">
        <f t="shared" si="76"/>
        <v>28.746851223384436</v>
      </c>
      <c r="M187" s="7">
        <f t="shared" si="77"/>
        <v>33.86211796993679</v>
      </c>
      <c r="N187" s="3" t="s">
        <v>53</v>
      </c>
      <c r="O187" s="28">
        <f t="shared" si="59"/>
        <v>23256415.074600715</v>
      </c>
      <c r="P187" s="28">
        <f t="shared" si="60"/>
        <v>18951254.928156529</v>
      </c>
      <c r="Q187" s="3"/>
      <c r="R187" s="3"/>
      <c r="S187" s="5"/>
      <c r="T187" s="5"/>
      <c r="U187" s="5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s="9" customFormat="1" x14ac:dyDescent="0.25">
      <c r="A188" s="14" t="s">
        <v>35</v>
      </c>
      <c r="B188" s="9" t="s">
        <v>34</v>
      </c>
      <c r="C188" s="9" t="s">
        <v>15</v>
      </c>
      <c r="D188" s="19">
        <f>SUM(D185:D187)</f>
        <v>7947.9521379999996</v>
      </c>
      <c r="E188" s="19"/>
      <c r="F188" s="19"/>
      <c r="G188" s="10"/>
      <c r="H188" s="10"/>
      <c r="I188" s="10"/>
      <c r="J188" s="10"/>
      <c r="K188" s="10"/>
      <c r="L188" s="7">
        <f>SUM(L185:L187)</f>
        <v>4844.0275549208845</v>
      </c>
      <c r="M188" s="7">
        <f>SUM(M185:M187)</f>
        <v>7823.917796202566</v>
      </c>
      <c r="N188" s="10"/>
      <c r="O188" s="10"/>
      <c r="P188" s="10"/>
      <c r="Q188" s="10">
        <f>SUM(O185:O187)</f>
        <v>3168294558.5662212</v>
      </c>
      <c r="R188" s="10">
        <f>SUM(P185:P187)</f>
        <v>2002138787.7838128</v>
      </c>
      <c r="S188" s="12"/>
      <c r="T188" s="5"/>
      <c r="U188" s="5"/>
      <c r="V188" s="1"/>
      <c r="W188" s="1"/>
      <c r="X188" s="1"/>
      <c r="Y188" s="1"/>
      <c r="Z188" s="1"/>
      <c r="AA188" s="1"/>
      <c r="AB188" s="11"/>
      <c r="AC188" s="11"/>
      <c r="AD188" s="11"/>
      <c r="AE188" s="11"/>
      <c r="AF188" s="11"/>
      <c r="AG188" s="11"/>
    </row>
    <row r="189" spans="1:33" x14ac:dyDescent="0.25">
      <c r="T189" s="12"/>
      <c r="U189" s="12"/>
    </row>
  </sheetData>
  <mergeCells count="2">
    <mergeCell ref="T3:T5"/>
    <mergeCell ref="T7:T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89"/>
  <sheetViews>
    <sheetView tabSelected="1" workbookViewId="0">
      <pane xSplit="3" ySplit="1" topLeftCell="H157" activePane="bottomRight" state="frozen"/>
      <selection pane="topRight" activeCell="D1" sqref="D1"/>
      <selection pane="bottomLeft" activeCell="A2" sqref="A2"/>
      <selection pane="bottomRight" activeCell="P187" sqref="P187"/>
    </sheetView>
  </sheetViews>
  <sheetFormatPr defaultColWidth="11.25" defaultRowHeight="15.75" x14ac:dyDescent="0.25"/>
  <cols>
    <col min="2" max="2" width="24" customWidth="1"/>
    <col min="4" max="4" width="11.75" style="18" bestFit="1" customWidth="1"/>
    <col min="5" max="5" width="15.25" style="18" customWidth="1"/>
    <col min="6" max="6" width="10.75" style="18"/>
    <col min="7" max="7" width="22.25" style="4" customWidth="1"/>
    <col min="8" max="8" width="22.75" style="4" bestFit="1" customWidth="1"/>
    <col min="9" max="9" width="22.25" style="4" customWidth="1"/>
    <col min="10" max="10" width="15.875" style="4" bestFit="1" customWidth="1"/>
    <col min="11" max="11" width="16.75" style="4" bestFit="1" customWidth="1"/>
    <col min="12" max="12" width="10.75" style="6"/>
    <col min="13" max="13" width="14.25" style="6" customWidth="1"/>
    <col min="14" max="15" width="10.75" style="4"/>
    <col min="16" max="16" width="24.5" style="4" customWidth="1"/>
    <col min="17" max="21" width="19.75" style="4" customWidth="1"/>
    <col min="22" max="22" width="18.5" style="4" customWidth="1"/>
    <col min="23" max="23" width="11.5" style="1" customWidth="1"/>
    <col min="24" max="25" width="10.75" style="1"/>
    <col min="26" max="26" width="15.5" style="1" customWidth="1"/>
    <col min="27" max="27" width="10.75" style="1"/>
    <col min="28" max="28" width="17.25" style="1" customWidth="1"/>
  </cols>
  <sheetData>
    <row r="1" spans="1:31" x14ac:dyDescent="0.25">
      <c r="A1" t="s">
        <v>5</v>
      </c>
      <c r="B1" t="s">
        <v>0</v>
      </c>
      <c r="C1" t="s">
        <v>1</v>
      </c>
      <c r="D1" s="18" t="s">
        <v>2</v>
      </c>
      <c r="E1" s="18" t="s">
        <v>45</v>
      </c>
      <c r="F1" s="18" t="s">
        <v>58</v>
      </c>
      <c r="G1" s="4" t="s">
        <v>36</v>
      </c>
      <c r="H1" s="4" t="s">
        <v>37</v>
      </c>
      <c r="I1" s="4" t="s">
        <v>40</v>
      </c>
      <c r="J1" s="4" t="s">
        <v>38</v>
      </c>
      <c r="K1" s="4" t="s">
        <v>39</v>
      </c>
      <c r="L1" s="6" t="s">
        <v>49</v>
      </c>
      <c r="N1" s="4" t="s">
        <v>50</v>
      </c>
      <c r="O1" s="4" t="s">
        <v>81</v>
      </c>
      <c r="P1" s="50" t="s">
        <v>88</v>
      </c>
      <c r="Q1" s="50" t="s">
        <v>89</v>
      </c>
      <c r="R1" s="50"/>
      <c r="S1" s="50"/>
      <c r="T1" s="50" t="s">
        <v>90</v>
      </c>
      <c r="U1" s="50" t="s">
        <v>91</v>
      </c>
      <c r="V1" s="50"/>
      <c r="W1" s="39"/>
      <c r="X1" s="40"/>
      <c r="Y1" s="40" t="s">
        <v>85</v>
      </c>
      <c r="Z1" s="41"/>
      <c r="AA1" s="40" t="s">
        <v>86</v>
      </c>
      <c r="AB1" s="42"/>
    </row>
    <row r="2" spans="1:31" s="31" customFormat="1" x14ac:dyDescent="0.25">
      <c r="A2" s="31" t="s">
        <v>6</v>
      </c>
      <c r="B2" s="31" t="s">
        <v>3</v>
      </c>
      <c r="C2" s="31" t="s">
        <v>4</v>
      </c>
      <c r="D2" s="32">
        <f>163.65714+32.65306</f>
        <v>196.31020000000001</v>
      </c>
      <c r="E2" s="32">
        <v>10</v>
      </c>
      <c r="F2" s="32">
        <v>22</v>
      </c>
      <c r="G2" s="33">
        <f>0.17*(0.00194*(E2)^3.05)*1000</f>
        <v>370.04168622878763</v>
      </c>
      <c r="H2" s="33">
        <f>0.17*(0.00194*(F2)^3.05)*1000</f>
        <v>4098.640506337576</v>
      </c>
      <c r="I2" s="33" t="s">
        <v>43</v>
      </c>
      <c r="J2" s="33">
        <f>G2*D2</f>
        <v>72642.957431910545</v>
      </c>
      <c r="K2" s="33">
        <f>D2*H2</f>
        <v>804604.93752723082</v>
      </c>
      <c r="L2" s="34">
        <f>J2</f>
        <v>72642.957431910545</v>
      </c>
      <c r="M2" s="34">
        <f>K2</f>
        <v>804604.93752723082</v>
      </c>
      <c r="N2" s="33" t="s">
        <v>51</v>
      </c>
      <c r="O2" s="33"/>
      <c r="P2" s="33"/>
      <c r="Q2" s="33"/>
      <c r="R2" s="33"/>
      <c r="S2" s="33"/>
      <c r="T2" s="33"/>
      <c r="U2" s="33"/>
      <c r="V2" s="33"/>
      <c r="W2" s="43"/>
      <c r="X2" s="37"/>
      <c r="Y2" s="17" t="s">
        <v>67</v>
      </c>
      <c r="Z2" s="17" t="s">
        <v>68</v>
      </c>
      <c r="AA2" s="17" t="s">
        <v>67</v>
      </c>
      <c r="AB2" s="44" t="s">
        <v>68</v>
      </c>
      <c r="AC2" s="33"/>
      <c r="AD2" s="33"/>
      <c r="AE2" s="33"/>
    </row>
    <row r="3" spans="1:31" s="11" customFormat="1" x14ac:dyDescent="0.25">
      <c r="A3" s="11" t="s">
        <v>6</v>
      </c>
      <c r="B3" s="11" t="s">
        <v>7</v>
      </c>
      <c r="C3" s="11" t="s">
        <v>4</v>
      </c>
      <c r="D3" s="20">
        <f>206.17143+156.734694</f>
        <v>362.90612399999998</v>
      </c>
      <c r="E3" s="20">
        <v>3</v>
      </c>
      <c r="F3" s="20">
        <v>3.5</v>
      </c>
      <c r="G3" s="12">
        <f>((0.0228*(E3)^2.3698)/0.9)*0.4*1000</f>
        <v>136.90971875758837</v>
      </c>
      <c r="H3" s="12">
        <f>((0.0228*(F3)^2.3698)/0.9)*0.4*1000</f>
        <v>197.28078183567442</v>
      </c>
      <c r="I3" s="12" t="s">
        <v>46</v>
      </c>
      <c r="J3" s="12">
        <f>G3*D3</f>
        <v>49685.375372246483</v>
      </c>
      <c r="K3" s="12">
        <f>H3*E3</f>
        <v>591.84234550702331</v>
      </c>
      <c r="L3" s="8">
        <f>J3</f>
        <v>49685.375372246483</v>
      </c>
      <c r="M3" s="8">
        <f>K3</f>
        <v>591.84234550702331</v>
      </c>
      <c r="N3" s="12" t="s">
        <v>51</v>
      </c>
      <c r="O3" s="12"/>
      <c r="P3" s="12"/>
      <c r="Q3" s="12"/>
      <c r="R3" s="12"/>
      <c r="S3" s="12"/>
      <c r="T3" s="12"/>
      <c r="U3" s="12"/>
      <c r="V3" s="12"/>
      <c r="W3" s="64" t="s">
        <v>79</v>
      </c>
      <c r="X3" s="37" t="s">
        <v>74</v>
      </c>
      <c r="Y3" s="37">
        <f>SUM(U30,U34,U71)</f>
        <v>2573.2622984563623</v>
      </c>
      <c r="Z3" s="37">
        <f>SUM(T30,T34,T71)</f>
        <v>5213.4336817014</v>
      </c>
      <c r="AA3" s="37">
        <f>Y3*30*10^-6</f>
        <v>7.7197868953690865E-2</v>
      </c>
      <c r="AB3" s="37">
        <f>Z3*30*10^-6</f>
        <v>0.15640301045104199</v>
      </c>
    </row>
    <row r="4" spans="1:31" s="2" customFormat="1" x14ac:dyDescent="0.25">
      <c r="A4" s="2" t="s">
        <v>6</v>
      </c>
      <c r="B4" s="2" t="s">
        <v>8</v>
      </c>
      <c r="C4" s="2" t="s">
        <v>9</v>
      </c>
      <c r="D4" s="21">
        <f>838.095238</f>
        <v>838.09523799999999</v>
      </c>
      <c r="E4" s="21">
        <v>730</v>
      </c>
      <c r="F4" s="21">
        <v>1200</v>
      </c>
      <c r="G4" s="3">
        <f>0.0048*(E4*10^-3)^3.5687*1000</f>
        <v>1.561282631007372</v>
      </c>
      <c r="H4" s="3">
        <f>0.0048*(F4*10^-3)^3.5687*1000</f>
        <v>9.2005830554977788</v>
      </c>
      <c r="I4" s="3" t="s">
        <v>47</v>
      </c>
      <c r="J4" s="3">
        <f>G4*$D4</f>
        <v>1308.5035382193896</v>
      </c>
      <c r="K4" s="3">
        <f t="shared" ref="K4:K8" si="0">H4*$D4</f>
        <v>7710.9648456361783</v>
      </c>
      <c r="N4" s="3" t="s">
        <v>52</v>
      </c>
      <c r="O4" s="3" t="s">
        <v>82</v>
      </c>
      <c r="P4" s="3">
        <f>10^(-0.0143*(-1.17)+((-0.363)*LOG10(G4))+0.135*(LOG10(0.98))-0.105)</f>
        <v>0.69232932186507967</v>
      </c>
      <c r="Q4" s="3">
        <f>10^(-0.0143*(-1.17)+((-0.363)*LOG10(H4))+0.135*(LOG10(0.98))-0.105)</f>
        <v>0.36364828866541843</v>
      </c>
      <c r="R4" s="3">
        <f>P4*K4</f>
        <v>5338.5270625047642</v>
      </c>
      <c r="S4" s="3">
        <f>Q4*J4</f>
        <v>475.83507238612594</v>
      </c>
      <c r="T4" s="3"/>
      <c r="U4" s="3"/>
      <c r="W4" s="64"/>
      <c r="X4" s="16" t="s">
        <v>75</v>
      </c>
      <c r="Y4" s="38">
        <f>SUM(U9,U16,U23)</f>
        <v>118403.45362743062</v>
      </c>
      <c r="Z4" s="38">
        <f>SUM(T9,T16,T23)</f>
        <v>422546.09608892142</v>
      </c>
      <c r="AA4" s="37">
        <f>Y4*30*10^-6</f>
        <v>3.5521036088229185</v>
      </c>
      <c r="AB4" s="37">
        <f>Z4*30*10^-6</f>
        <v>12.676382882667642</v>
      </c>
    </row>
    <row r="5" spans="1:31" s="2" customFormat="1" x14ac:dyDescent="0.25">
      <c r="A5" s="2" t="s">
        <v>6</v>
      </c>
      <c r="B5" s="2" t="s">
        <v>8</v>
      </c>
      <c r="C5" s="2" t="s">
        <v>10</v>
      </c>
      <c r="D5" s="21">
        <f>304.761905</f>
        <v>304.76190500000001</v>
      </c>
      <c r="E5" s="21">
        <v>1000</v>
      </c>
      <c r="F5" s="21">
        <v>1300</v>
      </c>
      <c r="G5" s="3">
        <f t="shared" ref="G5" si="1">0.0048*(E5*10^-3)^3.5687*1000</f>
        <v>4.8</v>
      </c>
      <c r="H5" s="3">
        <f>0.0048*(F5*10^-3)^3.5687*1000</f>
        <v>12.242521594866513</v>
      </c>
      <c r="I5" s="3"/>
      <c r="J5" s="3">
        <f>G5*$D5</f>
        <v>1462.8571440000001</v>
      </c>
      <c r="K5" s="3">
        <f t="shared" si="0"/>
        <v>3731.0542032551571</v>
      </c>
      <c r="L5" s="7"/>
      <c r="M5" s="7"/>
      <c r="N5" s="3" t="s">
        <v>52</v>
      </c>
      <c r="O5" s="3" t="s">
        <v>82</v>
      </c>
      <c r="P5" s="3">
        <f>10^(-0.0143*(-1.17)+((-0.363)*LOG10(G5))+0.135*(LOG10(0.98))-0.105)</f>
        <v>0.46052790531391713</v>
      </c>
      <c r="Q5" s="3">
        <f t="shared" ref="Q5:Q6" si="2">10^(-0.0143*(-1.17)+((-0.363)*LOG10(H5))+0.135*(LOG10(0.98))-0.105)</f>
        <v>0.32783052653056372</v>
      </c>
      <c r="R5" s="3">
        <f t="shared" ref="R5:R8" si="3">P5*K5</f>
        <v>1718.2545768377836</v>
      </c>
      <c r="S5" s="3">
        <f t="shared" ref="S5:S8" si="4">Q5*J5</f>
        <v>479.56922775651668</v>
      </c>
      <c r="T5" s="3"/>
      <c r="U5" s="3"/>
      <c r="V5" s="3"/>
      <c r="W5" s="64"/>
      <c r="X5" s="38" t="s">
        <v>76</v>
      </c>
      <c r="Y5" s="38">
        <f>SUM(U41,U50,U56,U64,U65,U80,U87,U91)</f>
        <v>16917.96708687496</v>
      </c>
      <c r="Z5" s="38">
        <f>SUM(T41,T50,T56,T64,T65,T80,T87,T91)</f>
        <v>39426.122422944296</v>
      </c>
      <c r="AA5" s="37">
        <f>Y5*30*10^-6</f>
        <v>0.50753901260624878</v>
      </c>
      <c r="AB5" s="37">
        <f t="shared" ref="AB5" si="5">Z5*30*10^-6</f>
        <v>1.1827836726883287</v>
      </c>
    </row>
    <row r="6" spans="1:31" s="2" customFormat="1" x14ac:dyDescent="0.25">
      <c r="A6" s="2" t="s">
        <v>6</v>
      </c>
      <c r="B6" s="2" t="s">
        <v>8</v>
      </c>
      <c r="C6" s="2" t="s">
        <v>12</v>
      </c>
      <c r="D6" s="21">
        <f>723.657143+428.843537</f>
        <v>1152.5006800000001</v>
      </c>
      <c r="E6" s="21">
        <v>2000</v>
      </c>
      <c r="F6" s="21">
        <v>3000</v>
      </c>
      <c r="G6" s="3">
        <f>0.0048*(E6*10^-3)^3.5687*1000</f>
        <v>56.954360901634594</v>
      </c>
      <c r="H6" s="3">
        <f>0.0048*(F6*10^-3)^3.5687*1000</f>
        <v>242.07161024415183</v>
      </c>
      <c r="I6" s="3"/>
      <c r="J6" s="3">
        <f>G6*$D6</f>
        <v>65639.939668099294</v>
      </c>
      <c r="K6" s="3">
        <f t="shared" si="0"/>
        <v>278987.69541507994</v>
      </c>
      <c r="L6" s="7"/>
      <c r="M6" s="7"/>
      <c r="N6" s="3" t="s">
        <v>52</v>
      </c>
      <c r="O6" s="3" t="s">
        <v>82</v>
      </c>
      <c r="P6" s="3">
        <f>10^(-0.0143*(-1.17)+((-0.363)*LOG10(G6))+0.135*(LOG10(0.98))-0.105)</f>
        <v>0.18762479270441504</v>
      </c>
      <c r="Q6" s="3">
        <f t="shared" si="2"/>
        <v>0.11096215928514569</v>
      </c>
      <c r="R6" s="3">
        <f t="shared" si="3"/>
        <v>52345.008519336858</v>
      </c>
      <c r="S6" s="3">
        <f t="shared" si="4"/>
        <v>7283.5494409189869</v>
      </c>
      <c r="T6" s="3"/>
      <c r="U6" s="3"/>
      <c r="V6" s="3"/>
      <c r="W6" s="46"/>
      <c r="X6" s="38"/>
      <c r="Y6" s="38"/>
      <c r="Z6" s="38"/>
      <c r="AA6" s="59">
        <f>SUM(AA3:AA5)</f>
        <v>4.1368404903828582</v>
      </c>
      <c r="AB6" s="59">
        <f>SUM(AB3:AB5)</f>
        <v>14.015569565807013</v>
      </c>
    </row>
    <row r="7" spans="1:31" s="2" customFormat="1" x14ac:dyDescent="0.25">
      <c r="A7" s="2" t="s">
        <v>6</v>
      </c>
      <c r="B7" s="2" t="s">
        <v>8</v>
      </c>
      <c r="C7" s="2" t="s">
        <v>13</v>
      </c>
      <c r="D7" s="21">
        <f>1107.961905+129.52381</f>
        <v>1237.4857149999998</v>
      </c>
      <c r="E7" s="21">
        <v>1860</v>
      </c>
      <c r="F7" s="21">
        <v>3200</v>
      </c>
      <c r="G7" s="3">
        <f t="shared" ref="G7:G8" si="6">0.0048*(E7*10^-3)^3.5687*1000</f>
        <v>43.959432925065776</v>
      </c>
      <c r="H7" s="3">
        <f>0.0048*(F7*10^-3)^3.5687*1000</f>
        <v>304.7684210199219</v>
      </c>
      <c r="I7" s="3"/>
      <c r="J7" s="3">
        <f>G7*$D7</f>
        <v>54399.170284269552</v>
      </c>
      <c r="K7" s="3">
        <f t="shared" si="0"/>
        <v>377146.56739525904</v>
      </c>
      <c r="L7" s="7"/>
      <c r="M7" s="7"/>
      <c r="N7" s="3" t="s">
        <v>52</v>
      </c>
      <c r="O7" s="3" t="s">
        <v>82</v>
      </c>
      <c r="P7" s="5">
        <f>10^(0.0125*(-1.17)+(-0.23)*LOG10(G7)+0.729*LOG10(0.98)-1.348)</f>
        <v>1.7909226557457528E-2</v>
      </c>
      <c r="Q7" s="5">
        <f>10^(0.0125*(-1.17)+(-0.23)*LOG10(H7)+0.729*LOG10(0.98)-1.348)</f>
        <v>1.1472702110062851E-2</v>
      </c>
      <c r="R7" s="3">
        <f t="shared" si="3"/>
        <v>6754.4033208491192</v>
      </c>
      <c r="S7" s="3">
        <f t="shared" si="4"/>
        <v>624.10547570600761</v>
      </c>
      <c r="T7" s="3"/>
      <c r="U7" s="3"/>
      <c r="V7" s="3"/>
      <c r="W7" s="64" t="s">
        <v>78</v>
      </c>
      <c r="X7" s="37" t="s">
        <v>74</v>
      </c>
      <c r="Y7" s="38">
        <f>SUM(U123,U128,U167)</f>
        <v>2961.6332494363396</v>
      </c>
      <c r="Z7" s="38">
        <f>SUM(T123,T128,T167)</f>
        <v>7463.72116292592</v>
      </c>
      <c r="AA7" s="37">
        <f>Y7*30*10^-6</f>
        <v>8.8848997483090192E-2</v>
      </c>
      <c r="AB7" s="45">
        <f t="shared" ref="AB7:AB9" si="7">Z7*30*10^-6</f>
        <v>0.22391163488777757</v>
      </c>
    </row>
    <row r="8" spans="1:31" s="2" customFormat="1" x14ac:dyDescent="0.25">
      <c r="A8" s="2" t="s">
        <v>6</v>
      </c>
      <c r="B8" s="2" t="s">
        <v>8</v>
      </c>
      <c r="C8" s="2" t="s">
        <v>14</v>
      </c>
      <c r="D8" s="21">
        <f>12.647619</f>
        <v>12.647619000000001</v>
      </c>
      <c r="E8" s="21">
        <v>1950</v>
      </c>
      <c r="F8" s="21">
        <v>2800</v>
      </c>
      <c r="G8" s="3">
        <f t="shared" si="6"/>
        <v>52.034064977684302</v>
      </c>
      <c r="H8" s="3">
        <f>0.0048*(F8*10^-3)^3.5687*1000</f>
        <v>189.24050739954041</v>
      </c>
      <c r="I8" s="3"/>
      <c r="J8" s="3">
        <f>G8*$D8</f>
        <v>658.10702885899457</v>
      </c>
      <c r="K8" s="3">
        <f t="shared" si="0"/>
        <v>2393.4418369560681</v>
      </c>
      <c r="L8" s="7"/>
      <c r="M8" s="7"/>
      <c r="N8" s="3" t="s">
        <v>52</v>
      </c>
      <c r="O8" s="3" t="s">
        <v>82</v>
      </c>
      <c r="P8" s="5">
        <f>10^(0.0125*(-1.17)+(-0.23)*LOG10(G8)+0.729*LOG10(0.98)-1.348)</f>
        <v>1.7227911239076896E-2</v>
      </c>
      <c r="Q8" s="5">
        <f>10^(0.0125*(-1.17)+(-0.23)*LOG10(H8)+0.729*LOG10(0.98)-1.348)</f>
        <v>1.280163868049012E-2</v>
      </c>
      <c r="R8" s="3">
        <f t="shared" si="3"/>
        <v>41.234003522972294</v>
      </c>
      <c r="S8" s="3">
        <f t="shared" si="4"/>
        <v>8.424848396543732</v>
      </c>
      <c r="T8" s="3"/>
      <c r="U8" s="3"/>
      <c r="V8" s="3"/>
      <c r="W8" s="64"/>
      <c r="X8" s="16" t="s">
        <v>75</v>
      </c>
      <c r="Y8" s="38">
        <f>SUM(U100,U108,U116)</f>
        <v>131681.18884385281</v>
      </c>
      <c r="Z8" s="38">
        <f>SUM(T100,T108,T116)</f>
        <v>336075.16716953384</v>
      </c>
      <c r="AA8" s="37">
        <f>Y8*30*10^-6</f>
        <v>3.9504356653155841</v>
      </c>
      <c r="AB8" s="45">
        <f t="shared" si="7"/>
        <v>10.082255015086016</v>
      </c>
    </row>
    <row r="9" spans="1:31" s="9" customFormat="1" x14ac:dyDescent="0.25">
      <c r="A9" s="9" t="s">
        <v>6</v>
      </c>
      <c r="B9" s="9" t="s">
        <v>8</v>
      </c>
      <c r="C9" s="9" t="s">
        <v>15</v>
      </c>
      <c r="D9" s="19">
        <f>SUM(1844.266667,1701.22449)</f>
        <v>3545.4911570000004</v>
      </c>
      <c r="E9" s="19"/>
      <c r="F9" s="19"/>
      <c r="G9" s="10"/>
      <c r="H9" s="10"/>
      <c r="I9" s="10"/>
      <c r="J9" s="10"/>
      <c r="K9" s="10"/>
      <c r="L9" s="7">
        <f>SUM(J4:J8)</f>
        <v>123468.57766344723</v>
      </c>
      <c r="M9" s="7">
        <f>SUM(K4:K8)</f>
        <v>669969.72369618632</v>
      </c>
      <c r="N9" s="10"/>
      <c r="O9" s="10"/>
      <c r="P9" s="10"/>
      <c r="Q9" s="10"/>
      <c r="R9" s="10"/>
      <c r="S9" s="10"/>
      <c r="T9" s="10">
        <f>SUM(R4:R8)</f>
        <v>66197.427483051491</v>
      </c>
      <c r="U9" s="10">
        <f>SUM(S4:S8)</f>
        <v>8871.4840651641807</v>
      </c>
      <c r="V9" s="10"/>
      <c r="W9" s="65"/>
      <c r="X9" s="47" t="s">
        <v>76</v>
      </c>
      <c r="Y9" s="47">
        <f>SUM(U135,U144,U152,U160,U161,U175,U183,U188)</f>
        <v>45950.841552901926</v>
      </c>
      <c r="Z9" s="47">
        <f>SUM(T135,T144,T152,T160,T161,T175,T183,T188)</f>
        <v>116830.0246186938</v>
      </c>
      <c r="AA9" s="48">
        <f>Y9*30*10^-6</f>
        <v>1.3785252465870577</v>
      </c>
      <c r="AB9" s="49">
        <f t="shared" si="7"/>
        <v>3.504900738560814</v>
      </c>
    </row>
    <row r="10" spans="1:31" s="1" customFormat="1" x14ac:dyDescent="0.25">
      <c r="A10" s="1" t="s">
        <v>6</v>
      </c>
      <c r="B10" s="1" t="s">
        <v>16</v>
      </c>
      <c r="C10" s="1" t="s">
        <v>18</v>
      </c>
      <c r="D10" s="22">
        <f>SUM(11.428571,
876.190476)</f>
        <v>887.61904700000002</v>
      </c>
      <c r="E10" s="22">
        <v>600</v>
      </c>
      <c r="F10" s="22">
        <v>1000</v>
      </c>
      <c r="G10" s="5">
        <f>4.742*(E10*10^-3)^3.452</f>
        <v>0.81309195862009598</v>
      </c>
      <c r="H10" s="5">
        <f>4.742*(F10*10^-3)^3.452</f>
        <v>4.742</v>
      </c>
      <c r="I10" s="5" t="s">
        <v>41</v>
      </c>
      <c r="J10" s="5">
        <f>G10*$D10</f>
        <v>721.71590943373303</v>
      </c>
      <c r="K10" s="5">
        <f>H10*$D10</f>
        <v>4209.0895208740003</v>
      </c>
      <c r="N10" s="5" t="s">
        <v>52</v>
      </c>
      <c r="O10" s="30" t="s">
        <v>82</v>
      </c>
      <c r="P10" s="5">
        <f>10^(-0.0143*(-1.17)+((-0.363)*LOG10(G10))+0.135*(LOG10(0.98))-0.105)</f>
        <v>0.87733573982282775</v>
      </c>
      <c r="Q10" s="5">
        <f>10^(-0.0143*(-1.17)+((-0.363)*LOG10(H10))+0.135*(LOG10(0.98))-0.105)</f>
        <v>0.46256468998356876</v>
      </c>
      <c r="R10" s="5">
        <f>P10*K10</f>
        <v>3692.7846687765027</v>
      </c>
      <c r="S10" s="5">
        <f>Q10*J10</f>
        <v>333.84029590342408</v>
      </c>
      <c r="T10" s="5"/>
      <c r="U10" s="5"/>
      <c r="W10" s="12"/>
      <c r="X10" s="12"/>
      <c r="Y10" s="12"/>
      <c r="Z10" s="12"/>
      <c r="AA10" s="58">
        <f>SUM(AA7:AA9)</f>
        <v>5.4178099093857313</v>
      </c>
      <c r="AB10" s="58">
        <f>SUM(AB7:AB9)</f>
        <v>13.811067388534607</v>
      </c>
    </row>
    <row r="11" spans="1:31" s="1" customFormat="1" x14ac:dyDescent="0.25">
      <c r="A11" s="1" t="s">
        <v>6</v>
      </c>
      <c r="B11" s="1" t="s">
        <v>16</v>
      </c>
      <c r="C11" s="1" t="s">
        <v>9</v>
      </c>
      <c r="D11" s="22">
        <f>480</f>
        <v>480</v>
      </c>
      <c r="E11" s="22">
        <v>1100</v>
      </c>
      <c r="F11" s="22">
        <v>1370</v>
      </c>
      <c r="G11" s="5">
        <f t="shared" ref="G11:G15" si="8">4.742*(E11*10^-3)^3.452</f>
        <v>6.5894489660089315</v>
      </c>
      <c r="H11" s="5">
        <f>4.742*(F11*10^-3)^3.452</f>
        <v>14.057916113595834</v>
      </c>
      <c r="I11" s="5"/>
      <c r="J11" s="5">
        <f>G11*$D11</f>
        <v>3162.9355036842871</v>
      </c>
      <c r="K11" s="5">
        <f t="shared" ref="K11:K15" si="9">H11*$D11</f>
        <v>6747.7997345260001</v>
      </c>
      <c r="L11" s="8"/>
      <c r="M11" s="8"/>
      <c r="N11" s="5" t="s">
        <v>52</v>
      </c>
      <c r="O11" s="30" t="s">
        <v>82</v>
      </c>
      <c r="P11" s="5">
        <f>10^(-0.0143*(-1.17)+((-0.363)*LOG10(G11))+0.135*(LOG10(0.98))-0.105)</f>
        <v>0.41049162163490965</v>
      </c>
      <c r="Q11" s="5">
        <f t="shared" ref="Q11:Q14" si="10">10^(-0.0143*(-1.17)+((-0.363)*LOG10(H11))+0.135*(LOG10(0.98))-0.105)</f>
        <v>0.31178212755842649</v>
      </c>
      <c r="R11" s="5">
        <f t="shared" ref="R11:R15" si="11">P11*K11</f>
        <v>2769.9152554931907</v>
      </c>
      <c r="S11" s="5">
        <f t="shared" ref="S11:S15" si="12">Q11*J11</f>
        <v>986.14676066877041</v>
      </c>
      <c r="T11" s="5"/>
      <c r="U11" s="5"/>
      <c r="V11" s="5"/>
    </row>
    <row r="12" spans="1:31" s="1" customFormat="1" x14ac:dyDescent="0.25">
      <c r="A12" s="1" t="s">
        <v>6</v>
      </c>
      <c r="B12" s="1" t="s">
        <v>16</v>
      </c>
      <c r="C12" s="1" t="s">
        <v>10</v>
      </c>
      <c r="D12" s="22">
        <f>388.571429</f>
        <v>388.57142900000002</v>
      </c>
      <c r="E12" s="22">
        <v>1400</v>
      </c>
      <c r="F12" s="22">
        <v>2000</v>
      </c>
      <c r="G12" s="5">
        <f t="shared" si="8"/>
        <v>15.149403351788706</v>
      </c>
      <c r="H12" s="5">
        <f>4.742*(F12*10^-3)^3.452</f>
        <v>51.893993688844894</v>
      </c>
      <c r="I12" s="5"/>
      <c r="J12" s="5">
        <f>G12*$D12</f>
        <v>5886.6253089019274</v>
      </c>
      <c r="K12" s="5">
        <f t="shared" si="9"/>
        <v>20164.523284191444</v>
      </c>
      <c r="L12" s="8"/>
      <c r="M12" s="8"/>
      <c r="N12" s="5" t="s">
        <v>52</v>
      </c>
      <c r="O12" s="30" t="s">
        <v>82</v>
      </c>
      <c r="P12" s="5">
        <f>10^(-0.0143*(-1.17)+((-0.363)*LOG10(G12))+0.135*(LOG10(0.98))-0.105)</f>
        <v>0.30343309246404282</v>
      </c>
      <c r="Q12" s="5">
        <f t="shared" si="10"/>
        <v>0.19407027213581016</v>
      </c>
      <c r="R12" s="5">
        <f t="shared" si="11"/>
        <v>6118.5836581854064</v>
      </c>
      <c r="S12" s="5">
        <f t="shared" si="12"/>
        <v>1142.4189756601445</v>
      </c>
      <c r="T12" s="5"/>
      <c r="U12" s="5"/>
      <c r="V12" s="5"/>
      <c r="Y12" s="5"/>
      <c r="Z12" s="5"/>
      <c r="AA12" s="5"/>
      <c r="AB12" s="5"/>
    </row>
    <row r="13" spans="1:31" s="1" customFormat="1" x14ac:dyDescent="0.25">
      <c r="A13" s="1" t="s">
        <v>6</v>
      </c>
      <c r="B13" s="1" t="s">
        <v>16</v>
      </c>
      <c r="C13" s="1" t="s">
        <v>11</v>
      </c>
      <c r="D13" s="22">
        <f>76.190476</f>
        <v>76.190476000000004</v>
      </c>
      <c r="E13" s="22">
        <v>2000</v>
      </c>
      <c r="F13" s="22">
        <v>2700</v>
      </c>
      <c r="G13" s="5">
        <f t="shared" si="8"/>
        <v>51.893993688844894</v>
      </c>
      <c r="H13" s="5">
        <f>4.742*(F13*10^-3)^3.452</f>
        <v>146.22757018221634</v>
      </c>
      <c r="I13" s="5"/>
      <c r="J13" s="5">
        <f>G13*$D13</f>
        <v>3953.8280806940884</v>
      </c>
      <c r="K13" s="5">
        <f t="shared" si="9"/>
        <v>11141.148176506471</v>
      </c>
      <c r="L13" s="8"/>
      <c r="M13" s="8"/>
      <c r="N13" s="5" t="s">
        <v>52</v>
      </c>
      <c r="O13" s="30" t="s">
        <v>82</v>
      </c>
      <c r="P13" s="5">
        <f>10^(-0.0143*(-1.17)+((-0.363)*LOG10(G13))+0.135*(LOG10(0.98))-0.105)</f>
        <v>0.19407027213581016</v>
      </c>
      <c r="Q13" s="5">
        <f t="shared" si="10"/>
        <v>0.13324192471422505</v>
      </c>
      <c r="R13" s="5">
        <f t="shared" si="11"/>
        <v>2162.1656585199958</v>
      </c>
      <c r="S13" s="5">
        <f t="shared" si="12"/>
        <v>526.81566346083071</v>
      </c>
      <c r="T13" s="5"/>
      <c r="U13" s="5"/>
      <c r="V13" s="5"/>
      <c r="W13" s="1" t="s">
        <v>87</v>
      </c>
      <c r="Y13" s="5"/>
      <c r="AA13" s="5"/>
      <c r="AB13" s="5"/>
    </row>
    <row r="14" spans="1:31" s="1" customFormat="1" x14ac:dyDescent="0.25">
      <c r="A14" s="1" t="s">
        <v>6</v>
      </c>
      <c r="B14" s="1" t="s">
        <v>16</v>
      </c>
      <c r="C14" s="1" t="s">
        <v>12</v>
      </c>
      <c r="D14" s="22">
        <v>14.476190000000001</v>
      </c>
      <c r="E14" s="22">
        <v>2700</v>
      </c>
      <c r="F14" s="22">
        <v>3500</v>
      </c>
      <c r="G14" s="5">
        <f t="shared" si="8"/>
        <v>146.22757018221634</v>
      </c>
      <c r="H14" s="5">
        <f>4.742*(F14*10^-3)^3.452</f>
        <v>358.1660676243805</v>
      </c>
      <c r="I14" s="5"/>
      <c r="J14" s="5">
        <f>G14*$D14</f>
        <v>2116.8180891960983</v>
      </c>
      <c r="K14" s="5">
        <f t="shared" si="9"/>
        <v>5184.8800464833812</v>
      </c>
      <c r="L14" s="8"/>
      <c r="M14" s="8"/>
      <c r="N14" s="5" t="s">
        <v>52</v>
      </c>
      <c r="O14" s="30" t="s">
        <v>82</v>
      </c>
      <c r="P14" s="5">
        <f>10^(-0.0143*(-1.17)+((-0.363)*LOG10(G14))+0.135*(LOG10(0.98))-0.105)</f>
        <v>0.13324192471422505</v>
      </c>
      <c r="Q14" s="5">
        <f t="shared" si="10"/>
        <v>9.6252910136572847E-2</v>
      </c>
      <c r="R14" s="5">
        <f t="shared" si="11"/>
        <v>690.84339680582639</v>
      </c>
      <c r="S14" s="5">
        <f t="shared" si="12"/>
        <v>203.74990131486391</v>
      </c>
      <c r="T14" s="5"/>
      <c r="U14" s="5"/>
      <c r="V14" s="5"/>
      <c r="W14" s="64" t="s">
        <v>79</v>
      </c>
      <c r="X14" s="5">
        <f>SUM(J6:J8,J13:J15,J20:J22)</f>
        <v>1541529.7251606828</v>
      </c>
      <c r="Y14" s="5">
        <f>SUM(K6:K8,K13:K15,K20:K22)</f>
        <v>2807006.5494673685</v>
      </c>
      <c r="AA14" s="5"/>
      <c r="AB14" s="5"/>
    </row>
    <row r="15" spans="1:31" s="1" customFormat="1" x14ac:dyDescent="0.25">
      <c r="A15" s="1" t="s">
        <v>6</v>
      </c>
      <c r="B15" s="1" t="s">
        <v>16</v>
      </c>
      <c r="C15" s="1" t="s">
        <v>13</v>
      </c>
      <c r="D15" s="22">
        <v>47.390476</v>
      </c>
      <c r="E15" s="22">
        <v>3400</v>
      </c>
      <c r="F15" s="22">
        <v>4800</v>
      </c>
      <c r="G15" s="5">
        <f t="shared" si="8"/>
        <v>324.06100256862544</v>
      </c>
      <c r="H15" s="5">
        <f>4.742*(F15*10^-3)^3.452</f>
        <v>1065.6296629826547</v>
      </c>
      <c r="I15" s="5"/>
      <c r="J15" s="5">
        <f>G15*$D15</f>
        <v>15357.405164764383</v>
      </c>
      <c r="K15" s="5">
        <f t="shared" si="9"/>
        <v>50500.696968467586</v>
      </c>
      <c r="L15" s="8"/>
      <c r="M15" s="8"/>
      <c r="N15" s="5" t="s">
        <v>52</v>
      </c>
      <c r="O15" s="30" t="s">
        <v>82</v>
      </c>
      <c r="P15" s="5">
        <f>10^(0.0125*(-1.17)+(-0.23)*LOG10(G15)+0.729*LOG10(0.98)-1.348)</f>
        <v>1.131187641711808E-2</v>
      </c>
      <c r="Q15" s="5">
        <f>10^(0.0125*(-1.17)+(-0.23)*LOG10(H15)+0.729*LOG10(0.98)-1.348)</f>
        <v>8.6025926749937337E-3</v>
      </c>
      <c r="R15" s="5">
        <f t="shared" si="11"/>
        <v>571.25764308563498</v>
      </c>
      <c r="S15" s="5">
        <f t="shared" si="12"/>
        <v>132.11350117731303</v>
      </c>
      <c r="T15" s="5"/>
      <c r="U15" s="5"/>
      <c r="V15" s="5"/>
      <c r="W15" s="64"/>
      <c r="X15" s="5">
        <f>X14*0.7</f>
        <v>1079070.8076124778</v>
      </c>
      <c r="Y15" s="5">
        <f>Y14*0.7</f>
        <v>1964904.5846271578</v>
      </c>
      <c r="AA15" s="5"/>
      <c r="AB15" s="5"/>
    </row>
    <row r="16" spans="1:31" s="11" customFormat="1" x14ac:dyDescent="0.25">
      <c r="A16" s="11" t="s">
        <v>6</v>
      </c>
      <c r="B16" s="11" t="s">
        <v>16</v>
      </c>
      <c r="C16" s="11" t="s">
        <v>15</v>
      </c>
      <c r="D16" s="20">
        <f>SUM(73.295238,
1820.952381)</f>
        <v>1894.247619</v>
      </c>
      <c r="E16" s="20"/>
      <c r="F16" s="20"/>
      <c r="G16" s="12"/>
      <c r="H16" s="12"/>
      <c r="I16" s="12"/>
      <c r="J16" s="12"/>
      <c r="K16" s="12"/>
      <c r="L16" s="8">
        <f>SUM(J10:J15)</f>
        <v>31199.328056674516</v>
      </c>
      <c r="M16" s="8">
        <f>SUM(K10:K15)</f>
        <v>97948.13773104889</v>
      </c>
      <c r="N16" s="12"/>
      <c r="O16" s="12"/>
      <c r="P16" s="12"/>
      <c r="Q16" s="12"/>
      <c r="R16" s="12"/>
      <c r="S16" s="12"/>
      <c r="T16" s="12">
        <f>SUM(R10:R15)</f>
        <v>16005.550280866559</v>
      </c>
      <c r="U16" s="12">
        <f>SUM(S10:S15)</f>
        <v>3325.0850981853469</v>
      </c>
      <c r="V16" s="12"/>
      <c r="W16" s="64"/>
      <c r="X16" s="8">
        <f>X15*10^-6</f>
        <v>1.0790708076124778</v>
      </c>
      <c r="Y16" s="8">
        <f>Y15*10^-6</f>
        <v>1.9649045846271578</v>
      </c>
      <c r="Z16" s="1"/>
      <c r="AA16" s="5"/>
      <c r="AB16" s="1"/>
    </row>
    <row r="17" spans="1:28" s="2" customFormat="1" x14ac:dyDescent="0.25">
      <c r="A17" s="2" t="s">
        <v>6</v>
      </c>
      <c r="B17" s="2" t="s">
        <v>17</v>
      </c>
      <c r="C17" s="2" t="s">
        <v>18</v>
      </c>
      <c r="D17" s="21">
        <f>91.428571</f>
        <v>91.428571000000005</v>
      </c>
      <c r="E17" s="21">
        <v>950</v>
      </c>
      <c r="F17" s="21">
        <v>1500</v>
      </c>
      <c r="G17" s="3">
        <f>7.263*(E17*10^-3)^3.106</f>
        <v>6.1933491234965805</v>
      </c>
      <c r="H17" s="3">
        <f>7.263*(F17*10^-3)^3.106</f>
        <v>25.589128476667867</v>
      </c>
      <c r="I17" s="3" t="s">
        <v>41</v>
      </c>
      <c r="J17" s="3">
        <f t="shared" ref="J17:J22" si="13">G17*$D17</f>
        <v>566.24906006539493</v>
      </c>
      <c r="K17" s="3">
        <f t="shared" ref="K17:K22" si="14">H17*$D17</f>
        <v>2339.5774497571501</v>
      </c>
      <c r="N17" s="3" t="s">
        <v>52</v>
      </c>
      <c r="O17" s="3" t="s">
        <v>82</v>
      </c>
      <c r="P17" s="3">
        <f>10^(-0.0143*(-1.17)+((-0.363)*LOG10(G17))+0.135*LOG10(0.98)-0.105)</f>
        <v>0.41983393658438573</v>
      </c>
      <c r="Q17" s="3">
        <f>10^(-0.0143*(-1.17)+((-0.363)*LOG10(H17))+0.135*LOG10(0.98)-0.105)</f>
        <v>0.2508547769685926</v>
      </c>
      <c r="R17" s="3">
        <f>P17*K17</f>
        <v>982.23401067560224</v>
      </c>
      <c r="S17" s="3">
        <f>Q17*J17</f>
        <v>142.04628167137983</v>
      </c>
      <c r="T17" s="3"/>
      <c r="U17" s="3"/>
      <c r="W17" s="64" t="s">
        <v>78</v>
      </c>
      <c r="X17" s="12">
        <f>SUM(J96:J99,J104:J107,J112:J115)</f>
        <v>3519307.6916113268</v>
      </c>
      <c r="Y17" s="12">
        <f>SUM(K96:K99,K104:K107,K112:K115)</f>
        <v>5441614.1957675554</v>
      </c>
      <c r="Z17" s="11"/>
      <c r="AA17" s="11"/>
      <c r="AB17" s="11"/>
    </row>
    <row r="18" spans="1:28" s="2" customFormat="1" x14ac:dyDescent="0.25">
      <c r="A18" s="2" t="s">
        <v>6</v>
      </c>
      <c r="B18" s="2" t="s">
        <v>17</v>
      </c>
      <c r="C18" s="2" t="s">
        <v>9</v>
      </c>
      <c r="D18" s="21">
        <f>SUM(45.714286,1760)</f>
        <v>1805.7142859999999</v>
      </c>
      <c r="E18" s="21">
        <v>1500</v>
      </c>
      <c r="F18" s="21">
        <v>2600</v>
      </c>
      <c r="G18" s="3">
        <f t="shared" ref="G18:G22" si="15">7.263*(E18*10^-3)^3.106</f>
        <v>25.589128476667867</v>
      </c>
      <c r="H18" s="3">
        <f>7.263*(F18*10^-3)^3.106</f>
        <v>141.26132091409403</v>
      </c>
      <c r="I18" s="3"/>
      <c r="J18" s="3">
        <f t="shared" si="13"/>
        <v>46206.654856608584</v>
      </c>
      <c r="K18" s="3">
        <f t="shared" si="14"/>
        <v>255077.58523381015</v>
      </c>
      <c r="L18" s="7"/>
      <c r="M18" s="7"/>
      <c r="N18" s="3" t="s">
        <v>52</v>
      </c>
      <c r="O18" s="3" t="s">
        <v>82</v>
      </c>
      <c r="P18" s="3">
        <f>10^(-0.0143*(-1.17)+((-0.363)*LOG10(G18))+0.135*LOG10(0.98)-0.105)</f>
        <v>0.2508547769685926</v>
      </c>
      <c r="Q18" s="3">
        <f t="shared" ref="Q18:Q21" si="16">10^(-0.0143*(-1.17)+((-0.363)*LOG10(H18))+0.135*LOG10(0.98)-0.105)</f>
        <v>0.13492364826267003</v>
      </c>
      <c r="R18" s="3">
        <f t="shared" ref="R18:R22" si="17">P18*K18</f>
        <v>63987.430753514614</v>
      </c>
      <c r="S18" s="3">
        <f t="shared" ref="S18:S22" si="18">Q18*J18</f>
        <v>6234.3704472676509</v>
      </c>
      <c r="T18" s="3"/>
      <c r="U18" s="3"/>
      <c r="V18" s="3"/>
      <c r="W18" s="64"/>
      <c r="X18" s="5">
        <f>X17*0.7</f>
        <v>2463515.3841279284</v>
      </c>
      <c r="Y18" s="5">
        <f>Y17*0.7</f>
        <v>3809129.9370372887</v>
      </c>
      <c r="Z18" s="5"/>
      <c r="AA18" s="1"/>
      <c r="AB18" s="1"/>
    </row>
    <row r="19" spans="1:28" s="2" customFormat="1" x14ac:dyDescent="0.25">
      <c r="A19" s="2" t="s">
        <v>6</v>
      </c>
      <c r="B19" s="2" t="s">
        <v>17</v>
      </c>
      <c r="C19" s="2" t="s">
        <v>10</v>
      </c>
      <c r="D19" s="21">
        <f>SUM(1929.6,
1853.605442)</f>
        <v>3783.2054419999999</v>
      </c>
      <c r="E19" s="21">
        <v>2600</v>
      </c>
      <c r="F19" s="21">
        <v>3500</v>
      </c>
      <c r="G19" s="3">
        <f t="shared" si="15"/>
        <v>141.26132091409403</v>
      </c>
      <c r="H19" s="3">
        <f>7.263*(F19*10^-3)^3.106</f>
        <v>355.62426808540175</v>
      </c>
      <c r="I19" s="3"/>
      <c r="J19" s="3">
        <f t="shared" si="13"/>
        <v>534420.59802630893</v>
      </c>
      <c r="K19" s="3">
        <f t="shared" si="14"/>
        <v>1345399.6663279589</v>
      </c>
      <c r="L19" s="7"/>
      <c r="M19" s="7"/>
      <c r="N19" s="3" t="s">
        <v>52</v>
      </c>
      <c r="O19" s="3" t="s">
        <v>82</v>
      </c>
      <c r="P19" s="3">
        <f>10^(-0.0143*(-1.17)+((-0.363)*LOG10(G19))+0.135*LOG10(0.98)-0.105)</f>
        <v>0.13492364826267003</v>
      </c>
      <c r="Q19" s="3">
        <f t="shared" si="16"/>
        <v>9.6502073662346144E-2</v>
      </c>
      <c r="R19" s="3">
        <f t="shared" si="17"/>
        <v>181526.23135234715</v>
      </c>
      <c r="S19" s="3">
        <f t="shared" si="18"/>
        <v>51572.695917409939</v>
      </c>
      <c r="T19" s="3"/>
      <c r="U19" s="3"/>
      <c r="V19" s="3"/>
      <c r="W19" s="65"/>
      <c r="X19" s="8">
        <f>X18*10^-6</f>
        <v>2.4635153841279283</v>
      </c>
      <c r="Y19" s="8">
        <f>Y18*10^-6</f>
        <v>3.8091299370372886</v>
      </c>
      <c r="Z19" s="1"/>
      <c r="AA19" s="1"/>
      <c r="AB19" s="1"/>
    </row>
    <row r="20" spans="1:28" s="2" customFormat="1" x14ac:dyDescent="0.25">
      <c r="A20" s="2" t="s">
        <v>6</v>
      </c>
      <c r="B20" s="2" t="s">
        <v>17</v>
      </c>
      <c r="C20" s="2" t="s">
        <v>11</v>
      </c>
      <c r="D20" s="21">
        <f>249.6</f>
        <v>249.6</v>
      </c>
      <c r="E20" s="21">
        <v>3500</v>
      </c>
      <c r="F20" s="21">
        <v>4200</v>
      </c>
      <c r="G20" s="3">
        <f t="shared" si="15"/>
        <v>355.62426808540175</v>
      </c>
      <c r="H20" s="3">
        <f>7.263*(F20*10^-3)^3.106</f>
        <v>626.5104800772491</v>
      </c>
      <c r="I20" s="3"/>
      <c r="J20" s="3">
        <f t="shared" si="13"/>
        <v>88763.81731411627</v>
      </c>
      <c r="K20" s="3">
        <f t="shared" si="14"/>
        <v>156377.01582728137</v>
      </c>
      <c r="L20" s="7"/>
      <c r="M20" s="7"/>
      <c r="N20" s="3" t="s">
        <v>52</v>
      </c>
      <c r="O20" s="3" t="s">
        <v>82</v>
      </c>
      <c r="P20" s="3">
        <f>10^(-0.0143*(-1.17)+((-0.363)*LOG10(G20))+0.135*LOG10(0.98)-0.105)</f>
        <v>9.6502073662346144E-2</v>
      </c>
      <c r="Q20" s="3">
        <f t="shared" si="16"/>
        <v>7.8570864702522517E-2</v>
      </c>
      <c r="R20" s="3">
        <f t="shared" si="17"/>
        <v>15090.706300462176</v>
      </c>
      <c r="S20" s="3">
        <f t="shared" si="18"/>
        <v>6974.2498806668555</v>
      </c>
      <c r="T20" s="3"/>
      <c r="U20" s="3"/>
      <c r="V20" s="3"/>
      <c r="W20" s="1"/>
      <c r="X20" s="1"/>
      <c r="Y20" s="1"/>
      <c r="Z20" s="1"/>
      <c r="AA20" s="1"/>
      <c r="AB20" s="1"/>
    </row>
    <row r="21" spans="1:28" s="2" customFormat="1" x14ac:dyDescent="0.25">
      <c r="A21" s="2" t="s">
        <v>6</v>
      </c>
      <c r="B21" s="2" t="s">
        <v>17</v>
      </c>
      <c r="C21" s="2" t="s">
        <v>12</v>
      </c>
      <c r="D21" s="21">
        <f>746.514286</f>
        <v>746.51428599999997</v>
      </c>
      <c r="E21" s="21">
        <v>4600</v>
      </c>
      <c r="F21" s="21">
        <v>5400</v>
      </c>
      <c r="G21" s="3">
        <f t="shared" si="15"/>
        <v>831.07815957792832</v>
      </c>
      <c r="H21" s="3">
        <f>7.263*(F21*10^-3)^3.106</f>
        <v>1367.5117360953927</v>
      </c>
      <c r="I21" s="3"/>
      <c r="J21" s="3">
        <f t="shared" si="13"/>
        <v>620411.71890751121</v>
      </c>
      <c r="K21" s="3">
        <f t="shared" si="14"/>
        <v>1020867.0472678725</v>
      </c>
      <c r="L21" s="7"/>
      <c r="M21" s="7"/>
      <c r="N21" s="3" t="s">
        <v>52</v>
      </c>
      <c r="O21" s="3" t="s">
        <v>82</v>
      </c>
      <c r="P21" s="3">
        <f>10^(-0.0143*(-1.17)+((-0.363)*LOG10(G21))+0.135*LOG10(0.98)-0.105)</f>
        <v>7.091147542329379E-2</v>
      </c>
      <c r="Q21" s="3">
        <f t="shared" si="16"/>
        <v>5.9183895159939777E-2</v>
      </c>
      <c r="R21" s="3">
        <f t="shared" si="17"/>
        <v>72391.18853278624</v>
      </c>
      <c r="S21" s="3">
        <f t="shared" si="18"/>
        <v>36718.382127820172</v>
      </c>
      <c r="T21" s="3"/>
      <c r="U21" s="3"/>
      <c r="V21" s="3"/>
      <c r="W21" s="1"/>
      <c r="X21" s="1"/>
      <c r="Y21" s="1"/>
      <c r="Z21" s="1"/>
      <c r="AA21" s="1"/>
      <c r="AB21" s="1"/>
    </row>
    <row r="22" spans="1:28" s="2" customFormat="1" x14ac:dyDescent="0.25">
      <c r="A22" s="2" t="s">
        <v>6</v>
      </c>
      <c r="B22" s="2" t="s">
        <v>17</v>
      </c>
      <c r="C22" s="2" t="s">
        <v>13</v>
      </c>
      <c r="D22" s="21">
        <f>270.628571</f>
        <v>270.62857100000002</v>
      </c>
      <c r="E22" s="21">
        <v>6600</v>
      </c>
      <c r="F22" s="21">
        <v>7200</v>
      </c>
      <c r="G22" s="3">
        <f t="shared" si="15"/>
        <v>2550.465821375426</v>
      </c>
      <c r="H22" s="3">
        <f>7.263*(F22*10^-3)^3.106</f>
        <v>3341.8794371620952</v>
      </c>
      <c r="I22" s="3"/>
      <c r="J22" s="3">
        <f t="shared" si="13"/>
        <v>690228.92062317289</v>
      </c>
      <c r="K22" s="3">
        <f t="shared" si="14"/>
        <v>904408.05653346225</v>
      </c>
      <c r="L22" s="7"/>
      <c r="M22" s="7"/>
      <c r="N22" s="3" t="s">
        <v>52</v>
      </c>
      <c r="O22" s="3" t="s">
        <v>82</v>
      </c>
      <c r="P22" s="3">
        <f>10^(0.0125*(-1.17)+(-0.23)*LOG10(G22)+0.729*LOG10(0.98)-1.348)</f>
        <v>7.0381144100102868E-3</v>
      </c>
      <c r="Q22" s="3">
        <f>10^(0.0125*(-1.17)+(-0.23)*LOG10(H22)+0.729*LOG10(0.98)-1.348)</f>
        <v>6.6139503472608151E-3</v>
      </c>
      <c r="R22" s="3">
        <f t="shared" si="17"/>
        <v>6365.3273752175592</v>
      </c>
      <c r="S22" s="3">
        <f t="shared" si="18"/>
        <v>4565.1398092450918</v>
      </c>
      <c r="T22" s="3"/>
      <c r="U22" s="3"/>
      <c r="V22" s="3"/>
      <c r="W22" s="1"/>
      <c r="X22" s="1"/>
      <c r="Y22" s="1"/>
      <c r="Z22" s="1"/>
      <c r="AA22" s="1"/>
      <c r="AB22" s="1"/>
    </row>
    <row r="23" spans="1:28" s="9" customFormat="1" x14ac:dyDescent="0.25">
      <c r="A23" s="9" t="s">
        <v>6</v>
      </c>
      <c r="B23" s="9" t="s">
        <v>17</v>
      </c>
      <c r="C23" s="9" t="s">
        <v>15</v>
      </c>
      <c r="D23" s="19">
        <f>SUM(3242.057143,
3705.034014)</f>
        <v>6947.0911569999998</v>
      </c>
      <c r="E23" s="19"/>
      <c r="F23" s="19"/>
      <c r="G23" s="10"/>
      <c r="H23" s="10"/>
      <c r="I23" s="10"/>
      <c r="J23" s="10"/>
      <c r="K23" s="10"/>
      <c r="L23" s="7">
        <f>SUM(J17:J22)</f>
        <v>1980597.9587877835</v>
      </c>
      <c r="M23" s="7">
        <f>SUM(K17:K22)</f>
        <v>3684468.9486401426</v>
      </c>
      <c r="N23" s="10"/>
      <c r="O23" s="10"/>
      <c r="P23" s="10"/>
      <c r="Q23" s="10"/>
      <c r="R23" s="10"/>
      <c r="S23" s="10"/>
      <c r="T23" s="10">
        <f>SUM(R17:R22)</f>
        <v>340343.11832500336</v>
      </c>
      <c r="U23" s="10">
        <f>SUM(S17:S22)</f>
        <v>106206.88446408109</v>
      </c>
      <c r="V23" s="10"/>
      <c r="W23" s="5"/>
      <c r="X23" s="5"/>
      <c r="Y23" s="5">
        <f>SUM(U9,U16,U23)*30*10^-6</f>
        <v>3.5521036088229185</v>
      </c>
      <c r="Z23" s="1"/>
      <c r="AA23" s="1"/>
      <c r="AB23" s="1"/>
    </row>
    <row r="24" spans="1:28" s="31" customFormat="1" x14ac:dyDescent="0.25">
      <c r="A24" s="31" t="s">
        <v>6</v>
      </c>
      <c r="B24" s="31" t="s">
        <v>19</v>
      </c>
      <c r="C24" s="31" t="s">
        <v>4</v>
      </c>
      <c r="D24" s="32">
        <f>SUM(60.952381,
124.081633)</f>
        <v>185.03401400000001</v>
      </c>
      <c r="E24" s="32">
        <f>1.7</f>
        <v>1.7</v>
      </c>
      <c r="F24" s="32">
        <f>2.8</f>
        <v>2.8</v>
      </c>
      <c r="G24" s="33">
        <f>(((0.0228*(E24)^2.3698))/0.9)*0.4*1000</f>
        <v>35.63446006817815</v>
      </c>
      <c r="H24" s="33">
        <f>(((0.0228*(F24)^2.3698))/0.9)*0.4*1000</f>
        <v>116.259227141754</v>
      </c>
      <c r="I24" s="33"/>
      <c r="J24" s="33">
        <f>G24*$D24</f>
        <v>6593.5871831377171</v>
      </c>
      <c r="K24" s="33">
        <f>H24*$D24</f>
        <v>21511.911462576489</v>
      </c>
      <c r="L24" s="34">
        <f>J24</f>
        <v>6593.5871831377171</v>
      </c>
      <c r="M24" s="34">
        <f>K24</f>
        <v>21511.911462576489</v>
      </c>
      <c r="N24" s="33" t="s">
        <v>54</v>
      </c>
      <c r="O24" s="33"/>
      <c r="P24" s="33"/>
      <c r="Q24" s="33"/>
      <c r="R24" s="33"/>
      <c r="S24" s="33"/>
      <c r="T24" s="33"/>
      <c r="U24" s="33"/>
      <c r="V24" s="33"/>
      <c r="W24" s="11"/>
      <c r="X24" s="12"/>
      <c r="Y24" s="12"/>
      <c r="Z24" s="11"/>
      <c r="AA24" s="11"/>
      <c r="AB24" s="11"/>
    </row>
    <row r="25" spans="1:28" s="31" customFormat="1" x14ac:dyDescent="0.25">
      <c r="A25" s="31" t="s">
        <v>6</v>
      </c>
      <c r="B25" s="31" t="s">
        <v>20</v>
      </c>
      <c r="C25" s="31" t="s">
        <v>4</v>
      </c>
      <c r="D25" s="32">
        <f>SUM(660.72381,
346.122449)</f>
        <v>1006.8462589999999</v>
      </c>
      <c r="E25" s="32">
        <v>11.6871446</v>
      </c>
      <c r="F25" s="32">
        <v>11.6871446</v>
      </c>
      <c r="G25" s="33">
        <f>0.4*(0.00032*(E25)^3)*1000</f>
        <v>204.33145234296978</v>
      </c>
      <c r="H25" s="33">
        <f>0.4*(0.00032*(F25)^3)*1000</f>
        <v>204.33145234296978</v>
      </c>
      <c r="I25" s="33"/>
      <c r="J25" s="33">
        <f>G25*$D25</f>
        <v>205730.3583875559</v>
      </c>
      <c r="K25" s="33">
        <f>H25*$D25</f>
        <v>205730.3583875559</v>
      </c>
      <c r="L25" s="34">
        <f>J25</f>
        <v>205730.3583875559</v>
      </c>
      <c r="M25" s="34">
        <f>K25</f>
        <v>205730.3583875559</v>
      </c>
      <c r="N25" s="33" t="s">
        <v>51</v>
      </c>
      <c r="O25" s="33"/>
      <c r="P25" s="33"/>
      <c r="Q25" s="33"/>
      <c r="R25" s="33"/>
      <c r="S25" s="33"/>
      <c r="T25" s="33"/>
      <c r="U25" s="33"/>
      <c r="V25" s="33"/>
      <c r="W25" s="12"/>
      <c r="X25" s="12"/>
      <c r="Y25" s="12"/>
      <c r="Z25" s="12"/>
      <c r="AA25" s="11"/>
      <c r="AB25" s="11"/>
    </row>
    <row r="26" spans="1:28" s="1" customFormat="1" x14ac:dyDescent="0.25">
      <c r="A26" s="1" t="s">
        <v>6</v>
      </c>
      <c r="B26" s="1" t="s">
        <v>21</v>
      </c>
      <c r="C26" s="1" t="s">
        <v>11</v>
      </c>
      <c r="D26" s="22">
        <f>13.714286</f>
        <v>13.714286</v>
      </c>
      <c r="E26" s="22">
        <v>1800</v>
      </c>
      <c r="F26" s="22">
        <v>2200</v>
      </c>
      <c r="G26" s="5">
        <f>((0.0089*(E26*10^-3)^3.4119)/0.9)*0.47*1000</f>
        <v>34.531036561114568</v>
      </c>
      <c r="H26" s="5">
        <f>((0.0089*(F26*10^-3)^3.4119)/0.9)*0.47*1000</f>
        <v>68.478982676295388</v>
      </c>
      <c r="I26" s="5" t="s">
        <v>46</v>
      </c>
      <c r="J26" s="5">
        <f>G26*$D26</f>
        <v>473.56851127558167</v>
      </c>
      <c r="K26" s="5">
        <f t="shared" ref="K26:K29" si="19">H26*$D26</f>
        <v>939.14035341176032</v>
      </c>
      <c r="L26" s="8"/>
      <c r="M26" s="8"/>
      <c r="N26" s="5" t="s">
        <v>51</v>
      </c>
      <c r="O26" s="5" t="s">
        <v>82</v>
      </c>
      <c r="P26" s="5">
        <f>10^(-0.0143*(-1.17)+((-0.363)*LOG10(G26))+0.135*(LOG10(0.98))-0.105)</f>
        <v>0.22499684581258253</v>
      </c>
      <c r="Q26" s="5">
        <f>10^(-0.0143*(-1.17)+((-0.363)*LOG10(H26))+0.135*(LOG10(0.98))-0.105)</f>
        <v>0.17548468496700742</v>
      </c>
      <c r="R26" s="5">
        <f>P26*K26</f>
        <v>211.3036172929601</v>
      </c>
      <c r="S26" s="5">
        <f>Q26*J26</f>
        <v>83.104021011490147</v>
      </c>
      <c r="T26" s="5"/>
      <c r="U26" s="5"/>
      <c r="V26" s="5"/>
      <c r="W26" s="11"/>
      <c r="X26" s="11"/>
      <c r="Y26" s="11"/>
      <c r="Z26" s="11"/>
      <c r="AA26" s="11"/>
      <c r="AB26" s="11"/>
    </row>
    <row r="27" spans="1:28" s="1" customFormat="1" x14ac:dyDescent="0.25">
      <c r="A27" s="1" t="s">
        <v>6</v>
      </c>
      <c r="B27" s="1" t="s">
        <v>21</v>
      </c>
      <c r="C27" s="1" t="s">
        <v>12</v>
      </c>
      <c r="D27" s="22">
        <f>16.761905</f>
        <v>16.761904999999999</v>
      </c>
      <c r="E27" s="22">
        <v>2200</v>
      </c>
      <c r="F27" s="22">
        <v>2800</v>
      </c>
      <c r="G27" s="5">
        <f t="shared" ref="G27:G29" si="20">((0.0089*(E27*10^-3)^3.4119)/0.9)*0.47*1000</f>
        <v>68.478982676295388</v>
      </c>
      <c r="H27" s="5">
        <f>((0.0089*(F27*10^-3)^3.4119)/0.9)*0.47*1000</f>
        <v>155.9207238445286</v>
      </c>
      <c r="I27" s="5"/>
      <c r="J27" s="5">
        <f>G27*$D27</f>
        <v>1147.838202116709</v>
      </c>
      <c r="K27" s="5">
        <f t="shared" si="19"/>
        <v>2613.528360613223</v>
      </c>
      <c r="L27" s="8"/>
      <c r="M27" s="8"/>
      <c r="N27" s="5" t="s">
        <v>51</v>
      </c>
      <c r="O27" s="5" t="s">
        <v>82</v>
      </c>
      <c r="P27" s="5">
        <f>10^(-0.0143*(-1.17)+((-0.363)*LOG10(G27))+0.135*(LOG10(0.98))-0.105)</f>
        <v>0.17548468496700742</v>
      </c>
      <c r="Q27" s="5">
        <f>10^(-0.0143*(-1.17)+((-0.363)*LOG10(H27))+0.135*(LOG10(0.98))-0.105)</f>
        <v>0.13017345309327727</v>
      </c>
      <c r="R27" s="5">
        <f t="shared" ref="R27:R29" si="21">P27*K27</f>
        <v>458.6342010145508</v>
      </c>
      <c r="S27" s="5">
        <f t="shared" ref="S27:S29" si="22">Q27*J27</f>
        <v>149.41806236191113</v>
      </c>
      <c r="T27" s="5"/>
      <c r="U27" s="5"/>
      <c r="V27" s="5"/>
    </row>
    <row r="28" spans="1:28" s="1" customFormat="1" x14ac:dyDescent="0.25">
      <c r="A28" s="1" t="s">
        <v>6</v>
      </c>
      <c r="B28" s="1" t="s">
        <v>21</v>
      </c>
      <c r="C28" s="1" t="s">
        <v>13</v>
      </c>
      <c r="D28" s="22">
        <f>84.266667</f>
        <v>84.266666999999998</v>
      </c>
      <c r="E28" s="22">
        <v>2700</v>
      </c>
      <c r="F28" s="22">
        <v>3200</v>
      </c>
      <c r="G28" s="5">
        <f t="shared" si="20"/>
        <v>137.72582485028883</v>
      </c>
      <c r="H28" s="5">
        <f>((0.0089*(F28*10^-3)^3.4119)/0.9)*0.47*1000</f>
        <v>245.90455088187281</v>
      </c>
      <c r="I28" s="5"/>
      <c r="J28" s="5">
        <f>G28*$D28</f>
        <v>11605.696219959613</v>
      </c>
      <c r="K28" s="5">
        <f t="shared" si="19"/>
        <v>20721.556902947334</v>
      </c>
      <c r="L28" s="8"/>
      <c r="M28" s="8"/>
      <c r="N28" s="5" t="s">
        <v>51</v>
      </c>
      <c r="O28" s="5" t="s">
        <v>82</v>
      </c>
      <c r="P28" s="5">
        <f>10^(0.0125*(-1.17)+((-0.23)*LOG10(G28))+0.729*(LOG10(0.98))-1.348)</f>
        <v>1.3772261850440991E-2</v>
      </c>
      <c r="Q28" s="5">
        <f>10^(0.0125*(-1.17)+((-0.23)*LOG10(H28))+0.729*(LOG10(0.98))-1.348)</f>
        <v>1.2053203775753227E-2</v>
      </c>
      <c r="R28" s="5">
        <f t="shared" si="21"/>
        <v>285.38270761620373</v>
      </c>
      <c r="S28" s="5">
        <f t="shared" si="22"/>
        <v>139.88582149866215</v>
      </c>
      <c r="T28" s="5"/>
      <c r="U28" s="5"/>
      <c r="V28" s="5"/>
    </row>
    <row r="29" spans="1:28" s="1" customFormat="1" x14ac:dyDescent="0.25">
      <c r="A29" s="1" t="s">
        <v>6</v>
      </c>
      <c r="B29" s="1" t="s">
        <v>21</v>
      </c>
      <c r="C29" s="1" t="s">
        <v>14</v>
      </c>
      <c r="D29" s="22">
        <f>23.619048</f>
        <v>23.619047999999999</v>
      </c>
      <c r="E29" s="22">
        <v>2900</v>
      </c>
      <c r="F29" s="22">
        <v>3200</v>
      </c>
      <c r="G29" s="5">
        <f t="shared" si="20"/>
        <v>175.75232711616172</v>
      </c>
      <c r="H29" s="5">
        <f>((0.0089*(F29*10^-3)^3.4119)/0.9)*0.47*1000</f>
        <v>245.90455088187281</v>
      </c>
      <c r="I29" s="5"/>
      <c r="J29" s="5">
        <f>G29*$D29</f>
        <v>4151.1026502683253</v>
      </c>
      <c r="K29" s="5">
        <f t="shared" si="19"/>
        <v>5808.0313906973961</v>
      </c>
      <c r="L29" s="8"/>
      <c r="M29" s="8"/>
      <c r="N29" s="5" t="s">
        <v>51</v>
      </c>
      <c r="O29" s="5" t="s">
        <v>82</v>
      </c>
      <c r="P29" s="5">
        <f>10^(0.0125*(-1.17)+((-0.23)*LOG10(G29))+0.729*(LOG10(0.98))-1.348)</f>
        <v>1.3021216499072534E-2</v>
      </c>
      <c r="Q29" s="5">
        <f>10^(0.0125*(-1.17)+((-0.23)*LOG10(H29))+0.729*(LOG10(0.98))-1.348)</f>
        <v>1.2053203775753227E-2</v>
      </c>
      <c r="R29" s="5">
        <f t="shared" si="21"/>
        <v>75.627634171680128</v>
      </c>
      <c r="S29" s="5">
        <f t="shared" si="22"/>
        <v>50.034086137753405</v>
      </c>
      <c r="T29" s="5"/>
      <c r="U29" s="5"/>
      <c r="V29" s="5"/>
    </row>
    <row r="30" spans="1:28" s="11" customFormat="1" x14ac:dyDescent="0.25">
      <c r="A30" s="11" t="s">
        <v>6</v>
      </c>
      <c r="B30" s="11" t="s">
        <v>21</v>
      </c>
      <c r="C30" s="11" t="s">
        <v>15</v>
      </c>
      <c r="D30" s="20">
        <f>138.361905</f>
        <v>138.36190500000001</v>
      </c>
      <c r="E30" s="20"/>
      <c r="F30" s="20"/>
      <c r="G30" s="12"/>
      <c r="H30" s="12"/>
      <c r="I30" s="12"/>
      <c r="J30" s="12"/>
      <c r="K30" s="12"/>
      <c r="L30" s="8">
        <f>SUM(J26:J29)</f>
        <v>17378.205583620227</v>
      </c>
      <c r="M30" s="8">
        <f>SUM(K26:K29)</f>
        <v>30082.257007669716</v>
      </c>
      <c r="N30" s="12"/>
      <c r="O30" s="12"/>
      <c r="P30" s="12"/>
      <c r="Q30" s="12"/>
      <c r="R30" s="12"/>
      <c r="S30" s="12"/>
      <c r="T30" s="12">
        <f>SUM(R26:R29)</f>
        <v>1030.9481600953948</v>
      </c>
      <c r="U30" s="12">
        <f>SUM(S26:S29)</f>
        <v>422.44199100981689</v>
      </c>
      <c r="V30" s="12"/>
      <c r="W30" s="1"/>
      <c r="X30" s="1"/>
      <c r="Y30" s="1"/>
      <c r="Z30" s="1"/>
      <c r="AA30" s="1"/>
      <c r="AB30" s="1"/>
    </row>
    <row r="31" spans="1:28" s="2" customFormat="1" x14ac:dyDescent="0.25">
      <c r="A31" s="2" t="s">
        <v>6</v>
      </c>
      <c r="B31" s="2" t="s">
        <v>22</v>
      </c>
      <c r="C31" s="2" t="s">
        <v>12</v>
      </c>
      <c r="D31" s="21">
        <f>10.666667</f>
        <v>10.666667</v>
      </c>
      <c r="E31" s="21">
        <v>2000</v>
      </c>
      <c r="F31" s="21">
        <v>2800</v>
      </c>
      <c r="G31" s="3">
        <f>((0.0031*(E31*10^-3)^4.7164)/0.9)*0.4*1000</f>
        <v>36.220717351897861</v>
      </c>
      <c r="H31" s="3">
        <f>((0.0031*(F31*10^-3)^4.7164)/0.9)*0.4*1000</f>
        <v>177.07421074808025</v>
      </c>
      <c r="I31" s="3" t="s">
        <v>46</v>
      </c>
      <c r="J31" s="3">
        <f>G31*$D31</f>
        <v>386.35433049381629</v>
      </c>
      <c r="K31" s="3">
        <f>H31*$D31</f>
        <v>1888.791640337593</v>
      </c>
      <c r="L31" s="7"/>
      <c r="M31" s="7"/>
      <c r="N31" s="3" t="s">
        <v>51</v>
      </c>
      <c r="O31" s="3" t="s">
        <v>82</v>
      </c>
      <c r="P31" s="3">
        <f>10^(-0.0143*(-1.17)+((-0.363)*LOG10(G31))+0.135*(LOG10(0.98))-0.105)</f>
        <v>0.22112869965286064</v>
      </c>
      <c r="Q31" s="3">
        <f>10^(-0.0143*(-1.17)+((-0.363)*LOG10(H31))+0.135*(LOG10(0.98))-0.105)</f>
        <v>0.12429857247891017</v>
      </c>
      <c r="R31" s="3">
        <f>P31*K31</f>
        <v>417.66603934304555</v>
      </c>
      <c r="S31" s="3">
        <f>Q31*J31</f>
        <v>48.023291751426441</v>
      </c>
      <c r="T31" s="3"/>
      <c r="U31" s="3"/>
      <c r="V31" s="3"/>
      <c r="W31" s="11"/>
      <c r="X31" s="11"/>
      <c r="Y31" s="11"/>
      <c r="Z31" s="11"/>
      <c r="AA31" s="11"/>
      <c r="AB31" s="11"/>
    </row>
    <row r="32" spans="1:28" s="2" customFormat="1" x14ac:dyDescent="0.25">
      <c r="A32" s="2" t="s">
        <v>6</v>
      </c>
      <c r="B32" s="2" t="s">
        <v>22</v>
      </c>
      <c r="C32" s="2" t="s">
        <v>13</v>
      </c>
      <c r="D32" s="21">
        <f>7.619048</f>
        <v>7.6190480000000003</v>
      </c>
      <c r="E32" s="21">
        <v>2900</v>
      </c>
      <c r="F32" s="21">
        <v>3700</v>
      </c>
      <c r="G32" s="3">
        <f t="shared" ref="G32:G33" si="23">((0.0031*(E32*10^-3)^4.7164)/0.9)*0.4*1000</f>
        <v>208.94553401978536</v>
      </c>
      <c r="H32" s="3">
        <f>((0.0031*(F32*10^-3)^4.7164)/0.9)*0.4*1000</f>
        <v>659.24339476966725</v>
      </c>
      <c r="I32" s="3"/>
      <c r="J32" s="3">
        <f>G32*$D32</f>
        <v>1591.9660530823776</v>
      </c>
      <c r="K32" s="3">
        <f t="shared" ref="K32:K33" si="24">H32*$D32</f>
        <v>5022.8070684330442</v>
      </c>
      <c r="L32" s="7"/>
      <c r="M32" s="7"/>
      <c r="N32" s="3" t="s">
        <v>51</v>
      </c>
      <c r="O32" s="3" t="s">
        <v>82</v>
      </c>
      <c r="P32" s="3">
        <f>10^(0.0125*(-1.17)+((-0.23)*LOG10(G32))+0.729*(LOG10(0.98))-1.348)</f>
        <v>1.2513281015376883E-2</v>
      </c>
      <c r="Q32" s="3">
        <f>10^(0.0125*(-1.17)+((-0.23)*LOG10(H32))+0.729*(LOG10(0.98))-1.348)</f>
        <v>9.6072319948303075E-3</v>
      </c>
      <c r="R32" s="3">
        <f t="shared" ref="R32:R33" si="25">P32*K32</f>
        <v>62.851796333324032</v>
      </c>
      <c r="S32" s="3">
        <f t="shared" ref="S32:S33" si="26">Q32*J32</f>
        <v>15.294387199856741</v>
      </c>
      <c r="T32" s="3"/>
      <c r="U32" s="3"/>
      <c r="V32" s="3"/>
      <c r="W32" s="1"/>
      <c r="X32" s="1"/>
      <c r="Y32" s="1"/>
      <c r="Z32" s="1"/>
      <c r="AA32" s="1"/>
      <c r="AB32" s="1"/>
    </row>
    <row r="33" spans="1:28" s="2" customFormat="1" x14ac:dyDescent="0.25">
      <c r="A33" s="2" t="s">
        <v>6</v>
      </c>
      <c r="B33" s="2" t="s">
        <v>22</v>
      </c>
      <c r="C33" s="2" t="s">
        <v>14</v>
      </c>
      <c r="D33" s="21">
        <f>30.47619</f>
        <v>30.476189999999999</v>
      </c>
      <c r="E33" s="21">
        <v>2600</v>
      </c>
      <c r="F33" s="21">
        <v>3000</v>
      </c>
      <c r="G33" s="3">
        <f t="shared" si="23"/>
        <v>124.84164255560299</v>
      </c>
      <c r="H33" s="3">
        <f>((0.0031*(F33*10^-3)^4.7164)/0.9)*0.4*1000</f>
        <v>245.17368887396498</v>
      </c>
      <c r="I33" s="3"/>
      <c r="J33" s="3">
        <f>G33*$D33</f>
        <v>3804.6976184366422</v>
      </c>
      <c r="K33" s="3">
        <f t="shared" si="24"/>
        <v>7471.9599251238424</v>
      </c>
      <c r="L33" s="7"/>
      <c r="M33" s="7"/>
      <c r="N33" s="3" t="s">
        <v>51</v>
      </c>
      <c r="O33" s="3" t="s">
        <v>82</v>
      </c>
      <c r="P33" s="3">
        <f>10^(0.0125*(-1.17)+((-0.23)*LOG10(G33))+0.729*(LOG10(0.98))-1.348)</f>
        <v>1.4086922656524684E-2</v>
      </c>
      <c r="Q33" s="3">
        <f>10^(0.0125*(-1.17)+((-0.23)*LOG10(H33))+0.729*(LOG10(0.98))-1.348)</f>
        <v>1.206145833743401E-2</v>
      </c>
      <c r="R33" s="3">
        <f t="shared" si="25"/>
        <v>105.25692155787154</v>
      </c>
      <c r="S33" s="3">
        <f t="shared" si="26"/>
        <v>45.890201811307961</v>
      </c>
      <c r="T33" s="3"/>
      <c r="U33" s="3"/>
      <c r="V33" s="3"/>
      <c r="W33" s="1"/>
      <c r="X33" s="1"/>
      <c r="Y33" s="1"/>
      <c r="Z33" s="1"/>
      <c r="AA33" s="1"/>
      <c r="AB33" s="1"/>
    </row>
    <row r="34" spans="1:28" s="9" customFormat="1" x14ac:dyDescent="0.25">
      <c r="A34" s="9" t="s">
        <v>6</v>
      </c>
      <c r="B34" s="9" t="s">
        <v>22</v>
      </c>
      <c r="C34" s="9" t="s">
        <v>15</v>
      </c>
      <c r="D34" s="19">
        <f>48.761905</f>
        <v>48.761904999999999</v>
      </c>
      <c r="E34" s="19"/>
      <c r="F34" s="19"/>
      <c r="G34" s="10"/>
      <c r="H34" s="10"/>
      <c r="I34" s="10"/>
      <c r="J34" s="10"/>
      <c r="K34" s="10"/>
      <c r="L34" s="7">
        <f>SUM(J31:J33)</f>
        <v>5783.0180020128355</v>
      </c>
      <c r="M34" s="7">
        <f>SUM(K31:K33)</f>
        <v>14383.558633894479</v>
      </c>
      <c r="N34" s="10"/>
      <c r="O34" s="10"/>
      <c r="P34" s="10"/>
      <c r="Q34" s="10"/>
      <c r="R34" s="10"/>
      <c r="S34" s="10"/>
      <c r="T34" s="10">
        <f>SUM(R31:R33)</f>
        <v>585.77475723424118</v>
      </c>
      <c r="U34" s="10">
        <f>SUM(S31:S33)</f>
        <v>109.20788076259115</v>
      </c>
      <c r="V34" s="10"/>
      <c r="W34" s="1"/>
      <c r="X34" s="1"/>
      <c r="Y34" s="1"/>
      <c r="Z34" s="1"/>
      <c r="AA34" s="1"/>
      <c r="AB34" s="1"/>
    </row>
    <row r="35" spans="1:28" s="1" customFormat="1" x14ac:dyDescent="0.25">
      <c r="A35" s="1" t="s">
        <v>6</v>
      </c>
      <c r="B35" s="1" t="s">
        <v>23</v>
      </c>
      <c r="C35" s="1" t="s">
        <v>9</v>
      </c>
      <c r="D35" s="22">
        <f>2.285714</f>
        <v>2.285714</v>
      </c>
      <c r="E35" s="22">
        <v>650</v>
      </c>
      <c r="F35" s="22">
        <v>1000</v>
      </c>
      <c r="G35" s="5">
        <f>10^(3.07*LOG10(E35)-8.37)</f>
        <v>1.8435036630733526</v>
      </c>
      <c r="H35" s="5">
        <f>10^(3.07*LOG10(F35)-8.37)</f>
        <v>6.9183097091893631</v>
      </c>
      <c r="I35" s="5" t="s">
        <v>48</v>
      </c>
      <c r="J35" s="5">
        <f>G35*$D35</f>
        <v>4.2137221317380451</v>
      </c>
      <c r="K35" s="5">
        <f>H35*$D35</f>
        <v>15.813277358630057</v>
      </c>
      <c r="L35" s="8"/>
      <c r="M35" s="8"/>
      <c r="N35" s="5" t="s">
        <v>53</v>
      </c>
      <c r="O35" s="5" t="s">
        <v>82</v>
      </c>
      <c r="P35" s="5">
        <f>10^(-0.0143*(-1.17)+((-0.363)*LOG10(G35))+0.135*(LOG10(0.98))-0.105)</f>
        <v>0.65180508828624084</v>
      </c>
      <c r="Q35" s="5">
        <f>10^(-0.0143*(-1.17)+((-0.363)*LOG10(H35))+0.135*(LOG10(0.98))-0.105)</f>
        <v>0.4032984196662846</v>
      </c>
      <c r="R35" s="5">
        <f>P35*K35</f>
        <v>10.307174644836678</v>
      </c>
      <c r="S35" s="5">
        <f>Q35*J35</f>
        <v>1.6993874766428014</v>
      </c>
      <c r="T35" s="5"/>
      <c r="U35" s="5"/>
      <c r="V35" s="5"/>
      <c r="W35" s="11"/>
      <c r="X35" s="11"/>
      <c r="Y35" s="11"/>
      <c r="Z35" s="11"/>
      <c r="AA35" s="11"/>
      <c r="AB35" s="11"/>
    </row>
    <row r="36" spans="1:28" s="1" customFormat="1" x14ac:dyDescent="0.25">
      <c r="A36" s="1" t="s">
        <v>6</v>
      </c>
      <c r="B36" s="1" t="s">
        <v>23</v>
      </c>
      <c r="C36" s="1" t="s">
        <v>10</v>
      </c>
      <c r="D36" s="22">
        <f>2.285714</f>
        <v>2.285714</v>
      </c>
      <c r="E36" s="22">
        <v>1000</v>
      </c>
      <c r="F36" s="22">
        <v>1300</v>
      </c>
      <c r="G36" s="5">
        <f>10^(3.07*LOG10(E36)-8.37)</f>
        <v>6.9183097091893631</v>
      </c>
      <c r="H36" s="5">
        <f>10^(3.07*LOG10(F36)-8.37)</f>
        <v>15.4812524115867</v>
      </c>
      <c r="I36" s="5"/>
      <c r="J36" s="5">
        <f>G36*$D36</f>
        <v>15.813277358630057</v>
      </c>
      <c r="K36" s="5">
        <f t="shared" ref="K36:K40" si="27">H36*$D36</f>
        <v>35.385715374697483</v>
      </c>
      <c r="L36" s="8"/>
      <c r="M36" s="8"/>
      <c r="N36" s="5" t="s">
        <v>53</v>
      </c>
      <c r="O36" s="5" t="s">
        <v>82</v>
      </c>
      <c r="P36" s="5">
        <f>10^(-0.0143*(-1.17)+((-0.363)*LOG10(G36))+0.135*(LOG10(0.98))-0.105)</f>
        <v>0.4032984196662846</v>
      </c>
      <c r="Q36" s="5">
        <f t="shared" ref="Q36:Q38" si="28">10^(-0.0143*(-1.17)+((-0.363)*LOG10(H36))+0.135*(LOG10(0.98))-0.105)</f>
        <v>0.30105573791395324</v>
      </c>
      <c r="R36" s="5">
        <f t="shared" ref="R36:R40" si="29">P36*K36</f>
        <v>14.271003089376444</v>
      </c>
      <c r="S36" s="5">
        <f t="shared" ref="S36:S40" si="30">Q36*J36</f>
        <v>4.7606778840403807</v>
      </c>
      <c r="T36" s="5"/>
      <c r="U36" s="5"/>
      <c r="V36" s="5"/>
    </row>
    <row r="37" spans="1:28" s="1" customFormat="1" x14ac:dyDescent="0.25">
      <c r="A37" s="1" t="s">
        <v>6</v>
      </c>
      <c r="B37" s="1" t="s">
        <v>23</v>
      </c>
      <c r="C37" s="1" t="s">
        <v>11</v>
      </c>
      <c r="D37" s="22">
        <f>2.285714</f>
        <v>2.285714</v>
      </c>
      <c r="E37" s="22">
        <v>1450</v>
      </c>
      <c r="F37" s="22">
        <v>1800</v>
      </c>
      <c r="G37" s="5">
        <f t="shared" ref="G37:G40" si="31">10^(3.07*LOG10(E37)-8.37)</f>
        <v>21.647102166396493</v>
      </c>
      <c r="H37" s="5">
        <f>10^(3.07*LOG10(F37)-8.37)</f>
        <v>42.042311984247227</v>
      </c>
      <c r="I37" s="5"/>
      <c r="J37" s="5">
        <f>G37*$D37</f>
        <v>49.479084481162793</v>
      </c>
      <c r="K37" s="5">
        <f t="shared" si="27"/>
        <v>96.09670109476167</v>
      </c>
      <c r="L37" s="8"/>
      <c r="M37" s="8"/>
      <c r="N37" s="5" t="s">
        <v>53</v>
      </c>
      <c r="O37" s="5" t="s">
        <v>82</v>
      </c>
      <c r="P37" s="5">
        <f>10^(-0.0143*(-1.17)+((-0.363)*LOG10(G37))+0.135*(LOG10(0.98))-0.105)</f>
        <v>0.26656087470811501</v>
      </c>
      <c r="Q37" s="5">
        <f t="shared" si="28"/>
        <v>0.2094827602775286</v>
      </c>
      <c r="R37" s="5">
        <f t="shared" si="29"/>
        <v>25.615620700383943</v>
      </c>
      <c r="S37" s="5">
        <f t="shared" si="30"/>
        <v>10.36501519311901</v>
      </c>
      <c r="T37" s="5"/>
      <c r="U37" s="5"/>
      <c r="V37" s="5"/>
    </row>
    <row r="38" spans="1:28" s="1" customFormat="1" x14ac:dyDescent="0.25">
      <c r="A38" s="1" t="s">
        <v>6</v>
      </c>
      <c r="B38" s="1" t="s">
        <v>23</v>
      </c>
      <c r="C38" s="1" t="s">
        <v>12</v>
      </c>
      <c r="D38" s="22">
        <f>12.952381</f>
        <v>12.952381000000001</v>
      </c>
      <c r="E38" s="22">
        <v>2300</v>
      </c>
      <c r="F38" s="22">
        <v>3300</v>
      </c>
      <c r="G38" s="5">
        <f t="shared" si="31"/>
        <v>89.228677586730711</v>
      </c>
      <c r="H38" s="5">
        <f>10^(3.07*LOG10(F38)-8.37)</f>
        <v>270.29486517128805</v>
      </c>
      <c r="I38" s="5"/>
      <c r="J38" s="5">
        <f>G38*$D38</f>
        <v>1155.7238282294968</v>
      </c>
      <c r="K38" s="5">
        <f t="shared" si="27"/>
        <v>3500.9620760421535</v>
      </c>
      <c r="L38" s="8"/>
      <c r="M38" s="8"/>
      <c r="N38" s="5" t="s">
        <v>53</v>
      </c>
      <c r="O38" s="5" t="s">
        <v>82</v>
      </c>
      <c r="P38" s="5">
        <f>10^(-0.0143*(-1.17)+((-0.363)*LOG10(G38))+0.135*(LOG10(0.98))-0.105)</f>
        <v>0.15940920742013229</v>
      </c>
      <c r="Q38" s="5">
        <f t="shared" si="28"/>
        <v>0.10660790292860839</v>
      </c>
      <c r="R38" s="5">
        <f t="shared" si="29"/>
        <v>558.08558974982054</v>
      </c>
      <c r="S38" s="5">
        <f t="shared" si="30"/>
        <v>123.20929369216987</v>
      </c>
      <c r="T38" s="5"/>
      <c r="U38" s="5"/>
      <c r="V38" s="5"/>
    </row>
    <row r="39" spans="1:28" s="1" customFormat="1" x14ac:dyDescent="0.25">
      <c r="A39" s="1" t="s">
        <v>6</v>
      </c>
      <c r="B39" s="1" t="s">
        <v>23</v>
      </c>
      <c r="C39" s="1" t="s">
        <v>13</v>
      </c>
      <c r="D39" s="22">
        <f>7.619048</f>
        <v>7.6190480000000003</v>
      </c>
      <c r="E39" s="22">
        <v>3375</v>
      </c>
      <c r="F39" s="22">
        <v>3800</v>
      </c>
      <c r="G39" s="5">
        <f t="shared" si="31"/>
        <v>289.60129256866611</v>
      </c>
      <c r="H39" s="5">
        <f>10^(3.07*LOG10(F39)-8.37)</f>
        <v>416.807611897897</v>
      </c>
      <c r="I39" s="5"/>
      <c r="J39" s="5">
        <f>G39*$D39</f>
        <v>2206.4861489427103</v>
      </c>
      <c r="K39" s="5">
        <f t="shared" si="27"/>
        <v>3175.6772018154484</v>
      </c>
      <c r="L39" s="8"/>
      <c r="M39" s="8"/>
      <c r="N39" s="5" t="s">
        <v>53</v>
      </c>
      <c r="O39" s="5" t="s">
        <v>82</v>
      </c>
      <c r="P39" s="5">
        <f>10^(0.0125*(-1.17)+((-0.23)*LOG10(G39))+0.729*(LOG10(0.98))-1.348)</f>
        <v>1.1608195003881928E-2</v>
      </c>
      <c r="Q39" s="5">
        <f>10^(0.0125*(-1.17)+((-0.23)*LOG10(H39))+0.729*(LOG10(0.98))-1.348)</f>
        <v>1.0675632413266644E-2</v>
      </c>
      <c r="R39" s="5">
        <f t="shared" si="29"/>
        <v>36.863880228055827</v>
      </c>
      <c r="S39" s="5">
        <f t="shared" si="30"/>
        <v>23.555635051076692</v>
      </c>
      <c r="T39" s="5"/>
      <c r="U39" s="5"/>
      <c r="V39" s="5"/>
    </row>
    <row r="40" spans="1:28" s="1" customFormat="1" x14ac:dyDescent="0.25">
      <c r="A40" s="1" t="s">
        <v>6</v>
      </c>
      <c r="B40" s="1" t="s">
        <v>23</v>
      </c>
      <c r="C40" s="1" t="s">
        <v>14</v>
      </c>
      <c r="D40" s="22">
        <f>2.285714</f>
        <v>2.285714</v>
      </c>
      <c r="E40" s="22">
        <v>3375</v>
      </c>
      <c r="F40" s="22">
        <v>3700</v>
      </c>
      <c r="G40" s="5">
        <f t="shared" si="31"/>
        <v>289.60129256866611</v>
      </c>
      <c r="H40" s="5">
        <f>10^(3.07*LOG10(F40)-8.37)</f>
        <v>384.04250418385305</v>
      </c>
      <c r="I40" s="5"/>
      <c r="J40" s="5">
        <f>G40*$D40</f>
        <v>661.94572884229615</v>
      </c>
      <c r="K40" s="5">
        <f t="shared" si="27"/>
        <v>877.81132840809153</v>
      </c>
      <c r="L40" s="8"/>
      <c r="M40" s="8"/>
      <c r="N40" s="5" t="s">
        <v>53</v>
      </c>
      <c r="O40" s="5" t="s">
        <v>82</v>
      </c>
      <c r="P40" s="5">
        <f>10^(0.0125*(-1.17)+((-0.23)*LOG10(G40))+0.729*(LOG10(0.98))-1.348)</f>
        <v>1.1608195003881928E-2</v>
      </c>
      <c r="Q40" s="5">
        <f>10^(0.0125*(-1.17)+((-0.23)*LOG10(H40))+0.729*(LOG10(0.98))-1.348)</f>
        <v>1.0878564018084068E-2</v>
      </c>
      <c r="R40" s="5">
        <f t="shared" si="29"/>
        <v>10.189805076777766</v>
      </c>
      <c r="S40" s="5">
        <f t="shared" si="30"/>
        <v>7.2010189877082356</v>
      </c>
      <c r="T40" s="5"/>
      <c r="U40" s="5"/>
      <c r="V40" s="5"/>
    </row>
    <row r="41" spans="1:28" s="11" customFormat="1" x14ac:dyDescent="0.25">
      <c r="A41" s="11" t="s">
        <v>6</v>
      </c>
      <c r="B41" s="11" t="s">
        <v>23</v>
      </c>
      <c r="C41" s="11" t="s">
        <v>15</v>
      </c>
      <c r="D41" s="20">
        <f>29.714286</f>
        <v>29.714286000000001</v>
      </c>
      <c r="E41" s="20"/>
      <c r="F41" s="20"/>
      <c r="G41" s="12"/>
      <c r="H41" s="12"/>
      <c r="I41" s="12"/>
      <c r="J41" s="12"/>
      <c r="K41" s="12"/>
      <c r="L41" s="8">
        <f>SUM(J35:J40)</f>
        <v>4093.6617899860339</v>
      </c>
      <c r="M41" s="8">
        <f>SUM(K35:K40)</f>
        <v>7701.7463000937823</v>
      </c>
      <c r="N41" s="12"/>
      <c r="O41" s="12"/>
      <c r="P41" s="12"/>
      <c r="Q41" s="12"/>
      <c r="R41" s="12"/>
      <c r="S41" s="12"/>
      <c r="T41" s="12">
        <f>SUM(R35:R40)</f>
        <v>655.33307348925121</v>
      </c>
      <c r="U41" s="12">
        <f>SUM(S35:S40)</f>
        <v>170.791028284757</v>
      </c>
      <c r="V41" s="12"/>
      <c r="W41" s="1"/>
      <c r="X41" s="1"/>
      <c r="Y41" s="1"/>
      <c r="Z41" s="1"/>
      <c r="AA41" s="1"/>
      <c r="AB41" s="1"/>
    </row>
    <row r="42" spans="1:28" s="31" customFormat="1" x14ac:dyDescent="0.25">
      <c r="A42" s="31" t="s">
        <v>6</v>
      </c>
      <c r="B42" s="31" t="s">
        <v>24</v>
      </c>
      <c r="C42" s="31" t="s">
        <v>4</v>
      </c>
      <c r="D42" s="62">
        <v>407.92</v>
      </c>
      <c r="E42" s="32">
        <v>5</v>
      </c>
      <c r="F42" s="32">
        <v>13</v>
      </c>
      <c r="G42" s="33">
        <f>0.297*((0.039*(E42)^3.5032)/0.9)*1000</f>
        <v>3615.8488360450829</v>
      </c>
      <c r="H42" s="33">
        <f>0.297*((0.039*(F42)^3.5032)/0.9)*1000</f>
        <v>102788.58764018776</v>
      </c>
      <c r="I42" s="33" t="s">
        <v>43</v>
      </c>
      <c r="J42" s="33">
        <f>G42*$D42</f>
        <v>1474977.0571995103</v>
      </c>
      <c r="K42" s="33">
        <f>H42*$D42</f>
        <v>41929520.670185395</v>
      </c>
      <c r="L42" s="34">
        <f>J42</f>
        <v>1474977.0571995103</v>
      </c>
      <c r="M42" s="34">
        <f>K42</f>
        <v>41929520.670185395</v>
      </c>
      <c r="N42" s="33" t="s">
        <v>53</v>
      </c>
      <c r="O42" s="33"/>
      <c r="P42" s="33"/>
      <c r="Q42" s="33"/>
      <c r="R42" s="33"/>
      <c r="S42" s="33"/>
      <c r="T42" s="33"/>
      <c r="U42" s="33"/>
      <c r="V42" s="33"/>
      <c r="W42" s="11"/>
      <c r="X42" s="11"/>
      <c r="Y42" s="11"/>
      <c r="Z42" s="11"/>
      <c r="AA42" s="11"/>
      <c r="AB42" s="11"/>
    </row>
    <row r="43" spans="1:28" s="1" customFormat="1" x14ac:dyDescent="0.25">
      <c r="A43" s="1" t="s">
        <v>6</v>
      </c>
      <c r="B43" s="1" t="s">
        <v>25</v>
      </c>
      <c r="C43" s="1" t="s">
        <v>18</v>
      </c>
      <c r="D43" s="22">
        <f>114.285714</f>
        <v>114.285714</v>
      </c>
      <c r="E43" s="22">
        <v>550</v>
      </c>
      <c r="F43" s="22">
        <v>810</v>
      </c>
      <c r="G43" s="5">
        <f>7.498*(E43*10^-3)^3.225</f>
        <v>1.0904734839613437</v>
      </c>
      <c r="H43" s="5">
        <f>7.498*(F43*10^-3)^3.225</f>
        <v>3.8002277240591043</v>
      </c>
      <c r="I43" s="5" t="s">
        <v>41</v>
      </c>
      <c r="J43" s="5">
        <f>G43*$D43</f>
        <v>124.62554071258971</v>
      </c>
      <c r="K43" s="5">
        <f>H43*$D43</f>
        <v>434.31173880668968</v>
      </c>
      <c r="N43" s="5" t="s">
        <v>53</v>
      </c>
      <c r="O43" s="5" t="s">
        <v>82</v>
      </c>
      <c r="P43" s="5">
        <f>10^(-0.0143*(-1.17)+((-0.363)*LOG10(G43))+0.135*(LOG10(0.98))-0.105)</f>
        <v>0.78866439638430619</v>
      </c>
      <c r="Q43" s="5">
        <f>10^(-0.0143*(-1.17)+((-0.363)*LOG10(H43))+0.135*(LOG10(0.98))-0.105)</f>
        <v>0.50127451728222427</v>
      </c>
      <c r="R43" s="5">
        <f>P43*K43</f>
        <v>342.52620532859635</v>
      </c>
      <c r="S43" s="5">
        <f>Q43*J43</f>
        <v>62.471607761739598</v>
      </c>
      <c r="T43" s="5"/>
      <c r="U43" s="5"/>
      <c r="W43" s="11"/>
      <c r="X43" s="11"/>
      <c r="Y43" s="11"/>
      <c r="Z43" s="11"/>
      <c r="AA43" s="11"/>
      <c r="AB43" s="11"/>
    </row>
    <row r="44" spans="1:28" s="1" customFormat="1" x14ac:dyDescent="0.25">
      <c r="A44" s="1" t="s">
        <v>6</v>
      </c>
      <c r="B44" s="1" t="s">
        <v>25</v>
      </c>
      <c r="C44" s="1" t="s">
        <v>9</v>
      </c>
      <c r="D44" s="22">
        <f>306.938776</f>
        <v>306.93877600000002</v>
      </c>
      <c r="E44" s="22">
        <v>810</v>
      </c>
      <c r="F44" s="22">
        <v>960</v>
      </c>
      <c r="G44" s="5">
        <f t="shared" ref="G44:G49" si="32">7.498*(E44*10^-3)^3.225</f>
        <v>3.8002277240591043</v>
      </c>
      <c r="H44" s="5">
        <f t="shared" ref="H44:H49" si="33">7.498*(F44*10^-3)^3.225</f>
        <v>6.5730988370014938</v>
      </c>
      <c r="I44" s="5"/>
      <c r="J44" s="5">
        <f t="shared" ref="J44:J49" si="34">G44*$D44</f>
        <v>1166.4372461439673</v>
      </c>
      <c r="K44" s="5">
        <f t="shared" ref="K44:K49" si="35">H44*$D44</f>
        <v>2017.5389115562621</v>
      </c>
      <c r="L44" s="8"/>
      <c r="M44" s="8"/>
      <c r="N44" s="5" t="s">
        <v>53</v>
      </c>
      <c r="O44" s="5" t="s">
        <v>82</v>
      </c>
      <c r="P44" s="5">
        <f>10^(-0.0143*(-1.17)+((-0.363)*LOG10(G44))+0.135*(LOG10(0.98))-0.105)</f>
        <v>0.50127451728222427</v>
      </c>
      <c r="Q44" s="5">
        <f t="shared" ref="Q44:Q47" si="36">10^(-0.0143*(-1.17)+((-0.363)*LOG10(H44))+0.135*(LOG10(0.98))-0.105)</f>
        <v>0.41086197662901536</v>
      </c>
      <c r="R44" s="5">
        <f t="shared" ref="R44:R49" si="37">P44*K44</f>
        <v>1011.3408439884695</v>
      </c>
      <c r="S44" s="5">
        <f t="shared" ref="S44:S49" si="38">Q44*J44</f>
        <v>479.24471256441569</v>
      </c>
      <c r="T44" s="5"/>
      <c r="U44" s="5"/>
      <c r="V44" s="5"/>
    </row>
    <row r="45" spans="1:28" s="1" customFormat="1" x14ac:dyDescent="0.25">
      <c r="A45" s="1" t="s">
        <v>6</v>
      </c>
      <c r="B45" s="1" t="s">
        <v>25</v>
      </c>
      <c r="C45" s="1" t="s">
        <v>10</v>
      </c>
      <c r="D45" s="22">
        <f>248.163265</f>
        <v>248.163265</v>
      </c>
      <c r="E45" s="22">
        <v>960</v>
      </c>
      <c r="F45" s="22">
        <v>1190</v>
      </c>
      <c r="G45" s="5">
        <f t="shared" si="32"/>
        <v>6.5730988370014938</v>
      </c>
      <c r="H45" s="5">
        <f t="shared" si="33"/>
        <v>13.13966783459518</v>
      </c>
      <c r="I45" s="5"/>
      <c r="J45" s="5">
        <f t="shared" si="34"/>
        <v>1631.2016685579936</v>
      </c>
      <c r="K45" s="5">
        <f t="shared" si="35"/>
        <v>3260.78287084862</v>
      </c>
      <c r="L45" s="8"/>
      <c r="M45" s="8"/>
      <c r="N45" s="5" t="s">
        <v>53</v>
      </c>
      <c r="O45" s="5" t="s">
        <v>82</v>
      </c>
      <c r="P45" s="5">
        <f>10^(-0.0143*(-1.17)+((-0.363)*LOG10(G45))+0.135*(LOG10(0.98))-0.105)</f>
        <v>0.41086197662901536</v>
      </c>
      <c r="Q45" s="5">
        <f t="shared" si="36"/>
        <v>0.31952172186234545</v>
      </c>
      <c r="R45" s="5">
        <f t="shared" si="37"/>
        <v>1339.7316956748994</v>
      </c>
      <c r="S45" s="5">
        <f t="shared" si="38"/>
        <v>521.20436584238098</v>
      </c>
      <c r="T45" s="5"/>
      <c r="U45" s="5"/>
      <c r="V45" s="5"/>
    </row>
    <row r="46" spans="1:28" s="1" customFormat="1" x14ac:dyDescent="0.25">
      <c r="A46" s="1" t="s">
        <v>6</v>
      </c>
      <c r="B46" s="1" t="s">
        <v>25</v>
      </c>
      <c r="C46" s="1" t="s">
        <v>11</v>
      </c>
      <c r="D46" s="22">
        <f>289.52381</f>
        <v>289.52381000000003</v>
      </c>
      <c r="E46" s="22">
        <v>1200</v>
      </c>
      <c r="F46" s="22">
        <v>1700</v>
      </c>
      <c r="G46" s="5">
        <f t="shared" si="32"/>
        <v>13.4991043523647</v>
      </c>
      <c r="H46" s="5">
        <f t="shared" si="33"/>
        <v>41.509089526501782</v>
      </c>
      <c r="I46" s="5"/>
      <c r="J46" s="5">
        <f t="shared" si="34"/>
        <v>3908.3121236842107</v>
      </c>
      <c r="K46" s="5">
        <f t="shared" si="35"/>
        <v>12017.869749343892</v>
      </c>
      <c r="L46" s="8"/>
      <c r="M46" s="8"/>
      <c r="N46" s="5" t="s">
        <v>53</v>
      </c>
      <c r="O46" s="5" t="s">
        <v>82</v>
      </c>
      <c r="P46" s="5">
        <f>10^(-0.0143*(-1.17)+((-0.363)*LOG10(G46))+0.135*(LOG10(0.98))-0.105)</f>
        <v>0.31640680962763562</v>
      </c>
      <c r="Q46" s="5">
        <f t="shared" si="36"/>
        <v>0.21045562400291457</v>
      </c>
      <c r="R46" s="5">
        <f t="shared" si="37"/>
        <v>3802.5358259103741</v>
      </c>
      <c r="S46" s="5">
        <f t="shared" si="38"/>
        <v>822.5262667881168</v>
      </c>
      <c r="T46" s="5"/>
      <c r="U46" s="5"/>
      <c r="V46" s="5"/>
    </row>
    <row r="47" spans="1:28" s="1" customFormat="1" x14ac:dyDescent="0.25">
      <c r="A47" s="1" t="s">
        <v>6</v>
      </c>
      <c r="B47" s="1" t="s">
        <v>25</v>
      </c>
      <c r="C47" s="1" t="s">
        <v>12</v>
      </c>
      <c r="D47" s="22">
        <f>SUM(371.809524,
152.380952)</f>
        <v>524.19047599999999</v>
      </c>
      <c r="E47" s="22">
        <v>1770</v>
      </c>
      <c r="F47" s="22">
        <v>2120</v>
      </c>
      <c r="G47" s="5">
        <f t="shared" si="32"/>
        <v>47.27801347584105</v>
      </c>
      <c r="H47" s="5">
        <f t="shared" si="33"/>
        <v>84.601602145198584</v>
      </c>
      <c r="I47" s="5"/>
      <c r="J47" s="5">
        <f t="shared" si="34"/>
        <v>24782.684388235535</v>
      </c>
      <c r="K47" s="5">
        <f t="shared" si="35"/>
        <v>44347.354098854266</v>
      </c>
      <c r="L47" s="8"/>
      <c r="M47" s="8"/>
      <c r="N47" s="5" t="s">
        <v>53</v>
      </c>
      <c r="O47" s="5" t="s">
        <v>82</v>
      </c>
      <c r="P47" s="5">
        <f>10^(-0.0143*(-1.17)+((-0.363)*LOG10(G47))+0.135*(LOG10(0.98))-0.105)</f>
        <v>0.2007452247857838</v>
      </c>
      <c r="Q47" s="5">
        <f t="shared" si="36"/>
        <v>0.162520478725033</v>
      </c>
      <c r="R47" s="5">
        <f t="shared" si="37"/>
        <v>8902.5195672292502</v>
      </c>
      <c r="S47" s="5">
        <f t="shared" si="38"/>
        <v>4027.693730867441</v>
      </c>
      <c r="T47" s="5"/>
      <c r="U47" s="5"/>
      <c r="V47" s="5"/>
    </row>
    <row r="48" spans="1:28" s="1" customFormat="1" x14ac:dyDescent="0.25">
      <c r="A48" s="1" t="s">
        <v>6</v>
      </c>
      <c r="B48" s="1" t="s">
        <v>25</v>
      </c>
      <c r="C48" s="1" t="s">
        <v>13</v>
      </c>
      <c r="D48" s="22">
        <f>2095.238095</f>
        <v>2095.2380950000002</v>
      </c>
      <c r="E48" s="22">
        <v>2500</v>
      </c>
      <c r="F48" s="22">
        <v>3000</v>
      </c>
      <c r="G48" s="5">
        <f t="shared" si="32"/>
        <v>143.97993197907149</v>
      </c>
      <c r="H48" s="5">
        <f t="shared" si="33"/>
        <v>259.21580773964502</v>
      </c>
      <c r="I48" s="5"/>
      <c r="J48" s="5">
        <f t="shared" si="34"/>
        <v>301672.23839805939</v>
      </c>
      <c r="K48" s="5">
        <f t="shared" si="35"/>
        <v>543118.83520230011</v>
      </c>
      <c r="L48" s="8"/>
      <c r="M48" s="8"/>
      <c r="N48" s="5" t="s">
        <v>53</v>
      </c>
      <c r="O48" s="5" t="s">
        <v>82</v>
      </c>
      <c r="P48" s="5">
        <f>10^(0.0125*(-1.17)+((-0.23)*LOG10(G48))+0.729*(LOG10(0.98))-1.348)</f>
        <v>1.3632306987097845E-2</v>
      </c>
      <c r="Q48" s="5">
        <f>10^(0.0125*(-1.17)+((-0.23)*LOG10(H48))+0.729*(LOG10(0.98))-1.348)</f>
        <v>1.1907940835503774E-2</v>
      </c>
      <c r="R48" s="5">
        <f t="shared" si="37"/>
        <v>7403.9626919527582</v>
      </c>
      <c r="S48" s="5">
        <f t="shared" si="38"/>
        <v>3592.2951665580813</v>
      </c>
      <c r="T48" s="5"/>
      <c r="U48" s="5"/>
      <c r="V48" s="5"/>
    </row>
    <row r="49" spans="1:28" s="1" customFormat="1" x14ac:dyDescent="0.25">
      <c r="A49" s="1" t="s">
        <v>6</v>
      </c>
      <c r="B49" s="1" t="s">
        <v>25</v>
      </c>
      <c r="C49" s="1" t="s">
        <v>14</v>
      </c>
      <c r="D49" s="22">
        <f>SUM(273.371429,
76.190476)</f>
        <v>349.56190499999997</v>
      </c>
      <c r="E49" s="22">
        <v>1960</v>
      </c>
      <c r="F49" s="22">
        <v>2400</v>
      </c>
      <c r="G49" s="5">
        <f t="shared" si="32"/>
        <v>65.685765602486825</v>
      </c>
      <c r="H49" s="5">
        <f t="shared" si="33"/>
        <v>126.2195683439836</v>
      </c>
      <c r="I49" s="5"/>
      <c r="J49" s="5">
        <f t="shared" si="34"/>
        <v>22961.241355388764</v>
      </c>
      <c r="K49" s="5">
        <f t="shared" si="35"/>
        <v>44121.552758600599</v>
      </c>
      <c r="L49" s="8"/>
      <c r="M49" s="8"/>
      <c r="N49" s="5" t="s">
        <v>53</v>
      </c>
      <c r="O49" s="5" t="s">
        <v>82</v>
      </c>
      <c r="P49" s="5">
        <f>10^(0.0125*(-1.17)+((-0.23)*LOG10(G49))+0.729*(LOG10(0.98))-1.348)</f>
        <v>1.6329031166322613E-2</v>
      </c>
      <c r="Q49" s="5">
        <f>10^(0.0125*(-1.17)+((-0.23)*LOG10(H49))+0.729*(LOG10(0.98))-1.348)</f>
        <v>1.4051402373541889E-2</v>
      </c>
      <c r="R49" s="5">
        <f t="shared" si="37"/>
        <v>720.46221010173667</v>
      </c>
      <c r="S49" s="5">
        <f t="shared" si="38"/>
        <v>322.63764128057784</v>
      </c>
      <c r="T49" s="5"/>
      <c r="U49" s="5"/>
      <c r="V49" s="5"/>
    </row>
    <row r="50" spans="1:28" s="11" customFormat="1" x14ac:dyDescent="0.25">
      <c r="A50" s="11" t="s">
        <v>6</v>
      </c>
      <c r="B50" s="11" t="s">
        <v>25</v>
      </c>
      <c r="C50" s="11" t="s">
        <v>15</v>
      </c>
      <c r="D50" s="20">
        <f>SUM(2740.419048,
1187.482993)</f>
        <v>3927.9020410000003</v>
      </c>
      <c r="E50" s="20"/>
      <c r="F50" s="20"/>
      <c r="G50" s="12"/>
      <c r="H50" s="12"/>
      <c r="I50" s="12"/>
      <c r="J50" s="12"/>
      <c r="K50" s="12"/>
      <c r="L50" s="8">
        <f>SUM(J43:J49)</f>
        <v>356246.74072078243</v>
      </c>
      <c r="M50" s="8">
        <f>SUM(K43:K49)</f>
        <v>649318.24533031043</v>
      </c>
      <c r="N50" s="12"/>
      <c r="O50" s="12"/>
      <c r="P50" s="12"/>
      <c r="Q50" s="12"/>
      <c r="R50" s="12"/>
      <c r="S50" s="12"/>
      <c r="T50" s="12">
        <f>SUM(R43:R49)</f>
        <v>23523.079040186087</v>
      </c>
      <c r="U50" s="12">
        <f>SUM(S43:S49)</f>
        <v>9828.0734916627534</v>
      </c>
      <c r="V50" s="12"/>
      <c r="W50" s="1"/>
      <c r="X50" s="1"/>
      <c r="Y50" s="1"/>
      <c r="Z50" s="1"/>
      <c r="AA50" s="1"/>
      <c r="AB50" s="1"/>
    </row>
    <row r="51" spans="1:28" s="2" customFormat="1" x14ac:dyDescent="0.25">
      <c r="A51" s="2" t="s">
        <v>6</v>
      </c>
      <c r="B51" s="2" t="s">
        <v>26</v>
      </c>
      <c r="C51" s="2" t="s">
        <v>10</v>
      </c>
      <c r="D51" s="21">
        <f>SUM(3.047619,
1015.510204)</f>
        <v>1018.5578230000001</v>
      </c>
      <c r="E51" s="21">
        <f>AVERAGE(310,410)</f>
        <v>360</v>
      </c>
      <c r="F51" s="21">
        <f>AVERAGE(340,470)</f>
        <v>405</v>
      </c>
      <c r="G51" s="3">
        <f>10^(3.07*LOG10(E51)-8.37)</f>
        <v>0.30050290681026581</v>
      </c>
      <c r="H51" s="3">
        <f>10^(3.07*LOG10(F51)-8.37)</f>
        <v>0.43140673536445334</v>
      </c>
      <c r="I51" s="3" t="s">
        <v>48</v>
      </c>
      <c r="J51" s="3">
        <f>G51*$D51</f>
        <v>306.07958656583622</v>
      </c>
      <c r="K51" s="3">
        <f>H51*$D51</f>
        <v>439.41270520035476</v>
      </c>
      <c r="L51" s="7"/>
      <c r="M51" s="7"/>
      <c r="N51" s="3" t="s">
        <v>53</v>
      </c>
      <c r="O51" s="3" t="s">
        <v>82</v>
      </c>
      <c r="P51" s="3">
        <f>10^(-0.0143*(-1.17)+((-0.363)*LOG10(G51))+0.135*(LOG10(0.98))-0.105)</f>
        <v>1.2591789368628519</v>
      </c>
      <c r="Q51" s="3">
        <f>10^(-0.0143*(-1.17)+((-0.363)*LOG10(H51))+0.135*(LOG10(0.98))-0.105)</f>
        <v>1.1042885466001806</v>
      </c>
      <c r="R51" s="3">
        <f>P51*K51</f>
        <v>553.29922297821247</v>
      </c>
      <c r="S51" s="3">
        <f>Q51*J51</f>
        <v>338.00018179277146</v>
      </c>
      <c r="T51" s="3"/>
      <c r="U51" s="3"/>
      <c r="V51" s="3"/>
      <c r="W51" s="11"/>
      <c r="X51" s="11"/>
      <c r="Y51" s="11"/>
      <c r="Z51" s="11"/>
      <c r="AA51" s="11"/>
      <c r="AB51" s="11"/>
    </row>
    <row r="52" spans="1:28" s="2" customFormat="1" x14ac:dyDescent="0.25">
      <c r="A52" s="2" t="s">
        <v>6</v>
      </c>
      <c r="B52" s="2" t="s">
        <v>26</v>
      </c>
      <c r="C52" s="2" t="s">
        <v>11</v>
      </c>
      <c r="D52" s="21">
        <f>3527.619048</f>
        <v>3527.619048</v>
      </c>
      <c r="E52" s="21">
        <f>AVERAGE(450,340)</f>
        <v>395</v>
      </c>
      <c r="F52" s="21">
        <f>AVERAGE(520,420)</f>
        <v>470</v>
      </c>
      <c r="G52" s="3">
        <f t="shared" ref="G52:G54" si="39">10^(3.07*LOG10(E52)-8.37)</f>
        <v>0.39953339306854257</v>
      </c>
      <c r="H52" s="3">
        <f>10^(3.07*LOG10(F52)-8.37)</f>
        <v>0.68130319229582648</v>
      </c>
      <c r="I52" s="3"/>
      <c r="J52" s="3">
        <f>G52*$D52</f>
        <v>1409.401607700662</v>
      </c>
      <c r="K52" s="3">
        <f t="shared" ref="K52:K55" si="40">H52*$D52</f>
        <v>2403.3781186059641</v>
      </c>
      <c r="L52" s="7"/>
      <c r="M52" s="7"/>
      <c r="N52" s="3" t="s">
        <v>53</v>
      </c>
      <c r="O52" s="3" t="s">
        <v>82</v>
      </c>
      <c r="P52" s="3">
        <f>10^(-0.0143*(-1.17)+((-0.363)*LOG10(G52))+0.135*(LOG10(0.98))-0.105)</f>
        <v>1.1354885281087712</v>
      </c>
      <c r="Q52" s="3">
        <f t="shared" ref="Q52:Q53" si="41">10^(-0.0143*(-1.17)+((-0.363)*LOG10(H52))+0.135*(LOG10(0.98))-0.105)</f>
        <v>0.93550033284737988</v>
      </c>
      <c r="R52" s="3">
        <f t="shared" ref="R52:R55" si="42">P52*K52</f>
        <v>2729.0082823847138</v>
      </c>
      <c r="S52" s="3">
        <f t="shared" ref="S52:S55" si="43">Q52*J52</f>
        <v>1318.4956731196016</v>
      </c>
      <c r="T52" s="3"/>
      <c r="U52" s="3"/>
      <c r="V52" s="3"/>
      <c r="W52" s="1"/>
      <c r="X52" s="1"/>
      <c r="Y52" s="1"/>
      <c r="Z52" s="1"/>
      <c r="AA52" s="1"/>
      <c r="AB52" s="1"/>
    </row>
    <row r="53" spans="1:28" s="2" customFormat="1" x14ac:dyDescent="0.25">
      <c r="A53" s="2" t="s">
        <v>6</v>
      </c>
      <c r="B53" s="2" t="s">
        <v>26</v>
      </c>
      <c r="C53" s="2" t="s">
        <v>12</v>
      </c>
      <c r="D53" s="21">
        <f>3442.721088</f>
        <v>3442.7210879999998</v>
      </c>
      <c r="E53" s="21">
        <f>470</f>
        <v>470</v>
      </c>
      <c r="F53" s="21">
        <v>580</v>
      </c>
      <c r="G53" s="3">
        <f t="shared" si="39"/>
        <v>0.68130319229582648</v>
      </c>
      <c r="H53" s="3">
        <f>10^(3.07*LOG10(F53)-8.37)</f>
        <v>1.2993433864335129</v>
      </c>
      <c r="I53" s="3"/>
      <c r="J53" s="3">
        <f>G53*$D53</f>
        <v>2345.5368674385609</v>
      </c>
      <c r="K53" s="3">
        <f t="shared" si="40"/>
        <v>4473.2768770279872</v>
      </c>
      <c r="L53" s="7"/>
      <c r="M53" s="7"/>
      <c r="N53" s="3" t="s">
        <v>53</v>
      </c>
      <c r="O53" s="3" t="s">
        <v>82</v>
      </c>
      <c r="P53" s="3">
        <f>10^(-0.0143*(-1.17)+((-0.363)*LOG10(G53))+0.135*(LOG10(0.98))-0.105)</f>
        <v>0.93550033284737988</v>
      </c>
      <c r="Q53" s="3">
        <f t="shared" si="41"/>
        <v>0.74005624861323882</v>
      </c>
      <c r="R53" s="3">
        <f t="shared" si="42"/>
        <v>4184.7520073781698</v>
      </c>
      <c r="S53" s="3">
        <f t="shared" si="43"/>
        <v>1735.829215100629</v>
      </c>
      <c r="T53" s="3"/>
      <c r="U53" s="3"/>
      <c r="V53" s="3"/>
      <c r="W53" s="1"/>
      <c r="X53" s="1"/>
      <c r="Y53" s="1"/>
      <c r="Z53" s="1"/>
      <c r="AA53" s="1"/>
      <c r="AB53" s="1"/>
    </row>
    <row r="54" spans="1:28" s="2" customFormat="1" x14ac:dyDescent="0.25">
      <c r="A54" s="2" t="s">
        <v>6</v>
      </c>
      <c r="B54" s="2" t="s">
        <v>26</v>
      </c>
      <c r="C54" s="2" t="s">
        <v>13</v>
      </c>
      <c r="D54" s="23">
        <f>SUM(3.047619,
5419.319728)</f>
        <v>5422.3673470000003</v>
      </c>
      <c r="E54" s="21">
        <v>540</v>
      </c>
      <c r="F54" s="21">
        <v>630</v>
      </c>
      <c r="G54" s="3">
        <f t="shared" si="39"/>
        <v>1.043395219650612</v>
      </c>
      <c r="H54" s="3">
        <f>10^(3.07*LOG10(F54)-8.37)</f>
        <v>1.6748483387596196</v>
      </c>
      <c r="I54" s="3"/>
      <c r="J54" s="3">
        <f>G54*$D54</f>
        <v>5657.6721690493714</v>
      </c>
      <c r="K54" s="3">
        <f t="shared" si="40"/>
        <v>9081.6429432673558</v>
      </c>
      <c r="L54" s="7"/>
      <c r="M54" s="7"/>
      <c r="N54" s="3" t="s">
        <v>53</v>
      </c>
      <c r="O54" s="3" t="s">
        <v>82</v>
      </c>
      <c r="P54" s="3">
        <f>10^(0.0125*(-1.17)+((-0.23)*LOG10(G54))+0.729*(LOG10(0.98))-1.348)</f>
        <v>4.233851052111616E-2</v>
      </c>
      <c r="Q54" s="3">
        <f>10^(0.0125*(-1.17)+((-0.23)*LOG10(H54))+0.729*(LOG10(0.98))-1.348)</f>
        <v>3.7972085248822222E-2</v>
      </c>
      <c r="R54" s="3">
        <f t="shared" si="42"/>
        <v>384.50323530254525</v>
      </c>
      <c r="S54" s="3">
        <f t="shared" si="43"/>
        <v>214.83360991303167</v>
      </c>
      <c r="T54" s="3"/>
      <c r="U54" s="3"/>
      <c r="V54" s="3"/>
      <c r="W54" s="1"/>
      <c r="X54" s="1"/>
      <c r="Y54" s="1"/>
      <c r="Z54" s="1"/>
      <c r="AA54" s="1"/>
      <c r="AB54" s="1"/>
    </row>
    <row r="55" spans="1:28" s="2" customFormat="1" x14ac:dyDescent="0.25">
      <c r="A55" s="2" t="s">
        <v>6</v>
      </c>
      <c r="B55" s="2" t="s">
        <v>26</v>
      </c>
      <c r="C55" s="2" t="s">
        <v>14</v>
      </c>
      <c r="D55" s="21">
        <f>SUM(4.571429,660.680272,225.30612)</f>
        <v>890.55782099999988</v>
      </c>
      <c r="E55" s="21">
        <v>500</v>
      </c>
      <c r="F55" s="21">
        <v>570</v>
      </c>
      <c r="G55" s="3">
        <f>10^(3.07*LOG10(E55)-8.37)</f>
        <v>0.8238305889012606</v>
      </c>
      <c r="H55" s="3">
        <f>10^(3.07*LOG10(F55)-8.37)</f>
        <v>1.2317875405449858</v>
      </c>
      <c r="I55" s="3"/>
      <c r="J55" s="3">
        <f>G55*$D55</f>
        <v>733.66877412505335</v>
      </c>
      <c r="K55" s="3">
        <f t="shared" si="40"/>
        <v>1096.9780280426917</v>
      </c>
      <c r="L55" s="7"/>
      <c r="M55" s="7"/>
      <c r="N55" s="3" t="s">
        <v>53</v>
      </c>
      <c r="O55" s="3" t="s">
        <v>82</v>
      </c>
      <c r="P55" s="3">
        <f>10^(0.0125*(-1.17)+((-0.23)*LOG10(G55))+0.729*(LOG10(0.98))-1.348)</f>
        <v>4.4702940266646278E-2</v>
      </c>
      <c r="Q55" s="3">
        <f>10^(0.0125*(-1.17)+((-0.23)*LOG10(H55))+0.729*(LOG10(0.98))-1.348)</f>
        <v>4.0752623629013697E-2</v>
      </c>
      <c r="R55" s="3">
        <f t="shared" si="42"/>
        <v>49.038143261415868</v>
      </c>
      <c r="S55" s="3">
        <f t="shared" si="43"/>
        <v>29.898927420278163</v>
      </c>
      <c r="T55" s="3"/>
      <c r="U55" s="3"/>
      <c r="V55" s="3"/>
      <c r="W55" s="1"/>
      <c r="X55" s="1"/>
      <c r="Y55" s="1"/>
      <c r="Z55" s="1"/>
      <c r="AA55" s="1"/>
      <c r="AB55" s="1"/>
    </row>
    <row r="56" spans="1:28" s="9" customFormat="1" x14ac:dyDescent="0.25">
      <c r="A56" s="9" t="s">
        <v>6</v>
      </c>
      <c r="B56" s="9" t="s">
        <v>26</v>
      </c>
      <c r="C56" s="9" t="s">
        <v>15</v>
      </c>
      <c r="D56" s="19">
        <f>SUM(10.666667,
14291.156463)</f>
        <v>14301.823129999999</v>
      </c>
      <c r="E56" s="19"/>
      <c r="F56" s="19"/>
      <c r="G56" s="10"/>
      <c r="H56" s="10"/>
      <c r="I56" s="10"/>
      <c r="J56" s="10"/>
      <c r="K56" s="10"/>
      <c r="L56" s="7">
        <f>SUM(J51:J55)</f>
        <v>10452.359004879483</v>
      </c>
      <c r="M56" s="7">
        <f>SUM(K51:K55)</f>
        <v>17494.688672144355</v>
      </c>
      <c r="N56" s="10"/>
      <c r="O56" s="10"/>
      <c r="P56" s="10"/>
      <c r="Q56" s="10"/>
      <c r="R56" s="10"/>
      <c r="S56" s="10"/>
      <c r="T56" s="10">
        <f>SUM(R51:R55)</f>
        <v>7900.6008913050573</v>
      </c>
      <c r="U56" s="10">
        <f>SUM(S51:S55)</f>
        <v>3637.0576073463117</v>
      </c>
      <c r="V56" s="10"/>
      <c r="W56" s="1"/>
      <c r="X56" s="1"/>
      <c r="Y56" s="1"/>
      <c r="Z56" s="1"/>
      <c r="AA56" s="1"/>
      <c r="AB56" s="1"/>
    </row>
    <row r="57" spans="1:28" s="1" customFormat="1" x14ac:dyDescent="0.25">
      <c r="A57" s="1" t="s">
        <v>6</v>
      </c>
      <c r="B57" s="1" t="s">
        <v>27</v>
      </c>
      <c r="C57" s="1" t="s">
        <v>18</v>
      </c>
      <c r="D57" s="22">
        <f>143.673469</f>
        <v>143.67346900000001</v>
      </c>
      <c r="E57" s="22">
        <v>200</v>
      </c>
      <c r="F57" s="22">
        <v>240</v>
      </c>
      <c r="G57" s="5">
        <f>9.4676*10^-7*(E57*10^-3*1000)^2.16</f>
        <v>8.8402529453012677E-2</v>
      </c>
      <c r="H57" s="5">
        <f>9.4676*10^-7*(F57*10^-3*1000)^2.16</f>
        <v>0.13106785230452156</v>
      </c>
      <c r="I57" s="5" t="s">
        <v>44</v>
      </c>
      <c r="J57" s="5">
        <f t="shared" ref="J57:K60" si="44">G57*$D57</f>
        <v>12.701098074889005</v>
      </c>
      <c r="K57" s="5">
        <f t="shared" si="44"/>
        <v>18.830973014970258</v>
      </c>
      <c r="L57" s="8"/>
      <c r="M57" s="8"/>
      <c r="N57" s="5" t="s">
        <v>53</v>
      </c>
      <c r="O57" s="5" t="s">
        <v>83</v>
      </c>
      <c r="P57" s="5">
        <f>10^(0.0182*(-1.17)+((0.193)*LOG10(G57))+0.195*(LOG10(0.98))-1.591)</f>
        <v>1.5228697858554461E-2</v>
      </c>
      <c r="Q57" s="5">
        <f>10^(0.0182*(-1.17)+((0.193)*LOG10(H57))+0.195*(LOG10(0.98))-1.591)</f>
        <v>1.6431297090364876E-2</v>
      </c>
      <c r="R57" s="5">
        <f>P57*K57</f>
        <v>0.28677119842757443</v>
      </c>
      <c r="S57" s="5">
        <f>Q57*J57</f>
        <v>0.20869551584236265</v>
      </c>
      <c r="T57" s="5"/>
      <c r="U57" s="5"/>
      <c r="V57" s="5"/>
      <c r="W57" s="11"/>
      <c r="X57" s="11"/>
      <c r="Y57" s="11"/>
      <c r="Z57" s="11"/>
      <c r="AA57" s="11"/>
      <c r="AB57" s="11"/>
    </row>
    <row r="58" spans="1:28" s="1" customFormat="1" x14ac:dyDescent="0.25">
      <c r="A58" s="1" t="s">
        <v>6</v>
      </c>
      <c r="B58" s="1" t="s">
        <v>27</v>
      </c>
      <c r="C58" s="1" t="s">
        <v>9</v>
      </c>
      <c r="D58" s="22">
        <f>788.027211</f>
        <v>788.02721099999997</v>
      </c>
      <c r="E58" s="22">
        <v>240</v>
      </c>
      <c r="F58" s="22">
        <v>280</v>
      </c>
      <c r="G58" s="5">
        <f t="shared" ref="G58:G63" si="45">9.4676*10^-7*(E58*10^-3*1000)^2.16</f>
        <v>0.13106785230452156</v>
      </c>
      <c r="H58" s="5">
        <f t="shared" ref="H58:H63" si="46">9.4676*10^-7*(F58*10^-3*1000)^2.16</f>
        <v>0.18285264576036406</v>
      </c>
      <c r="I58" s="5"/>
      <c r="J58" s="5">
        <f t="shared" si="44"/>
        <v>103.28503410329205</v>
      </c>
      <c r="K58" s="5">
        <f t="shared" si="44"/>
        <v>144.09286046251066</v>
      </c>
      <c r="L58" s="8"/>
      <c r="M58" s="8"/>
      <c r="N58" s="5" t="s">
        <v>53</v>
      </c>
      <c r="O58" s="5" t="s">
        <v>83</v>
      </c>
      <c r="P58" s="5">
        <f t="shared" ref="P58:P63" si="47">10^(0.0182*(-1.17)+((0.193)*LOG10(G58))+0.195*(LOG10(0.98))-1.591)</f>
        <v>1.6431297090364876E-2</v>
      </c>
      <c r="Q58" s="5">
        <f t="shared" ref="Q58:Q63" si="48">10^(0.0182*(-1.17)+((0.193)*LOG10(H58))+0.195*(LOG10(0.98))-1.591)</f>
        <v>1.7521876935662734E-2</v>
      </c>
      <c r="R58" s="5">
        <f t="shared" ref="R58:R63" si="49">P58*K58</f>
        <v>2.3676325988600033</v>
      </c>
      <c r="S58" s="5">
        <f t="shared" ref="S58:S63" si="50">Q58*J58</f>
        <v>1.8097476568536117</v>
      </c>
      <c r="T58" s="5"/>
      <c r="U58" s="5"/>
      <c r="V58" s="5"/>
    </row>
    <row r="59" spans="1:28" s="1" customFormat="1" x14ac:dyDescent="0.25">
      <c r="A59" s="1" t="s">
        <v>6</v>
      </c>
      <c r="B59" s="1" t="s">
        <v>27</v>
      </c>
      <c r="C59" s="1" t="s">
        <v>10</v>
      </c>
      <c r="D59" s="22">
        <f>1061.22449</f>
        <v>1061.2244900000001</v>
      </c>
      <c r="E59" s="22">
        <v>280</v>
      </c>
      <c r="F59" s="22">
        <v>320</v>
      </c>
      <c r="G59" s="5">
        <f t="shared" si="45"/>
        <v>0.18285264576036406</v>
      </c>
      <c r="H59" s="5">
        <f t="shared" si="46"/>
        <v>0.24398540846373284</v>
      </c>
      <c r="I59" s="5"/>
      <c r="J59" s="5">
        <f t="shared" si="44"/>
        <v>194.04770574219302</v>
      </c>
      <c r="K59" s="5">
        <f t="shared" si="44"/>
        <v>258.92329066436656</v>
      </c>
      <c r="L59" s="8"/>
      <c r="M59" s="8"/>
      <c r="N59" s="5" t="s">
        <v>53</v>
      </c>
      <c r="O59" s="5" t="s">
        <v>83</v>
      </c>
      <c r="P59" s="5">
        <f t="shared" si="47"/>
        <v>1.7521876935662734E-2</v>
      </c>
      <c r="Q59" s="5">
        <f t="shared" si="48"/>
        <v>1.8524918612004077E-2</v>
      </c>
      <c r="R59" s="5">
        <f t="shared" si="49"/>
        <v>4.5368220347978623</v>
      </c>
      <c r="S59" s="5">
        <f t="shared" si="50"/>
        <v>3.5947179557202418</v>
      </c>
      <c r="T59" s="5"/>
      <c r="U59" s="5"/>
      <c r="V59" s="5"/>
    </row>
    <row r="60" spans="1:28" s="1" customFormat="1" x14ac:dyDescent="0.25">
      <c r="A60" s="1" t="s">
        <v>6</v>
      </c>
      <c r="B60" s="1" t="s">
        <v>27</v>
      </c>
      <c r="C60" s="1" t="s">
        <v>11</v>
      </c>
      <c r="D60" s="22">
        <v>2676.4625850000002</v>
      </c>
      <c r="E60" s="22">
        <v>320</v>
      </c>
      <c r="F60" s="22">
        <v>360</v>
      </c>
      <c r="G60" s="5">
        <f t="shared" si="45"/>
        <v>0.24398540846373284</v>
      </c>
      <c r="H60" s="5">
        <f t="shared" si="46"/>
        <v>0.31466852373011789</v>
      </c>
      <c r="I60" s="5"/>
      <c r="J60" s="5">
        <f t="shared" si="44"/>
        <v>653.01781703912332</v>
      </c>
      <c r="K60" s="5">
        <f t="shared" si="44"/>
        <v>842.19853044084527</v>
      </c>
      <c r="L60" s="8"/>
      <c r="M60" s="8"/>
      <c r="N60" s="5" t="s">
        <v>53</v>
      </c>
      <c r="O60" s="5" t="s">
        <v>83</v>
      </c>
      <c r="P60" s="5">
        <f t="shared" si="47"/>
        <v>1.8524918612004077E-2</v>
      </c>
      <c r="Q60" s="5">
        <f t="shared" si="48"/>
        <v>1.9457219226631947E-2</v>
      </c>
      <c r="R60" s="5">
        <f t="shared" si="49"/>
        <v>15.601659231566098</v>
      </c>
      <c r="S60" s="5">
        <f t="shared" si="50"/>
        <v>12.705910825026853</v>
      </c>
      <c r="T60" s="5"/>
      <c r="U60" s="5"/>
      <c r="V60" s="5"/>
    </row>
    <row r="61" spans="1:28" s="1" customFormat="1" x14ac:dyDescent="0.25">
      <c r="A61" s="1" t="s">
        <v>6</v>
      </c>
      <c r="B61" s="1" t="s">
        <v>27</v>
      </c>
      <c r="C61" s="1" t="s">
        <v>12</v>
      </c>
      <c r="D61" s="22">
        <f>SUM(4.571429,
7555.918367)</f>
        <v>7560.4897959999998</v>
      </c>
      <c r="E61" s="22">
        <v>400</v>
      </c>
      <c r="F61" s="22">
        <v>400</v>
      </c>
      <c r="G61" s="5">
        <f t="shared" si="45"/>
        <v>0.3950840365236063</v>
      </c>
      <c r="H61" s="5">
        <f t="shared" si="46"/>
        <v>0.3950840365236063</v>
      </c>
      <c r="I61" s="5"/>
      <c r="J61" s="5">
        <f>G61*$D61</f>
        <v>2987.0288266992166</v>
      </c>
      <c r="K61" s="5">
        <f t="shared" ref="K61" si="51">H61*$D61</f>
        <v>2987.0288266992166</v>
      </c>
      <c r="L61" s="8"/>
      <c r="M61" s="8"/>
      <c r="N61" s="5" t="s">
        <v>53</v>
      </c>
      <c r="O61" s="5" t="s">
        <v>83</v>
      </c>
      <c r="P61" s="5">
        <f t="shared" si="47"/>
        <v>2.0330878961951543E-2</v>
      </c>
      <c r="Q61" s="5">
        <f t="shared" si="48"/>
        <v>2.0330878961951543E-2</v>
      </c>
      <c r="R61" s="5">
        <f t="shared" si="49"/>
        <v>60.728921531481902</v>
      </c>
      <c r="S61" s="5">
        <f t="shared" si="50"/>
        <v>60.728921531481902</v>
      </c>
      <c r="T61" s="5"/>
      <c r="U61" s="5"/>
      <c r="V61" s="5"/>
    </row>
    <row r="62" spans="1:28" s="1" customFormat="1" x14ac:dyDescent="0.25">
      <c r="A62" s="1" t="s">
        <v>6</v>
      </c>
      <c r="B62" s="1" t="s">
        <v>27</v>
      </c>
      <c r="C62" s="1" t="s">
        <v>13</v>
      </c>
      <c r="D62" s="22">
        <f>SUM(13.409524,24435.37415,274.285714)</f>
        <v>24723.069388</v>
      </c>
      <c r="E62" s="22">
        <v>420</v>
      </c>
      <c r="F62" s="22">
        <v>500</v>
      </c>
      <c r="G62" s="5">
        <f t="shared" si="45"/>
        <v>0.43899378138795536</v>
      </c>
      <c r="H62" s="5">
        <f t="shared" si="46"/>
        <v>0.63975709407633896</v>
      </c>
      <c r="I62" s="5"/>
      <c r="J62" s="5">
        <f>G62*$D62</f>
        <v>10853.273718154924</v>
      </c>
      <c r="K62" s="5">
        <f>H62*$D62</f>
        <v>15816.759028314571</v>
      </c>
      <c r="L62" s="8"/>
      <c r="M62" s="8"/>
      <c r="N62" s="5" t="s">
        <v>53</v>
      </c>
      <c r="O62" s="5" t="s">
        <v>83</v>
      </c>
      <c r="P62" s="5">
        <f t="shared" si="47"/>
        <v>2.0748635906484295E-2</v>
      </c>
      <c r="Q62" s="5">
        <f t="shared" si="48"/>
        <v>2.2312899075177483E-2</v>
      </c>
      <c r="R62" s="5">
        <f t="shared" si="49"/>
        <v>328.17617429909734</v>
      </c>
      <c r="S62" s="5">
        <f t="shared" si="50"/>
        <v>242.16800110846708</v>
      </c>
      <c r="T62" s="5"/>
      <c r="U62" s="5"/>
      <c r="V62" s="5"/>
    </row>
    <row r="63" spans="1:28" s="1" customFormat="1" x14ac:dyDescent="0.25">
      <c r="A63" s="1" t="s">
        <v>6</v>
      </c>
      <c r="B63" s="1" t="s">
        <v>27</v>
      </c>
      <c r="C63" s="1" t="s">
        <v>14</v>
      </c>
      <c r="D63" s="22">
        <f>3173.877551</f>
        <v>3173.877551</v>
      </c>
      <c r="E63" s="22">
        <v>380</v>
      </c>
      <c r="F63" s="22">
        <v>420</v>
      </c>
      <c r="G63" s="5">
        <f t="shared" si="45"/>
        <v>0.35364902873926202</v>
      </c>
      <c r="H63" s="5">
        <f t="shared" si="46"/>
        <v>0.43899378138795536</v>
      </c>
      <c r="I63" s="5"/>
      <c r="J63" s="5">
        <f>G63*$D63</f>
        <v>1122.4387132484976</v>
      </c>
      <c r="K63" s="5">
        <f>H63*$D63</f>
        <v>1393.3125077758332</v>
      </c>
      <c r="L63" s="8"/>
      <c r="M63" s="8"/>
      <c r="N63" s="5" t="s">
        <v>53</v>
      </c>
      <c r="O63" s="5" t="s">
        <v>83</v>
      </c>
      <c r="P63" s="5">
        <f t="shared" si="47"/>
        <v>1.9900755838951251E-2</v>
      </c>
      <c r="Q63" s="5">
        <f t="shared" si="48"/>
        <v>2.0748635906484295E-2</v>
      </c>
      <c r="R63" s="5">
        <f t="shared" si="49"/>
        <v>27.727972024603723</v>
      </c>
      <c r="S63" s="5">
        <f t="shared" si="50"/>
        <v>23.289072188535808</v>
      </c>
      <c r="T63" s="5"/>
      <c r="U63" s="5"/>
      <c r="V63" s="5"/>
    </row>
    <row r="64" spans="1:28" s="11" customFormat="1" x14ac:dyDescent="0.25">
      <c r="A64" s="11" t="s">
        <v>6</v>
      </c>
      <c r="B64" s="11" t="s">
        <v>27</v>
      </c>
      <c r="C64" s="11" t="s">
        <v>15</v>
      </c>
      <c r="D64" s="20">
        <f>SUM(17.980952,
40108.843537)</f>
        <v>40126.824488999999</v>
      </c>
      <c r="E64" s="20"/>
      <c r="F64" s="20"/>
      <c r="G64" s="12"/>
      <c r="H64" s="12"/>
      <c r="I64" s="12"/>
      <c r="J64" s="12"/>
      <c r="K64" s="12"/>
      <c r="L64" s="8">
        <f>SUM(J57:J63)</f>
        <v>15925.792913062136</v>
      </c>
      <c r="M64" s="8">
        <f>SUM(K57:K63)</f>
        <v>21461.146017372314</v>
      </c>
      <c r="N64" s="12"/>
      <c r="O64" s="12"/>
      <c r="P64" s="12"/>
      <c r="Q64" s="12"/>
      <c r="R64" s="12"/>
      <c r="S64" s="12"/>
      <c r="T64" s="12">
        <f>SUM(R57:R63)</f>
        <v>439.42595291883453</v>
      </c>
      <c r="U64" s="12">
        <f>SUM(S57:S63)</f>
        <v>344.50506678192784</v>
      </c>
      <c r="V64" s="12"/>
      <c r="W64" s="1"/>
      <c r="X64" s="1"/>
      <c r="Y64" s="1"/>
      <c r="Z64" s="1"/>
      <c r="AA64" s="1"/>
      <c r="AB64" s="1"/>
    </row>
    <row r="65" spans="1:28" s="9" customFormat="1" x14ac:dyDescent="0.25">
      <c r="A65" s="9" t="s">
        <v>6</v>
      </c>
      <c r="B65" s="9" t="s">
        <v>28</v>
      </c>
      <c r="C65" s="9" t="s">
        <v>13</v>
      </c>
      <c r="D65" s="19">
        <f>994.829932</f>
        <v>994.82993199999999</v>
      </c>
      <c r="E65" s="19">
        <v>400</v>
      </c>
      <c r="F65" s="19">
        <v>540</v>
      </c>
      <c r="G65" s="10">
        <f>0.4*(10^((3.16*LOG10(E65))-8.18)/0.9)</f>
        <v>0.49014779640231004</v>
      </c>
      <c r="H65" s="10">
        <f>0.4*(10^((3.16*LOG10(F65))-8.18)/0.9)</f>
        <v>1.2652657815422117</v>
      </c>
      <c r="I65" s="10" t="s">
        <v>43</v>
      </c>
      <c r="J65" s="10">
        <f>G65*$D65</f>
        <v>487.61369896485996</v>
      </c>
      <c r="K65" s="10">
        <f>H65*$D65</f>
        <v>1258.7242714135652</v>
      </c>
      <c r="L65" s="7">
        <f>J65</f>
        <v>487.61369896485996</v>
      </c>
      <c r="M65" s="7">
        <f>K65</f>
        <v>1258.7242714135652</v>
      </c>
      <c r="N65" s="10" t="s">
        <v>53</v>
      </c>
      <c r="O65" s="3" t="s">
        <v>82</v>
      </c>
      <c r="P65" s="3">
        <f>10^(0.0125*(-1.17)+((-0.23)*LOG10(G65))+0.729*(LOG10(0.98))-1.348)</f>
        <v>5.0373669290946659E-2</v>
      </c>
      <c r="Q65" s="3">
        <f>10^(0.0125*(-1.17)+((-0.23)*LOG10(H65))+0.729*(LOG10(0.98))-1.348)</f>
        <v>4.050204983592564E-2</v>
      </c>
      <c r="R65" s="3">
        <f>P65*K65</f>
        <v>63.406560176674716</v>
      </c>
      <c r="S65" s="3">
        <f>Q65*J65</f>
        <v>19.749354336154802</v>
      </c>
      <c r="T65" s="10">
        <f>P65</f>
        <v>5.0373669290946659E-2</v>
      </c>
      <c r="U65" s="10">
        <f>Q65</f>
        <v>4.050204983592564E-2</v>
      </c>
      <c r="V65" s="10"/>
      <c r="W65" s="11"/>
      <c r="X65" s="11"/>
      <c r="Y65" s="11"/>
      <c r="Z65" s="11"/>
      <c r="AA65" s="11"/>
      <c r="AB65" s="11"/>
    </row>
    <row r="66" spans="1:28" s="1" customFormat="1" x14ac:dyDescent="0.25">
      <c r="A66" s="1" t="s">
        <v>6</v>
      </c>
      <c r="B66" s="1" t="s">
        <v>29</v>
      </c>
      <c r="C66" s="1" t="s">
        <v>18</v>
      </c>
      <c r="D66" s="22">
        <f>428.843537</f>
        <v>428.84353700000003</v>
      </c>
      <c r="E66" s="22">
        <f>AVERAGE(1160,1000)</f>
        <v>1080</v>
      </c>
      <c r="F66" s="22">
        <f>AVERAGE(1160,1000)</f>
        <v>1080</v>
      </c>
      <c r="G66" s="5">
        <f>((0.0075*(E66*10^-3)^3.274)/0.9)*0.447*1000</f>
        <v>4.7924286142003751</v>
      </c>
      <c r="H66" s="5">
        <f>((0.0075*(F66*10^-3)^3.274)/0.9)*0.447*1000</f>
        <v>4.7924286142003751</v>
      </c>
      <c r="I66" s="5" t="s">
        <v>46</v>
      </c>
      <c r="J66" s="5">
        <f>G66*$D66</f>
        <v>2055.2020377336976</v>
      </c>
      <c r="K66" s="5">
        <f>H66*$D66</f>
        <v>2055.2020377336976</v>
      </c>
      <c r="L66" s="8"/>
      <c r="M66" s="8"/>
      <c r="N66" s="5" t="s">
        <v>51</v>
      </c>
      <c r="O66" s="5" t="s">
        <v>83</v>
      </c>
      <c r="P66" s="5">
        <f>10^(0.0182*(-1.17)+((0.193)*LOG10(G66))+0.195*(LOG10(0.98))-1.591)</f>
        <v>3.2911094511825813E-2</v>
      </c>
      <c r="Q66" s="5">
        <f>10^(0.0182*(-1.17)+((0.193)*LOG10(H66))+0.195*(LOG10(0.98))-1.591)</f>
        <v>3.2911094511825813E-2</v>
      </c>
      <c r="R66" s="5">
        <f>P66*K66</f>
        <v>67.638948504750715</v>
      </c>
      <c r="S66" s="5">
        <f>Q66*J66</f>
        <v>67.638948504750715</v>
      </c>
      <c r="T66" s="5"/>
      <c r="U66" s="5"/>
      <c r="V66" s="5"/>
      <c r="W66" s="11"/>
      <c r="X66" s="11"/>
      <c r="Y66" s="11"/>
      <c r="Z66" s="11"/>
      <c r="AA66" s="11"/>
      <c r="AB66" s="11"/>
    </row>
    <row r="67" spans="1:28" s="1" customFormat="1" x14ac:dyDescent="0.25">
      <c r="A67" s="1" t="s">
        <v>6</v>
      </c>
      <c r="B67" s="1" t="s">
        <v>29</v>
      </c>
      <c r="C67" s="1" t="s">
        <v>9</v>
      </c>
      <c r="D67" s="22">
        <f>SUM(4.571429,
511.564626)</f>
        <v>516.13605499999994</v>
      </c>
      <c r="E67" s="22">
        <v>1500</v>
      </c>
      <c r="F67" s="22">
        <v>1500</v>
      </c>
      <c r="G67" s="5">
        <f t="shared" ref="G67:G70" si="52">((0.0075*(E67*10^-3)^3.274)/0.9)*0.447*1000</f>
        <v>14.049117968657727</v>
      </c>
      <c r="H67" s="5">
        <f>((0.0075*(F67*10^-3)^3.274)/0.9)*0.447*1000</f>
        <v>14.049117968657727</v>
      </c>
      <c r="I67" s="5"/>
      <c r="J67" s="5">
        <f>G67*$D67</f>
        <v>7251.2563245726124</v>
      </c>
      <c r="K67" s="5">
        <f t="shared" ref="K67:K69" si="53">H67*$D67</f>
        <v>7251.2563245726124</v>
      </c>
      <c r="L67" s="8"/>
      <c r="M67" s="8"/>
      <c r="N67" s="5" t="s">
        <v>51</v>
      </c>
      <c r="O67" s="5" t="s">
        <v>83</v>
      </c>
      <c r="P67" s="5">
        <f>10^(0.0182*(-1.17)+((0.193)*LOG10(G67))+0.195*(LOG10(0.98))-1.591)</f>
        <v>4.0503388082704359E-2</v>
      </c>
      <c r="Q67" s="5">
        <f t="shared" ref="Q67:Q70" si="54">10^(0.0182*(-1.17)+((0.193)*LOG10(H67))+0.195*(LOG10(0.98))-1.591)</f>
        <v>4.0503388082704359E-2</v>
      </c>
      <c r="R67" s="5">
        <f t="shared" ref="R67:R70" si="55">P67*K67</f>
        <v>293.70044900132893</v>
      </c>
      <c r="S67" s="5">
        <f t="shared" ref="S67:S70" si="56">Q67*J67</f>
        <v>293.70044900132893</v>
      </c>
      <c r="T67" s="5"/>
      <c r="U67" s="5"/>
      <c r="V67" s="5"/>
    </row>
    <row r="68" spans="1:28" s="1" customFormat="1" x14ac:dyDescent="0.25">
      <c r="A68" s="1" t="s">
        <v>6</v>
      </c>
      <c r="B68" s="1" t="s">
        <v>29</v>
      </c>
      <c r="C68" s="1" t="s">
        <v>10</v>
      </c>
      <c r="D68" s="22">
        <f>SUM(106.057143,
111.020408)</f>
        <v>217.077551</v>
      </c>
      <c r="E68" s="22">
        <f>AVERAGE(2080,300)</f>
        <v>1190</v>
      </c>
      <c r="F68" s="22">
        <f>AVERAGE(2410,300)</f>
        <v>1355</v>
      </c>
      <c r="G68" s="5">
        <f t="shared" si="52"/>
        <v>6.5836544542729074</v>
      </c>
      <c r="H68" s="5">
        <f>((0.0075*(F68*10^-3)^3.274)/0.9)*0.447*1000</f>
        <v>10.071531829787753</v>
      </c>
      <c r="I68" s="5"/>
      <c r="J68" s="5">
        <f>G68*$D68</f>
        <v>1429.1635855638042</v>
      </c>
      <c r="K68" s="5">
        <f t="shared" si="53"/>
        <v>2186.3034644288746</v>
      </c>
      <c r="L68" s="8"/>
      <c r="M68" s="8"/>
      <c r="N68" s="5" t="s">
        <v>51</v>
      </c>
      <c r="O68" s="5" t="s">
        <v>83</v>
      </c>
      <c r="P68" s="5">
        <f>10^(0.0182*(-1.17)+((0.193)*LOG10(G68))+0.195*(LOG10(0.98))-1.591)</f>
        <v>3.4991230996695752E-2</v>
      </c>
      <c r="Q68" s="5">
        <f t="shared" si="54"/>
        <v>3.7983284983519904E-2</v>
      </c>
      <c r="R68" s="5">
        <f t="shared" si="55"/>
        <v>76.501449552706944</v>
      </c>
      <c r="S68" s="5">
        <f t="shared" si="56"/>
        <v>54.284327758539106</v>
      </c>
      <c r="T68" s="5"/>
      <c r="U68" s="5"/>
      <c r="V68" s="5"/>
    </row>
    <row r="69" spans="1:28" s="1" customFormat="1" x14ac:dyDescent="0.25">
      <c r="A69" s="1" t="s">
        <v>6</v>
      </c>
      <c r="B69" s="1" t="s">
        <v>29</v>
      </c>
      <c r="C69" s="1" t="s">
        <v>11</v>
      </c>
      <c r="D69" s="22">
        <f>69.790476</f>
        <v>69.790475999999998</v>
      </c>
      <c r="E69" s="22">
        <f>AVERAGE(2960,4000)</f>
        <v>3480</v>
      </c>
      <c r="F69" s="22">
        <f>AVERAGE(3570,5400)</f>
        <v>4485</v>
      </c>
      <c r="G69" s="5">
        <f t="shared" si="52"/>
        <v>220.93103228131193</v>
      </c>
      <c r="H69" s="5">
        <f>((0.0075*(F69*10^-3)^3.274)/0.9)*0.447*1000</f>
        <v>506.98665722465563</v>
      </c>
      <c r="I69" s="5"/>
      <c r="J69" s="5">
        <f>G69*$D69</f>
        <v>15418.881906084125</v>
      </c>
      <c r="K69" s="5">
        <f t="shared" si="53"/>
        <v>35382.840133357553</v>
      </c>
      <c r="L69" s="8"/>
      <c r="M69" s="8"/>
      <c r="N69" s="5" t="s">
        <v>51</v>
      </c>
      <c r="O69" s="5" t="s">
        <v>83</v>
      </c>
      <c r="P69" s="5">
        <f>10^(0.0182*(-1.17)+((0.193)*LOG10(G69))+0.195*(LOG10(0.98))-1.591)</f>
        <v>6.8934500345330663E-2</v>
      </c>
      <c r="Q69" s="5">
        <f t="shared" si="54"/>
        <v>8.0920659764144712E-2</v>
      </c>
      <c r="R69" s="5">
        <f t="shared" si="55"/>
        <v>2439.0984053917159</v>
      </c>
      <c r="S69" s="5">
        <f t="shared" si="56"/>
        <v>1247.7060966657607</v>
      </c>
      <c r="T69" s="5"/>
      <c r="U69" s="5"/>
      <c r="V69" s="5"/>
    </row>
    <row r="70" spans="1:28" s="1" customFormat="1" x14ac:dyDescent="0.25">
      <c r="A70" s="1" t="s">
        <v>6</v>
      </c>
      <c r="B70" s="1" t="s">
        <v>29</v>
      </c>
      <c r="C70" s="1" t="s">
        <v>12</v>
      </c>
      <c r="D70" s="22">
        <f>16.761905</f>
        <v>16.761904999999999</v>
      </c>
      <c r="E70" s="22">
        <f>AVERAGE(4400,3000)</f>
        <v>3700</v>
      </c>
      <c r="F70" s="22">
        <f>AVERAGE(5640,3800)</f>
        <v>4720</v>
      </c>
      <c r="G70" s="5">
        <f t="shared" si="52"/>
        <v>270.03416914122573</v>
      </c>
      <c r="H70" s="5">
        <f>((0.0075*(F70*10^-3)^3.274)/0.9)*0.447*1000</f>
        <v>599.25598557806939</v>
      </c>
      <c r="I70" s="5"/>
      <c r="J70" s="5">
        <f>G70*$D70</f>
        <v>4526.2870898991569</v>
      </c>
      <c r="K70" s="5">
        <f>H70*$D70</f>
        <v>10044.671900940968</v>
      </c>
      <c r="L70" s="8"/>
      <c r="M70" s="8"/>
      <c r="N70" s="5" t="s">
        <v>51</v>
      </c>
      <c r="O70" s="5" t="s">
        <v>83</v>
      </c>
      <c r="P70" s="5">
        <f>10^(0.0182*(-1.17)+((0.193)*LOG10(G70))+0.195*(LOG10(0.98))-1.591)</f>
        <v>7.1657045548081527E-2</v>
      </c>
      <c r="Q70" s="5">
        <f t="shared" si="54"/>
        <v>8.3574593754282306E-2</v>
      </c>
      <c r="R70" s="5">
        <f t="shared" si="55"/>
        <v>719.77151192126155</v>
      </c>
      <c r="S70" s="5">
        <f t="shared" si="56"/>
        <v>378.28260475357473</v>
      </c>
      <c r="T70" s="5"/>
      <c r="U70" s="5"/>
      <c r="V70" s="5"/>
    </row>
    <row r="71" spans="1:28" s="11" customFormat="1" x14ac:dyDescent="0.25">
      <c r="A71" s="11" t="s">
        <v>6</v>
      </c>
      <c r="B71" s="11" t="s">
        <v>29</v>
      </c>
      <c r="C71" s="11" t="s">
        <v>15</v>
      </c>
      <c r="D71" s="20">
        <f>SUM(197.180952,
1051.428571)</f>
        <v>1248.6095229999999</v>
      </c>
      <c r="E71" s="20"/>
      <c r="F71" s="20"/>
      <c r="G71" s="12"/>
      <c r="H71" s="12"/>
      <c r="I71" s="12"/>
      <c r="J71" s="12"/>
      <c r="K71" s="12"/>
      <c r="L71" s="8">
        <f>SUM(J66:J70)</f>
        <v>30680.790943853393</v>
      </c>
      <c r="M71" s="8">
        <f>SUM(K68:K70)</f>
        <v>47613.815498727403</v>
      </c>
      <c r="N71" s="12"/>
      <c r="O71" s="12"/>
      <c r="P71" s="12"/>
      <c r="Q71" s="12"/>
      <c r="R71" s="12"/>
      <c r="S71" s="12"/>
      <c r="T71" s="12">
        <f>SUM(R66:R70)</f>
        <v>3596.7107643717641</v>
      </c>
      <c r="U71" s="12">
        <f>SUM(S66:S70)</f>
        <v>2041.6124266839543</v>
      </c>
      <c r="V71" s="12"/>
      <c r="W71" s="1"/>
      <c r="X71" s="1"/>
      <c r="Y71" s="1"/>
      <c r="Z71" s="1"/>
      <c r="AA71" s="1"/>
      <c r="AB71" s="1"/>
    </row>
    <row r="72" spans="1:28" s="31" customFormat="1" x14ac:dyDescent="0.25">
      <c r="A72" s="31" t="s">
        <v>6</v>
      </c>
      <c r="B72" s="31" t="s">
        <v>30</v>
      </c>
      <c r="C72" s="31" t="s">
        <v>4</v>
      </c>
      <c r="D72" s="32">
        <f>SUM(8.380952,
380.952381)</f>
        <v>389.33333299999998</v>
      </c>
      <c r="E72" s="32"/>
      <c r="F72" s="32"/>
      <c r="G72" s="33">
        <f>0.537*11.3</f>
        <v>6.0681000000000012</v>
      </c>
      <c r="H72" s="33">
        <f>0.537*11.3</f>
        <v>6.0681000000000012</v>
      </c>
      <c r="I72" s="33" t="s">
        <v>48</v>
      </c>
      <c r="J72" s="33">
        <f>G72*D72</f>
        <v>2362.5135979773004</v>
      </c>
      <c r="K72" s="33">
        <v>2362.5135979773004</v>
      </c>
      <c r="L72" s="34">
        <v>2362.5135979773004</v>
      </c>
      <c r="M72" s="34">
        <v>2362.5135979773004</v>
      </c>
      <c r="N72" s="33" t="s">
        <v>53</v>
      </c>
      <c r="O72" s="33"/>
      <c r="P72" s="33">
        <f>(14*(G72*10^6)^-0.25)*EXP(0.0693*(-1.17-20))*(J72*10^6)</f>
        <v>153671732.46300435</v>
      </c>
      <c r="Q72" s="33"/>
      <c r="R72" s="33"/>
      <c r="S72" s="33"/>
      <c r="T72" s="33"/>
      <c r="U72" s="33"/>
      <c r="V72" s="33"/>
      <c r="W72" s="11"/>
      <c r="X72" s="11"/>
      <c r="Y72" s="11"/>
      <c r="Z72" s="11"/>
      <c r="AA72" s="11"/>
      <c r="AB72" s="11"/>
    </row>
    <row r="73" spans="1:28" s="1" customFormat="1" x14ac:dyDescent="0.25">
      <c r="A73" s="1" t="s">
        <v>6</v>
      </c>
      <c r="B73" s="1" t="s">
        <v>31</v>
      </c>
      <c r="C73" s="1" t="s">
        <v>18</v>
      </c>
      <c r="D73" s="22">
        <f>1851.428571</f>
        <v>1851.4285709999999</v>
      </c>
      <c r="E73" s="22">
        <v>450</v>
      </c>
      <c r="F73" s="22">
        <v>450</v>
      </c>
      <c r="G73" s="5">
        <f>(10^(2.85*(LOG10(E73*10^-3*1000))-7.62))*0.447</f>
        <v>0.39080776789498056</v>
      </c>
      <c r="H73" s="5">
        <f>(10^(2.85*(LOG10(F73*10^-3*1000))-7.62))*0.447</f>
        <v>0.39080776789498056</v>
      </c>
      <c r="I73" s="5" t="s">
        <v>42</v>
      </c>
      <c r="J73" s="5">
        <f>G73*$D73</f>
        <v>723.55266724950354</v>
      </c>
      <c r="K73" s="5">
        <f>H73*$D73</f>
        <v>723.55266724950354</v>
      </c>
      <c r="N73" s="5" t="s">
        <v>53</v>
      </c>
      <c r="O73" s="5" t="s">
        <v>83</v>
      </c>
      <c r="P73" s="5">
        <f>10^(0.0182*(-1.17)+((0.193)*LOG10(G73))+0.195*(LOG10(0.98))-1.591)</f>
        <v>2.028822160359434E-2</v>
      </c>
      <c r="Q73" s="5">
        <f>10^(0.0182*(-1.17)+((0.193)*LOG10(H73))+0.195*(LOG10(0.98))-1.591)</f>
        <v>2.028822160359434E-2</v>
      </c>
      <c r="R73" s="5">
        <f>P73*K73</f>
        <v>14.679596855029684</v>
      </c>
      <c r="S73" s="5">
        <f>Q73*J73</f>
        <v>14.679596855029684</v>
      </c>
      <c r="T73" s="5"/>
      <c r="U73" s="5"/>
      <c r="W73" s="11"/>
      <c r="X73" s="11"/>
      <c r="Y73" s="11"/>
      <c r="Z73" s="11"/>
      <c r="AA73" s="11"/>
      <c r="AB73" s="11"/>
    </row>
    <row r="74" spans="1:28" s="1" customFormat="1" x14ac:dyDescent="0.25">
      <c r="A74" s="1" t="s">
        <v>6</v>
      </c>
      <c r="B74" s="1" t="s">
        <v>31</v>
      </c>
      <c r="C74" s="1" t="s">
        <v>9</v>
      </c>
      <c r="D74" s="22">
        <f>1769.795918</f>
        <v>1769.795918</v>
      </c>
      <c r="E74" s="22">
        <v>600</v>
      </c>
      <c r="F74" s="22">
        <v>600</v>
      </c>
      <c r="G74" s="5">
        <f t="shared" ref="G74:G79" si="57">(10^(2.85*(LOG10(E74*10^-3*1000))-7.62))*0.447</f>
        <v>0.88723483865811659</v>
      </c>
      <c r="H74" s="5">
        <f t="shared" ref="H74:H79" si="58">(10^(2.85*(LOG10(F74*10^-3*1000))-7.62))*0.447</f>
        <v>0.88723483865811659</v>
      </c>
      <c r="I74" s="5"/>
      <c r="J74" s="5">
        <f t="shared" ref="J74:J79" si="59">G74*$D74</f>
        <v>1570.2245957645234</v>
      </c>
      <c r="K74" s="5">
        <f t="shared" ref="K74:K79" si="60">H74*$D74</f>
        <v>1570.2245957645234</v>
      </c>
      <c r="L74" s="8"/>
      <c r="M74" s="8"/>
      <c r="N74" s="5" t="s">
        <v>53</v>
      </c>
      <c r="O74" s="5" t="s">
        <v>83</v>
      </c>
      <c r="P74" s="5">
        <f t="shared" ref="P74:P79" si="61">10^(0.0182*(-1.17)+((0.193)*LOG10(G74))+0.195*(LOG10(0.98))-1.591)</f>
        <v>2.3766571274236876E-2</v>
      </c>
      <c r="Q74" s="5">
        <f t="shared" ref="Q74:Q79" si="62">10^(0.0182*(-1.17)+((0.193)*LOG10(H74))+0.195*(LOG10(0.98))-1.591)</f>
        <v>2.3766571274236876E-2</v>
      </c>
      <c r="R74" s="5">
        <f t="shared" ref="R74:R79" si="63">P74*K74</f>
        <v>37.318854771797334</v>
      </c>
      <c r="S74" s="5">
        <f t="shared" ref="S74:S79" si="64">Q74*J74</f>
        <v>37.318854771797334</v>
      </c>
      <c r="T74" s="5"/>
      <c r="U74" s="5"/>
      <c r="V74" s="5"/>
    </row>
    <row r="75" spans="1:28" s="1" customFormat="1" x14ac:dyDescent="0.25">
      <c r="A75" s="1" t="s">
        <v>6</v>
      </c>
      <c r="B75" s="1" t="s">
        <v>31</v>
      </c>
      <c r="C75" s="1" t="s">
        <v>10</v>
      </c>
      <c r="D75" s="22">
        <v>1480.272109</v>
      </c>
      <c r="E75" s="22">
        <f>AVERAGE(800,750,450)</f>
        <v>666.66666666666663</v>
      </c>
      <c r="F75" s="22">
        <f>AVERAGE(560,950,850)</f>
        <v>786.66666666666663</v>
      </c>
      <c r="G75" s="5">
        <f t="shared" si="57"/>
        <v>1.1979741166682267</v>
      </c>
      <c r="H75" s="5">
        <f t="shared" si="58"/>
        <v>1.9200438871492924</v>
      </c>
      <c r="I75" s="5"/>
      <c r="J75" s="5">
        <f t="shared" si="59"/>
        <v>1773.3276722078881</v>
      </c>
      <c r="K75" s="5">
        <f t="shared" si="60"/>
        <v>2842.187414203041</v>
      </c>
      <c r="L75" s="8"/>
      <c r="M75" s="8"/>
      <c r="N75" s="5" t="s">
        <v>53</v>
      </c>
      <c r="O75" s="5" t="s">
        <v>83</v>
      </c>
      <c r="P75" s="5">
        <f t="shared" si="61"/>
        <v>2.5184622164300976E-2</v>
      </c>
      <c r="Q75" s="5">
        <f t="shared" si="62"/>
        <v>2.7585073013044113E-2</v>
      </c>
      <c r="R75" s="5">
        <f t="shared" si="63"/>
        <v>71.579416146835186</v>
      </c>
      <c r="S75" s="5">
        <f t="shared" si="64"/>
        <v>48.917373313906147</v>
      </c>
      <c r="T75" s="5"/>
      <c r="U75" s="5"/>
      <c r="V75" s="5"/>
    </row>
    <row r="76" spans="1:28" s="1" customFormat="1" x14ac:dyDescent="0.25">
      <c r="A76" s="1" t="s">
        <v>6</v>
      </c>
      <c r="B76" s="1" t="s">
        <v>31</v>
      </c>
      <c r="C76" s="1" t="s">
        <v>11</v>
      </c>
      <c r="D76" s="22">
        <f>137.142857</f>
        <v>137.14285699999999</v>
      </c>
      <c r="E76" s="22">
        <f>AVERAGE(950,850,560)</f>
        <v>786.66666666666663</v>
      </c>
      <c r="F76" s="22">
        <f>AVERAGE(1050,950,700)</f>
        <v>900</v>
      </c>
      <c r="G76" s="5">
        <f t="shared" si="57"/>
        <v>1.9200438871492924</v>
      </c>
      <c r="H76" s="5">
        <f t="shared" si="58"/>
        <v>2.8177254528580589</v>
      </c>
      <c r="I76" s="5"/>
      <c r="J76" s="5">
        <f t="shared" si="59"/>
        <v>263.32030424903951</v>
      </c>
      <c r="K76" s="5">
        <f t="shared" si="60"/>
        <v>386.43091884657298</v>
      </c>
      <c r="L76" s="8"/>
      <c r="M76" s="8"/>
      <c r="N76" s="5" t="s">
        <v>53</v>
      </c>
      <c r="O76" s="5" t="s">
        <v>83</v>
      </c>
      <c r="P76" s="5">
        <f t="shared" si="61"/>
        <v>2.7585073013044113E-2</v>
      </c>
      <c r="Q76" s="5">
        <f t="shared" si="62"/>
        <v>2.9704724515460402E-2</v>
      </c>
      <c r="R76" s="5">
        <f t="shared" si="63"/>
        <v>10.659725110880439</v>
      </c>
      <c r="S76" s="5">
        <f t="shared" si="64"/>
        <v>7.8218570970449361</v>
      </c>
      <c r="T76" s="5"/>
      <c r="U76" s="5"/>
      <c r="V76" s="5"/>
    </row>
    <row r="77" spans="1:28" s="1" customFormat="1" x14ac:dyDescent="0.25">
      <c r="A77" s="1" t="s">
        <v>6</v>
      </c>
      <c r="B77" s="1" t="s">
        <v>31</v>
      </c>
      <c r="C77" s="1" t="s">
        <v>12</v>
      </c>
      <c r="D77" s="22">
        <f>65.306122</f>
        <v>65.306122000000002</v>
      </c>
      <c r="E77" s="22">
        <f>AVERAGE(650,1200,950)</f>
        <v>933.33333333333337</v>
      </c>
      <c r="F77" s="22">
        <f>AVERAGE(1300,1100,850)</f>
        <v>1083.3333333333333</v>
      </c>
      <c r="G77" s="5">
        <f t="shared" si="57"/>
        <v>3.1254484233881543</v>
      </c>
      <c r="H77" s="5">
        <f t="shared" si="58"/>
        <v>4.7794676451112066</v>
      </c>
      <c r="I77" s="5"/>
      <c r="J77" s="5">
        <f t="shared" si="59"/>
        <v>204.11091604249447</v>
      </c>
      <c r="K77" s="5">
        <f t="shared" si="60"/>
        <v>312.12849712668515</v>
      </c>
      <c r="L77" s="8"/>
      <c r="M77" s="8"/>
      <c r="N77" s="5" t="s">
        <v>53</v>
      </c>
      <c r="O77" s="5" t="s">
        <v>83</v>
      </c>
      <c r="P77" s="5">
        <f t="shared" si="61"/>
        <v>3.0304921662439945E-2</v>
      </c>
      <c r="Q77" s="5">
        <f t="shared" si="62"/>
        <v>3.2893897384912558E-2</v>
      </c>
      <c r="R77" s="5">
        <f t="shared" si="63"/>
        <v>9.4590296540393055</v>
      </c>
      <c r="S77" s="5">
        <f t="shared" si="64"/>
        <v>6.7140035274423155</v>
      </c>
      <c r="T77" s="5"/>
      <c r="U77" s="5"/>
      <c r="V77" s="5"/>
    </row>
    <row r="78" spans="1:28" s="1" customFormat="1" x14ac:dyDescent="0.25">
      <c r="A78" s="1" t="s">
        <v>6</v>
      </c>
      <c r="B78" s="1" t="s">
        <v>31</v>
      </c>
      <c r="C78" s="1" t="s">
        <v>13</v>
      </c>
      <c r="D78" s="22">
        <f>SUM(4.571429,
1048.163265)</f>
        <v>1052.734694</v>
      </c>
      <c r="E78" s="22">
        <f>AVERAGE(1150,1600,850)</f>
        <v>1200</v>
      </c>
      <c r="F78" s="22">
        <f>AVERAGE(1150,1600,850)</f>
        <v>1200</v>
      </c>
      <c r="G78" s="5">
        <f t="shared" si="57"/>
        <v>6.3969664702805833</v>
      </c>
      <c r="H78" s="5">
        <f t="shared" si="58"/>
        <v>6.3969664702805833</v>
      </c>
      <c r="I78" s="5"/>
      <c r="J78" s="5">
        <f t="shared" si="59"/>
        <v>6734.30853961909</v>
      </c>
      <c r="K78" s="5">
        <f t="shared" si="60"/>
        <v>6734.30853961909</v>
      </c>
      <c r="L78" s="8"/>
      <c r="M78" s="8"/>
      <c r="N78" s="5" t="s">
        <v>53</v>
      </c>
      <c r="O78" s="5" t="s">
        <v>83</v>
      </c>
      <c r="P78" s="5">
        <f t="shared" si="61"/>
        <v>3.4797503012939657E-2</v>
      </c>
      <c r="Q78" s="5">
        <f t="shared" si="62"/>
        <v>3.4797503012939657E-2</v>
      </c>
      <c r="R78" s="5">
        <f t="shared" si="63"/>
        <v>234.33712169746053</v>
      </c>
      <c r="S78" s="5">
        <f t="shared" si="64"/>
        <v>234.33712169746053</v>
      </c>
      <c r="T78" s="5"/>
      <c r="U78" s="5"/>
      <c r="V78" s="5"/>
    </row>
    <row r="79" spans="1:28" s="1" customFormat="1" x14ac:dyDescent="0.25">
      <c r="A79" s="1" t="s">
        <v>6</v>
      </c>
      <c r="B79" s="1" t="s">
        <v>31</v>
      </c>
      <c r="C79" s="1" t="s">
        <v>14</v>
      </c>
      <c r="D79" s="22">
        <v>45.714286000000001</v>
      </c>
      <c r="E79" s="22">
        <f>AVERAGE(800,1200,1000)</f>
        <v>1000</v>
      </c>
      <c r="F79" s="22">
        <f>AVERAGE(800,1200,1000)</f>
        <v>1000</v>
      </c>
      <c r="G79" s="5">
        <f t="shared" si="57"/>
        <v>3.8045870307646301</v>
      </c>
      <c r="H79" s="5">
        <f t="shared" si="58"/>
        <v>3.8045870307646301</v>
      </c>
      <c r="I79" s="5"/>
      <c r="J79" s="5">
        <f t="shared" si="59"/>
        <v>173.9239796362651</v>
      </c>
      <c r="K79" s="5">
        <f t="shared" si="60"/>
        <v>173.9239796362651</v>
      </c>
      <c r="L79" s="8"/>
      <c r="M79" s="8"/>
      <c r="N79" s="5" t="s">
        <v>53</v>
      </c>
      <c r="O79" s="5" t="s">
        <v>83</v>
      </c>
      <c r="P79" s="5">
        <f t="shared" si="61"/>
        <v>3.147707991970497E-2</v>
      </c>
      <c r="Q79" s="5">
        <f t="shared" si="62"/>
        <v>3.147707991970497E-2</v>
      </c>
      <c r="R79" s="5">
        <f t="shared" si="63"/>
        <v>5.4746190069638567</v>
      </c>
      <c r="S79" s="5">
        <f t="shared" si="64"/>
        <v>5.4746190069638567</v>
      </c>
      <c r="T79" s="5"/>
      <c r="U79" s="5"/>
      <c r="V79" s="5"/>
    </row>
    <row r="80" spans="1:28" s="11" customFormat="1" x14ac:dyDescent="0.25">
      <c r="A80" s="11" t="s">
        <v>6</v>
      </c>
      <c r="B80" s="11" t="s">
        <v>31</v>
      </c>
      <c r="C80" s="11" t="s">
        <v>15</v>
      </c>
      <c r="D80" s="20">
        <f>SUM(4.571429,
6397.823129)</f>
        <v>6402.394558</v>
      </c>
      <c r="E80" s="20"/>
      <c r="F80" s="20"/>
      <c r="G80" s="12"/>
      <c r="H80" s="12"/>
      <c r="I80" s="12"/>
      <c r="J80" s="12"/>
      <c r="K80" s="12"/>
      <c r="L80" s="8">
        <f>SUM(J73:J79)</f>
        <v>11442.768674768804</v>
      </c>
      <c r="M80" s="8">
        <f>SUM(K75:K77)</f>
        <v>3540.7468301762992</v>
      </c>
      <c r="N80" s="12"/>
      <c r="O80" s="12"/>
      <c r="P80" s="12"/>
      <c r="Q80" s="12"/>
      <c r="R80" s="12"/>
      <c r="S80" s="12"/>
      <c r="T80" s="12">
        <f>SUM(R73:R79)</f>
        <v>383.50836324300633</v>
      </c>
      <c r="U80" s="12">
        <f>SUM(S73:S79)</f>
        <v>355.26342626964481</v>
      </c>
      <c r="V80" s="12"/>
      <c r="W80" s="1"/>
      <c r="X80" s="1"/>
      <c r="Y80" s="1"/>
      <c r="Z80" s="1"/>
      <c r="AA80" s="1"/>
      <c r="AB80" s="1"/>
    </row>
    <row r="81" spans="1:28" s="2" customFormat="1" x14ac:dyDescent="0.25">
      <c r="A81" s="2" t="s">
        <v>6</v>
      </c>
      <c r="B81" s="2" t="s">
        <v>32</v>
      </c>
      <c r="C81" s="2" t="s">
        <v>9</v>
      </c>
      <c r="D81" s="21">
        <v>91.428571000000005</v>
      </c>
      <c r="E81" s="21">
        <v>620</v>
      </c>
      <c r="F81" s="21">
        <v>620</v>
      </c>
      <c r="G81" s="3">
        <f t="shared" ref="G81:G86" si="65">10^(3.07*LOG10(E81)-8.37)</f>
        <v>1.5945659526775366</v>
      </c>
      <c r="H81" s="3">
        <f t="shared" ref="H81:H86" si="66">10^(3.07*LOG10(F81)-8.37)</f>
        <v>1.5945659526775366</v>
      </c>
      <c r="I81" s="3" t="s">
        <v>48</v>
      </c>
      <c r="J81" s="3">
        <f>G81*$D81</f>
        <v>145.78888641856082</v>
      </c>
      <c r="K81" s="3">
        <f>H81*$D81</f>
        <v>145.78888641856082</v>
      </c>
      <c r="N81" s="3" t="s">
        <v>53</v>
      </c>
      <c r="O81" s="3" t="s">
        <v>82</v>
      </c>
      <c r="P81" s="3">
        <f>10^(-0.0143*(-1.17)+((-0.363)*LOG10(G81))+0.135*(LOG10(0.98))-0.105)</f>
        <v>0.68704834456610897</v>
      </c>
      <c r="Q81" s="3">
        <f>10^(-0.0143*(-1.17)+((-0.363)*LOG10(H81))+0.135*(LOG10(0.98))-0.105)</f>
        <v>0.68704834456610897</v>
      </c>
      <c r="R81" s="3">
        <f>P81*K81</f>
        <v>100.16401307000869</v>
      </c>
      <c r="S81" s="3">
        <f>Q81*J81</f>
        <v>100.16401307000869</v>
      </c>
      <c r="T81" s="3"/>
      <c r="U81" s="3"/>
      <c r="V81" s="3"/>
      <c r="W81" s="11"/>
      <c r="X81" s="11"/>
      <c r="Y81" s="11"/>
      <c r="Z81" s="11"/>
      <c r="AA81" s="11"/>
      <c r="AB81" s="11"/>
    </row>
    <row r="82" spans="1:28" s="2" customFormat="1" x14ac:dyDescent="0.25">
      <c r="A82" s="2" t="s">
        <v>6</v>
      </c>
      <c r="B82" s="2" t="s">
        <v>32</v>
      </c>
      <c r="C82" s="2" t="s">
        <v>10</v>
      </c>
      <c r="D82" s="21">
        <v>247.07482999999999</v>
      </c>
      <c r="E82" s="21">
        <v>800</v>
      </c>
      <c r="F82" s="21">
        <v>1000</v>
      </c>
      <c r="G82" s="3">
        <f t="shared" si="65"/>
        <v>3.4872755113851293</v>
      </c>
      <c r="H82" s="3">
        <f t="shared" si="66"/>
        <v>6.9183097091893631</v>
      </c>
      <c r="I82" s="3"/>
      <c r="J82" s="3">
        <f>G82*$D82</f>
        <v>861.61800413864387</v>
      </c>
      <c r="K82" s="3">
        <f t="shared" ref="K82:K86" si="67">H82*$D82</f>
        <v>1709.3401952853112</v>
      </c>
      <c r="L82" s="7"/>
      <c r="M82" s="7"/>
      <c r="N82" s="3" t="s">
        <v>53</v>
      </c>
      <c r="O82" s="3" t="s">
        <v>82</v>
      </c>
      <c r="P82" s="3">
        <f>10^(-0.0143*(-1.17)+((-0.363)*LOG10(G82))+0.135*(LOG10(0.98))-0.105)</f>
        <v>0.51715890568995215</v>
      </c>
      <c r="Q82" s="3">
        <f t="shared" ref="Q82:Q84" si="68">10^(-0.0143*(-1.17)+((-0.363)*LOG10(H82))+0.135*(LOG10(0.98))-0.105)</f>
        <v>0.4032984196662846</v>
      </c>
      <c r="R82" s="3">
        <f t="shared" ref="R82:R86" si="69">P82*K82</f>
        <v>884.00050484560063</v>
      </c>
      <c r="S82" s="3">
        <f t="shared" ref="S82:S86" si="70">Q82*J82</f>
        <v>347.48917942513333</v>
      </c>
      <c r="T82" s="3"/>
      <c r="U82" s="3"/>
      <c r="V82" s="3"/>
      <c r="W82" s="1"/>
      <c r="X82" s="1"/>
      <c r="Y82" s="1"/>
      <c r="Z82" s="1"/>
      <c r="AA82" s="1"/>
      <c r="AB82" s="1"/>
    </row>
    <row r="83" spans="1:28" s="2" customFormat="1" x14ac:dyDescent="0.25">
      <c r="A83" s="2" t="s">
        <v>6</v>
      </c>
      <c r="B83" s="2" t="s">
        <v>32</v>
      </c>
      <c r="C83" s="2" t="s">
        <v>11</v>
      </c>
      <c r="D83" s="21">
        <v>325.44217700000002</v>
      </c>
      <c r="E83" s="21">
        <v>1000</v>
      </c>
      <c r="F83" s="21">
        <v>1200</v>
      </c>
      <c r="G83" s="3">
        <f t="shared" si="65"/>
        <v>6.9183097091893631</v>
      </c>
      <c r="H83" s="3">
        <f t="shared" si="66"/>
        <v>12.108390686820373</v>
      </c>
      <c r="I83" s="3"/>
      <c r="J83" s="3">
        <f>G83*$D83</f>
        <v>2251.5097729188233</v>
      </c>
      <c r="K83" s="3">
        <f t="shared" si="67"/>
        <v>3940.5810250853474</v>
      </c>
      <c r="L83" s="7"/>
      <c r="M83" s="7"/>
      <c r="N83" s="3" t="s">
        <v>53</v>
      </c>
      <c r="O83" s="3" t="s">
        <v>82</v>
      </c>
      <c r="P83" s="3">
        <f>10^(-0.0143*(-1.17)+((-0.363)*LOG10(G83))+0.135*(LOG10(0.98))-0.105)</f>
        <v>0.4032984196662846</v>
      </c>
      <c r="Q83" s="3">
        <f t="shared" si="68"/>
        <v>0.32914415544869913</v>
      </c>
      <c r="R83" s="3">
        <f t="shared" si="69"/>
        <v>1589.2300999838685</v>
      </c>
      <c r="S83" s="3">
        <f t="shared" si="70"/>
        <v>741.07128269185841</v>
      </c>
      <c r="T83" s="3"/>
      <c r="U83" s="3"/>
      <c r="V83" s="3"/>
      <c r="W83" s="1"/>
      <c r="X83" s="1"/>
      <c r="Y83" s="1"/>
      <c r="Z83" s="1"/>
      <c r="AA83" s="1"/>
      <c r="AB83" s="1"/>
    </row>
    <row r="84" spans="1:28" s="2" customFormat="1" x14ac:dyDescent="0.25">
      <c r="A84" s="2" t="s">
        <v>6</v>
      </c>
      <c r="B84" s="2" t="s">
        <v>32</v>
      </c>
      <c r="C84" s="2" t="s">
        <v>12</v>
      </c>
      <c r="D84" s="21">
        <v>314.55782299999998</v>
      </c>
      <c r="E84" s="21">
        <v>1280</v>
      </c>
      <c r="F84" s="21">
        <v>1700</v>
      </c>
      <c r="G84" s="3">
        <f t="shared" si="65"/>
        <v>14.76163990041395</v>
      </c>
      <c r="H84" s="3">
        <f t="shared" si="66"/>
        <v>35.275906972016827</v>
      </c>
      <c r="I84" s="3"/>
      <c r="J84" s="3">
        <f>G84*$D84</f>
        <v>4643.3893109841483</v>
      </c>
      <c r="K84" s="3">
        <f t="shared" si="67"/>
        <v>11096.312501468134</v>
      </c>
      <c r="L84" s="7"/>
      <c r="M84" s="7"/>
      <c r="N84" s="3" t="s">
        <v>53</v>
      </c>
      <c r="O84" s="3" t="s">
        <v>82</v>
      </c>
      <c r="P84" s="3">
        <f>10^(-0.0143*(-1.17)+((-0.363)*LOG10(G84))+0.135*(LOG10(0.98))-0.105)</f>
        <v>0.30630258214396955</v>
      </c>
      <c r="Q84" s="3">
        <f t="shared" si="68"/>
        <v>0.22326052298989874</v>
      </c>
      <c r="R84" s="3">
        <f t="shared" si="69"/>
        <v>3398.8291714760994</v>
      </c>
      <c r="S84" s="3">
        <f t="shared" si="70"/>
        <v>1036.6855260160264</v>
      </c>
      <c r="T84" s="3"/>
      <c r="U84" s="3"/>
      <c r="V84" s="3"/>
      <c r="W84" s="1"/>
      <c r="X84" s="1"/>
      <c r="Y84" s="1"/>
      <c r="Z84" s="1"/>
      <c r="AA84" s="1"/>
      <c r="AB84" s="1"/>
    </row>
    <row r="85" spans="1:28" s="2" customFormat="1" x14ac:dyDescent="0.25">
      <c r="A85" s="2" t="s">
        <v>6</v>
      </c>
      <c r="B85" s="2" t="s">
        <v>32</v>
      </c>
      <c r="C85" s="2" t="s">
        <v>13</v>
      </c>
      <c r="D85" s="21">
        <f>SUM(3.047619,
572.517007)</f>
        <v>575.56462600000009</v>
      </c>
      <c r="E85" s="21">
        <v>1600</v>
      </c>
      <c r="F85" s="21">
        <v>1800</v>
      </c>
      <c r="G85" s="3">
        <f t="shared" si="65"/>
        <v>29.285210277528982</v>
      </c>
      <c r="H85" s="3">
        <f t="shared" si="66"/>
        <v>42.042311984247227</v>
      </c>
      <c r="I85" s="3"/>
      <c r="J85" s="3">
        <f>G85*$D85</f>
        <v>16855.531100717326</v>
      </c>
      <c r="K85" s="3">
        <f t="shared" si="67"/>
        <v>24198.067573388576</v>
      </c>
      <c r="L85" s="7"/>
      <c r="M85" s="7"/>
      <c r="N85" s="3" t="s">
        <v>53</v>
      </c>
      <c r="O85" s="3" t="s">
        <v>82</v>
      </c>
      <c r="P85" s="3">
        <f>10^(0.0125*(-1.17)+((-0.23)*LOG10(G85))+0.729*(LOG10(0.98))-1.348)</f>
        <v>1.9662995934721778E-2</v>
      </c>
      <c r="Q85" s="3">
        <f>10^(0.0125*(-1.17)+((-0.23)*LOG10(H85))+0.729*(LOG10(0.98))-1.348)</f>
        <v>1.8093846153691688E-2</v>
      </c>
      <c r="R85" s="3">
        <f t="shared" si="69"/>
        <v>475.80650432366247</v>
      </c>
      <c r="S85" s="3">
        <f t="shared" si="70"/>
        <v>304.98138657514482</v>
      </c>
      <c r="T85" s="3"/>
      <c r="U85" s="3"/>
      <c r="V85" s="3"/>
      <c r="W85" s="1"/>
      <c r="X85" s="1"/>
      <c r="Y85" s="1"/>
      <c r="Z85" s="1"/>
      <c r="AA85" s="1"/>
      <c r="AB85" s="1"/>
    </row>
    <row r="86" spans="1:28" s="2" customFormat="1" x14ac:dyDescent="0.25">
      <c r="A86" s="2" t="s">
        <v>6</v>
      </c>
      <c r="B86" s="2" t="s">
        <v>32</v>
      </c>
      <c r="C86" s="2" t="s">
        <v>14</v>
      </c>
      <c r="D86" s="21">
        <v>76.190476000000004</v>
      </c>
      <c r="E86" s="21">
        <v>1400</v>
      </c>
      <c r="F86" s="21">
        <v>1600</v>
      </c>
      <c r="G86" s="3">
        <f t="shared" si="65"/>
        <v>19.436276537345488</v>
      </c>
      <c r="H86" s="3">
        <f t="shared" si="66"/>
        <v>29.285210277528982</v>
      </c>
      <c r="I86" s="3"/>
      <c r="J86" s="3">
        <f>G86*$D86</f>
        <v>1480.8591610479846</v>
      </c>
      <c r="K86" s="3">
        <f t="shared" si="67"/>
        <v>2231.2541108050254</v>
      </c>
      <c r="L86" s="7"/>
      <c r="M86" s="7"/>
      <c r="N86" s="3" t="s">
        <v>53</v>
      </c>
      <c r="O86" s="3" t="s">
        <v>82</v>
      </c>
      <c r="P86" s="3">
        <f>10^(0.0125*(-1.17)+((-0.23)*LOG10(G86))+0.729*(LOG10(0.98))-1.348)</f>
        <v>2.1607165737095261E-2</v>
      </c>
      <c r="Q86" s="3">
        <f>10^(0.0125*(-1.17)+((-0.23)*LOG10(H86))+0.729*(LOG10(0.98))-1.348)</f>
        <v>1.9662995934721778E-2</v>
      </c>
      <c r="R86" s="3">
        <f t="shared" si="69"/>
        <v>48.2110773737393</v>
      </c>
      <c r="S86" s="3">
        <f t="shared" si="70"/>
        <v>29.118127663582023</v>
      </c>
      <c r="T86" s="3"/>
      <c r="U86" s="3"/>
      <c r="V86" s="3"/>
      <c r="W86" s="1"/>
      <c r="X86" s="1"/>
      <c r="Y86" s="1"/>
      <c r="Z86" s="1"/>
      <c r="AA86" s="1"/>
      <c r="AB86" s="1"/>
    </row>
    <row r="87" spans="1:28" s="9" customFormat="1" x14ac:dyDescent="0.25">
      <c r="A87" s="9" t="s">
        <v>6</v>
      </c>
      <c r="B87" s="9" t="s">
        <v>32</v>
      </c>
      <c r="C87" s="9" t="s">
        <v>15</v>
      </c>
      <c r="D87" s="19">
        <f>SUM(3.047619,
1627.210884)</f>
        <v>1630.258503</v>
      </c>
      <c r="E87" s="19"/>
      <c r="F87" s="19"/>
      <c r="G87" s="10"/>
      <c r="H87" s="10"/>
      <c r="I87" s="10"/>
      <c r="J87" s="10"/>
      <c r="K87" s="10"/>
      <c r="L87" s="7">
        <f>SUM(J81:J86)</f>
        <v>26238.696236225485</v>
      </c>
      <c r="M87" s="7">
        <f>SUM(K81:K86)</f>
        <v>43321.344292450958</v>
      </c>
      <c r="N87" s="10"/>
      <c r="O87" s="10"/>
      <c r="P87" s="10"/>
      <c r="Q87" s="10"/>
      <c r="R87" s="10"/>
      <c r="S87" s="10"/>
      <c r="T87" s="10">
        <f>SUM(R81:R86)</f>
        <v>6496.2413710729788</v>
      </c>
      <c r="U87" s="10">
        <f>SUM(S81:S86)</f>
        <v>2559.5095154417536</v>
      </c>
      <c r="V87" s="10"/>
      <c r="W87" s="1"/>
      <c r="X87" s="1"/>
      <c r="Y87" s="1"/>
      <c r="Z87" s="1"/>
      <c r="AA87" s="1"/>
      <c r="AB87" s="1"/>
    </row>
    <row r="88" spans="1:28" s="31" customFormat="1" x14ac:dyDescent="0.25">
      <c r="A88" s="31" t="s">
        <v>6</v>
      </c>
      <c r="B88" s="31" t="s">
        <v>33</v>
      </c>
      <c r="C88" s="31" t="s">
        <v>4</v>
      </c>
      <c r="D88" s="32">
        <f>SUM(133.790476,
45.714286)</f>
        <v>179.50476200000003</v>
      </c>
      <c r="E88" s="32">
        <v>31</v>
      </c>
      <c r="F88" s="32">
        <v>31</v>
      </c>
      <c r="G88" s="33">
        <f>0.4*(0.0049*(E88)^2.957)</f>
        <v>50.374714760229551</v>
      </c>
      <c r="H88" s="33">
        <f>0.4*(0.0049*(F88)^2.957)</f>
        <v>50.374714760229551</v>
      </c>
      <c r="I88" s="33" t="s">
        <v>43</v>
      </c>
      <c r="J88" s="33">
        <f>G88*$D88</f>
        <v>9042.5011838528935</v>
      </c>
      <c r="K88" s="33">
        <f>H88*$D88</f>
        <v>9042.5011838528935</v>
      </c>
      <c r="L88" s="34">
        <f>J88</f>
        <v>9042.5011838528935</v>
      </c>
      <c r="M88" s="34">
        <f>K88</f>
        <v>9042.5011838528935</v>
      </c>
      <c r="N88" s="33" t="s">
        <v>51</v>
      </c>
      <c r="O88" s="33"/>
      <c r="P88" s="33">
        <f>(14*(G88*10^6)^-0.25)*EXP(0.0693*(-1.17-20))*(J88*10^6)</f>
        <v>346511998.38032514</v>
      </c>
      <c r="Q88" s="33"/>
      <c r="R88" s="33"/>
      <c r="S88" s="33"/>
      <c r="T88" s="33"/>
      <c r="U88" s="33"/>
      <c r="V88" s="33"/>
      <c r="W88" s="11"/>
      <c r="X88" s="11"/>
      <c r="Y88" s="11"/>
      <c r="Z88" s="11"/>
      <c r="AA88" s="11"/>
      <c r="AB88" s="11"/>
    </row>
    <row r="89" spans="1:28" s="2" customFormat="1" x14ac:dyDescent="0.25">
      <c r="A89" s="2" t="s">
        <v>6</v>
      </c>
      <c r="B89" s="2" t="s">
        <v>34</v>
      </c>
      <c r="C89" s="2" t="s">
        <v>13</v>
      </c>
      <c r="D89" s="21">
        <f>SUM(25.6,
2637.278912)</f>
        <v>2662.8789120000001</v>
      </c>
      <c r="E89" s="21">
        <v>400</v>
      </c>
      <c r="F89" s="21">
        <v>450</v>
      </c>
      <c r="G89" s="3">
        <f t="shared" ref="G89:G90" si="71">9.4676*10^-7*(E89*10^-3*1000)^2.16</f>
        <v>0.3950840365236063</v>
      </c>
      <c r="H89" s="3">
        <f>9.4676*10^-7*(F89*10^-3*1000)^2.16</f>
        <v>0.50954076026517292</v>
      </c>
      <c r="I89" s="3" t="s">
        <v>44</v>
      </c>
      <c r="J89" s="3">
        <f>G89*$D89</f>
        <v>1052.060949326549</v>
      </c>
      <c r="K89" s="3">
        <f>H89*$D89</f>
        <v>1356.8453453145767</v>
      </c>
      <c r="L89" s="3"/>
      <c r="M89" s="7"/>
      <c r="N89" s="3" t="s">
        <v>53</v>
      </c>
      <c r="O89" s="3" t="s">
        <v>83</v>
      </c>
      <c r="P89" s="3">
        <f>10^(0.0182*(-1.17)+((0.193)*LOG10(G89))+0.195*(LOG10(0.98))-1.591)</f>
        <v>2.0330878961951543E-2</v>
      </c>
      <c r="Q89" s="3">
        <f>10^(0.0182*(-1.17)+((0.193)*LOG10(H89))+0.195*(LOG10(0.98))-1.591)</f>
        <v>2.1354067854121337E-2</v>
      </c>
      <c r="R89" s="3">
        <f>P89*K89</f>
        <v>27.585858485678003</v>
      </c>
      <c r="S89" s="3">
        <f>Q89*J89</f>
        <v>22.465780898590438</v>
      </c>
      <c r="T89" s="3"/>
      <c r="U89" s="3"/>
      <c r="V89" s="3"/>
      <c r="W89" s="11"/>
      <c r="X89" s="11"/>
      <c r="Y89" s="11"/>
      <c r="Z89" s="11"/>
      <c r="AA89" s="11"/>
      <c r="AB89" s="11"/>
    </row>
    <row r="90" spans="1:28" s="2" customFormat="1" x14ac:dyDescent="0.25">
      <c r="A90" s="2" t="s">
        <v>6</v>
      </c>
      <c r="B90" s="2" t="s">
        <v>34</v>
      </c>
      <c r="C90" s="2" t="s">
        <v>14</v>
      </c>
      <c r="D90" s="21">
        <f>70.748299</f>
        <v>70.748299000000003</v>
      </c>
      <c r="E90" s="21">
        <v>292</v>
      </c>
      <c r="F90" s="21">
        <v>315</v>
      </c>
      <c r="G90" s="3">
        <f t="shared" si="71"/>
        <v>0.20020128473370938</v>
      </c>
      <c r="H90" s="3">
        <f>9.4676*10^-7*(F90*10^-3*1000)^2.16</f>
        <v>0.23582546375970134</v>
      </c>
      <c r="I90" s="3"/>
      <c r="J90" s="3">
        <f>G90*$D90</f>
        <v>14.163900352524607</v>
      </c>
      <c r="K90" s="3">
        <f t="shared" ref="K90" si="72">H90*$D90</f>
        <v>16.684250421885015</v>
      </c>
      <c r="L90" s="3"/>
      <c r="M90" s="7"/>
      <c r="N90" s="3" t="s">
        <v>53</v>
      </c>
      <c r="O90" s="3" t="s">
        <v>83</v>
      </c>
      <c r="P90" s="3">
        <f>10^(0.0182*(-1.17)+((0.193)*LOG10(G90))+0.195*(LOG10(0.98))-1.591)</f>
        <v>1.7831102182079287E-2</v>
      </c>
      <c r="Q90" s="3">
        <f>10^(0.0182*(-1.17)+((0.193)*LOG10(H90))+0.195*(LOG10(0.98))-1.591)</f>
        <v>1.8403697632352136E-2</v>
      </c>
      <c r="R90" s="3">
        <f>P90*K90</f>
        <v>0.29749857410403113</v>
      </c>
      <c r="S90" s="3">
        <f>Q90*J90</f>
        <v>0.26066813938262867</v>
      </c>
      <c r="T90" s="3"/>
      <c r="U90" s="3"/>
      <c r="V90" s="3"/>
      <c r="W90" s="1"/>
      <c r="X90" s="1"/>
      <c r="Y90" s="1"/>
      <c r="Z90" s="1"/>
      <c r="AA90" s="1"/>
      <c r="AB90" s="1"/>
    </row>
    <row r="91" spans="1:28" s="9" customFormat="1" ht="16.5" thickBot="1" x14ac:dyDescent="0.3">
      <c r="A91" s="53" t="s">
        <v>6</v>
      </c>
      <c r="B91" s="53" t="s">
        <v>34</v>
      </c>
      <c r="C91" s="53" t="s">
        <v>15</v>
      </c>
      <c r="D91" s="24">
        <f>SUM(25.6,
2708.027211)</f>
        <v>2733.627211</v>
      </c>
      <c r="E91" s="24"/>
      <c r="F91" s="24"/>
      <c r="G91" s="13"/>
      <c r="H91" s="13"/>
      <c r="I91" s="13"/>
      <c r="J91" s="13"/>
      <c r="K91" s="13"/>
      <c r="L91" s="54">
        <f>SUM(J89:J90)</f>
        <v>1066.2248496790737</v>
      </c>
      <c r="M91" s="54">
        <f>SUM(K89:K90)</f>
        <v>1373.5295957364617</v>
      </c>
      <c r="N91" s="13"/>
      <c r="O91" s="13"/>
      <c r="P91" s="13"/>
      <c r="Q91" s="13"/>
      <c r="R91" s="13"/>
      <c r="S91" s="13"/>
      <c r="T91" s="13">
        <f>SUM(R89:R90)</f>
        <v>27.883357059782035</v>
      </c>
      <c r="U91" s="13">
        <f>SUM(S89:S90)</f>
        <v>22.726449037973065</v>
      </c>
      <c r="V91" s="13"/>
      <c r="W91" s="1"/>
      <c r="X91" s="1"/>
      <c r="Y91" s="1"/>
      <c r="Z91" s="1"/>
      <c r="AA91" s="1"/>
      <c r="AB91" s="1"/>
    </row>
    <row r="92" spans="1:28" s="25" customFormat="1" ht="16.5" thickTop="1" x14ac:dyDescent="0.25">
      <c r="A92" s="17" t="s">
        <v>35</v>
      </c>
      <c r="B92" s="17" t="s">
        <v>3</v>
      </c>
      <c r="C92" s="17" t="s">
        <v>4</v>
      </c>
      <c r="D92" s="52">
        <f>SUM(273.613675,
183.589744)</f>
        <v>457.203419</v>
      </c>
      <c r="E92" s="20">
        <v>10</v>
      </c>
      <c r="F92" s="20">
        <v>22</v>
      </c>
      <c r="G92" s="12">
        <f>0.17*(0.00194*(E92)^3.05)*1000</f>
        <v>370.04168622878763</v>
      </c>
      <c r="H92" s="12">
        <f>0.17*(0.00194*(F92)^3.05)*1000</f>
        <v>4098.640506337576</v>
      </c>
      <c r="I92" s="12" t="s">
        <v>43</v>
      </c>
      <c r="J92" s="12">
        <f>G92*D92</f>
        <v>169184.32411632693</v>
      </c>
      <c r="K92" s="12">
        <f>H92*D92</f>
        <v>1873912.4527494309</v>
      </c>
      <c r="L92" s="8">
        <f>J92</f>
        <v>169184.32411632693</v>
      </c>
      <c r="M92" s="8">
        <f>K92</f>
        <v>1873912.4527494309</v>
      </c>
      <c r="N92" s="12" t="s">
        <v>51</v>
      </c>
      <c r="O92" s="12"/>
      <c r="P92" s="12">
        <f>(14*(G92*10^6)^-0.25)*EXP(0.0693*(-1.17-20))*(J92*10^6)</f>
        <v>3938041701.777926</v>
      </c>
      <c r="Q92" s="12"/>
      <c r="R92" s="12"/>
      <c r="S92" s="12"/>
      <c r="T92" s="12"/>
      <c r="U92" s="12"/>
      <c r="V92" s="37"/>
      <c r="W92" s="17"/>
      <c r="X92" s="17"/>
      <c r="Y92" s="17"/>
      <c r="Z92" s="17"/>
      <c r="AA92" s="17"/>
      <c r="AB92" s="17"/>
    </row>
    <row r="93" spans="1:28" s="9" customFormat="1" x14ac:dyDescent="0.25">
      <c r="A93" s="14" t="s">
        <v>35</v>
      </c>
      <c r="B93" s="9" t="s">
        <v>7</v>
      </c>
      <c r="C93" s="9" t="s">
        <v>4</v>
      </c>
      <c r="D93" s="19">
        <f>SUM(206.878632,
889.230769)</f>
        <v>1096.1094009999999</v>
      </c>
      <c r="E93" s="19">
        <v>3</v>
      </c>
      <c r="F93" s="19">
        <v>3.5</v>
      </c>
      <c r="G93" s="10">
        <f>((0.0228*(E93)^2.3698)/0.9)*0.4*1000</f>
        <v>136.90971875758837</v>
      </c>
      <c r="H93" s="10">
        <f>((0.0228*(F93)^2.3698)/0.9)*0.4*1000</f>
        <v>197.28078183567442</v>
      </c>
      <c r="I93" s="10" t="s">
        <v>46</v>
      </c>
      <c r="J93" s="10">
        <f>G93*D93</f>
        <v>150068.02981845863</v>
      </c>
      <c r="K93" s="10">
        <f>H93*D93</f>
        <v>216241.31960671276</v>
      </c>
      <c r="L93" s="7">
        <f>J93</f>
        <v>150068.02981845863</v>
      </c>
      <c r="M93" s="7">
        <f>K93</f>
        <v>216241.31960671276</v>
      </c>
      <c r="N93" s="10" t="s">
        <v>51</v>
      </c>
      <c r="O93" s="10"/>
      <c r="P93" s="10">
        <f>(14*(G93*10^6)^-0.25)*EXP(0.0693*(-1.17-20))*(J93*10^6)</f>
        <v>4478808195.1704102</v>
      </c>
      <c r="Q93" s="10"/>
      <c r="R93" s="10"/>
      <c r="S93" s="10"/>
      <c r="T93" s="10"/>
      <c r="U93" s="10"/>
      <c r="V93" s="10"/>
      <c r="W93" s="17"/>
      <c r="X93" s="17"/>
      <c r="Y93" s="17"/>
      <c r="Z93" s="17"/>
      <c r="AA93" s="17"/>
      <c r="AB93" s="17"/>
    </row>
    <row r="94" spans="1:28" s="1" customFormat="1" x14ac:dyDescent="0.25">
      <c r="A94" s="16" t="s">
        <v>35</v>
      </c>
      <c r="B94" s="1" t="s">
        <v>8</v>
      </c>
      <c r="C94" s="1" t="s">
        <v>18</v>
      </c>
      <c r="D94" s="22">
        <v>20.512820999999999</v>
      </c>
      <c r="E94" s="22">
        <v>560</v>
      </c>
      <c r="F94" s="22">
        <v>850</v>
      </c>
      <c r="G94" s="5">
        <f t="shared" ref="G94:G96" si="73">0.0048*(E94*10^-3)^3.5687*1000</f>
        <v>0.60617755177674504</v>
      </c>
      <c r="H94" s="5">
        <f t="shared" ref="H94:H99" si="74">0.0048*(F94*10^-3)^3.5687*1000</f>
        <v>2.6875624065207009</v>
      </c>
      <c r="I94" s="5" t="s">
        <v>47</v>
      </c>
      <c r="J94" s="12">
        <f>G94*$D94</f>
        <v>12.434411613814602</v>
      </c>
      <c r="K94" s="12">
        <f>H94*$D94</f>
        <v>55.129486571288368</v>
      </c>
      <c r="L94" s="8"/>
      <c r="M94" s="8"/>
      <c r="N94" s="5" t="s">
        <v>52</v>
      </c>
      <c r="O94" s="5" t="s">
        <v>82</v>
      </c>
      <c r="P94" s="5">
        <f>10^(-0.0143*(-1.17)+((-0.363)*LOG10(G94))+0.135*(LOG10(1.255))-0.105)</f>
        <v>1.009169595858828</v>
      </c>
      <c r="Q94" s="5">
        <f>10^(-0.0143*(-1.17)+((-0.363)*LOG10(H94))+0.135*(LOG10(1.255))-0.105)</f>
        <v>0.58774744054662187</v>
      </c>
      <c r="R94" s="5">
        <f>K94*P94</f>
        <v>55.635001683051769</v>
      </c>
      <c r="S94" s="5">
        <f>J94*Q94</f>
        <v>7.3082936007227222</v>
      </c>
      <c r="T94" s="5"/>
      <c r="U94" s="5"/>
      <c r="V94" s="5"/>
      <c r="W94" s="17"/>
      <c r="X94" s="17"/>
      <c r="Y94" s="17"/>
      <c r="Z94" s="17"/>
      <c r="AA94" s="17"/>
      <c r="AB94" s="17"/>
    </row>
    <row r="95" spans="1:28" s="1" customFormat="1" x14ac:dyDescent="0.25">
      <c r="A95" s="16" t="s">
        <v>35</v>
      </c>
      <c r="B95" s="1" t="s">
        <v>8</v>
      </c>
      <c r="C95" s="1" t="s">
        <v>9</v>
      </c>
      <c r="D95" s="22">
        <f>SUM(2.461538,
55.384615)</f>
        <v>57.846152999999994</v>
      </c>
      <c r="E95" s="22">
        <v>730</v>
      </c>
      <c r="F95" s="22">
        <v>1200</v>
      </c>
      <c r="G95" s="5">
        <f t="shared" si="73"/>
        <v>1.561282631007372</v>
      </c>
      <c r="H95" s="5">
        <f t="shared" si="74"/>
        <v>9.2005830554977788</v>
      </c>
      <c r="I95" s="5"/>
      <c r="J95" s="12">
        <f>G95*$D95</f>
        <v>90.314193949494978</v>
      </c>
      <c r="K95" s="12">
        <f t="shared" ref="K95:K99" si="75">H95*$D95</f>
        <v>532.21833511753198</v>
      </c>
      <c r="L95" s="8"/>
      <c r="M95" s="8"/>
      <c r="N95" s="5" t="s">
        <v>52</v>
      </c>
      <c r="O95" s="5" t="s">
        <v>82</v>
      </c>
      <c r="P95" s="5">
        <f>10^(-0.0143*(-1.17)+((-0.363)*LOG10(G95))+0.135*(LOG10(1.255))-0.105)</f>
        <v>0.71583694376178053</v>
      </c>
      <c r="Q95" s="5">
        <f t="shared" ref="Q95:Q97" si="76">10^(-0.0143*(-1.17)+((-0.363)*LOG10(H95))+0.135*(LOG10(1.255))-0.105)</f>
        <v>0.37599574558129778</v>
      </c>
      <c r="R95" s="5">
        <f t="shared" ref="R95:R99" si="77">K95*P95</f>
        <v>380.98154642451721</v>
      </c>
      <c r="S95" s="5">
        <f t="shared" ref="S95:S99" si="78">J95*Q95</f>
        <v>33.957752690614299</v>
      </c>
      <c r="T95" s="5"/>
      <c r="U95" s="5"/>
      <c r="V95" s="5"/>
    </row>
    <row r="96" spans="1:28" s="1" customFormat="1" x14ac:dyDescent="0.25">
      <c r="A96" s="16" t="s">
        <v>35</v>
      </c>
      <c r="B96" s="1" t="s">
        <v>8</v>
      </c>
      <c r="C96" s="1" t="s">
        <v>11</v>
      </c>
      <c r="D96" s="22">
        <f>SUM(12.307692,
51.282051)</f>
        <v>63.589742999999999</v>
      </c>
      <c r="E96" s="22">
        <v>1300</v>
      </c>
      <c r="F96" s="22">
        <v>1500</v>
      </c>
      <c r="G96" s="5">
        <f t="shared" si="73"/>
        <v>12.242521594866513</v>
      </c>
      <c r="H96" s="5">
        <f t="shared" si="74"/>
        <v>20.401312748969502</v>
      </c>
      <c r="I96" s="5"/>
      <c r="J96" s="12">
        <f>G96*$D96</f>
        <v>778.4988018895117</v>
      </c>
      <c r="K96" s="12">
        <f t="shared" si="75"/>
        <v>1297.3142345695942</v>
      </c>
      <c r="L96" s="8"/>
      <c r="M96" s="8"/>
      <c r="N96" s="5" t="s">
        <v>52</v>
      </c>
      <c r="O96" s="5" t="s">
        <v>82</v>
      </c>
      <c r="P96" s="5">
        <f>10^(-0.0143*(-1.17)+((-0.363)*LOG10(G96))+0.135*(LOG10(1.255))-0.105)</f>
        <v>0.33896181307367318</v>
      </c>
      <c r="Q96" s="5">
        <f t="shared" si="76"/>
        <v>0.2816060674068277</v>
      </c>
      <c r="R96" s="5">
        <f t="shared" si="77"/>
        <v>439.73998507599418</v>
      </c>
      <c r="S96" s="5">
        <f t="shared" si="78"/>
        <v>219.22998608103242</v>
      </c>
      <c r="T96" s="5"/>
      <c r="U96" s="5"/>
      <c r="V96" s="5"/>
    </row>
    <row r="97" spans="1:28" s="1" customFormat="1" x14ac:dyDescent="0.25">
      <c r="A97" s="16" t="s">
        <v>35</v>
      </c>
      <c r="B97" s="1" t="s">
        <v>8</v>
      </c>
      <c r="C97" s="1" t="s">
        <v>12</v>
      </c>
      <c r="D97" s="22">
        <f>SUM(454.673504,
274.871795)</f>
        <v>729.545299</v>
      </c>
      <c r="E97" s="22">
        <v>2000</v>
      </c>
      <c r="F97" s="22">
        <v>3000</v>
      </c>
      <c r="G97" s="5">
        <f>0.0048*(E97*10^-3)^3.5687*1000</f>
        <v>56.954360901634594</v>
      </c>
      <c r="H97" s="5">
        <f t="shared" si="74"/>
        <v>242.07161024415183</v>
      </c>
      <c r="I97" s="5"/>
      <c r="J97" s="12">
        <f>G97*$D97</f>
        <v>41550.786253336919</v>
      </c>
      <c r="K97" s="12">
        <f t="shared" si="75"/>
        <v>176602.20527498121</v>
      </c>
      <c r="L97" s="8"/>
      <c r="M97" s="8"/>
      <c r="N97" s="5" t="s">
        <v>52</v>
      </c>
      <c r="O97" s="5" t="s">
        <v>82</v>
      </c>
      <c r="P97" s="5">
        <f>10^(-0.0143*(-1.17)+((-0.363)*LOG10(G97))+0.135*(LOG10(1.255))-0.105)</f>
        <v>0.19399547865696198</v>
      </c>
      <c r="Q97" s="5">
        <f t="shared" si="76"/>
        <v>0.11472981205231399</v>
      </c>
      <c r="R97" s="5">
        <f t="shared" si="77"/>
        <v>34260.029344195034</v>
      </c>
      <c r="S97" s="5">
        <f t="shared" si="78"/>
        <v>4767.1138974712167</v>
      </c>
      <c r="T97" s="5"/>
      <c r="U97" s="5"/>
      <c r="V97" s="5"/>
    </row>
    <row r="98" spans="1:28" s="1" customFormat="1" x14ac:dyDescent="0.25">
      <c r="A98" s="16" t="s">
        <v>35</v>
      </c>
      <c r="B98" s="1" t="s">
        <v>8</v>
      </c>
      <c r="C98" s="1" t="s">
        <v>13</v>
      </c>
      <c r="D98" s="22">
        <f>SUM(569.217094,
65.641026)</f>
        <v>634.85811999999999</v>
      </c>
      <c r="E98" s="22">
        <v>1860</v>
      </c>
      <c r="F98" s="22">
        <v>3200</v>
      </c>
      <c r="G98" s="5">
        <f t="shared" ref="G98:G99" si="79">0.0048*(E98*10^-3)^3.5687*1000</f>
        <v>43.959432925065776</v>
      </c>
      <c r="H98" s="5">
        <f t="shared" si="74"/>
        <v>304.7684210199219</v>
      </c>
      <c r="I98" s="5"/>
      <c r="J98" s="12">
        <f>G98*$D98</f>
        <v>27908.002943073359</v>
      </c>
      <c r="K98" s="12">
        <f t="shared" si="75"/>
        <v>193484.70680407609</v>
      </c>
      <c r="L98" s="8"/>
      <c r="M98" s="8"/>
      <c r="N98" s="5" t="s">
        <v>52</v>
      </c>
      <c r="O98" s="5" t="s">
        <v>82</v>
      </c>
      <c r="P98" s="5">
        <f>10^(0.0125*(-1.17)+((-0.23)*LOG10(G98))+0.729*(LOG10(1.255))-1.348)</f>
        <v>2.1447876359061684E-2</v>
      </c>
      <c r="Q98" s="5">
        <f>10^(0.0125*(-1.17)+((-0.23)*LOG10(H98))+0.729*(LOG10(1.255))-1.348)</f>
        <v>1.3739571364041464E-2</v>
      </c>
      <c r="R98" s="5">
        <f t="shared" si="77"/>
        <v>4149.8360689031251</v>
      </c>
      <c r="S98" s="5">
        <f t="shared" si="78"/>
        <v>383.44399806423564</v>
      </c>
      <c r="T98" s="5"/>
      <c r="U98" s="5"/>
      <c r="V98" s="5"/>
    </row>
    <row r="99" spans="1:28" s="1" customFormat="1" x14ac:dyDescent="0.25">
      <c r="A99" s="16" t="s">
        <v>35</v>
      </c>
      <c r="B99" s="1" t="s">
        <v>8</v>
      </c>
      <c r="C99" s="1" t="s">
        <v>14</v>
      </c>
      <c r="D99" s="22">
        <v>3.2820510000000001</v>
      </c>
      <c r="E99" s="22">
        <v>1950</v>
      </c>
      <c r="F99" s="22">
        <v>2800</v>
      </c>
      <c r="G99" s="5">
        <f t="shared" si="79"/>
        <v>52.034064977684302</v>
      </c>
      <c r="H99" s="5">
        <f t="shared" si="74"/>
        <v>189.24050739954041</v>
      </c>
      <c r="I99" s="5"/>
      <c r="J99" s="12">
        <f>G99*$D99</f>
        <v>170.77845499407374</v>
      </c>
      <c r="K99" s="12">
        <f t="shared" si="75"/>
        <v>621.09699655116901</v>
      </c>
      <c r="L99" s="8"/>
      <c r="M99" s="8"/>
      <c r="N99" s="5" t="s">
        <v>52</v>
      </c>
      <c r="O99" s="5" t="s">
        <v>82</v>
      </c>
      <c r="P99" s="5">
        <f>10^(0.0125*(-1.17)+((-0.23)*LOG10(G99))+0.729*(LOG10(1.255))-1.348)</f>
        <v>2.0631941250793293E-2</v>
      </c>
      <c r="Q99" s="5">
        <f>10^(0.0125*(-1.17)+((-0.23)*LOG10(H99))+0.729*(LOG10(1.255))-1.348)</f>
        <v>1.5331089968159574E-2</v>
      </c>
      <c r="R99" s="5">
        <f t="shared" si="77"/>
        <v>12.814436743887883</v>
      </c>
      <c r="S99" s="5">
        <f t="shared" si="78"/>
        <v>2.6182198581374352</v>
      </c>
      <c r="T99" s="5"/>
      <c r="U99" s="5"/>
      <c r="V99" s="5"/>
    </row>
    <row r="100" spans="1:28" s="11" customFormat="1" x14ac:dyDescent="0.25">
      <c r="A100" s="17" t="s">
        <v>35</v>
      </c>
      <c r="B100" s="11" t="s">
        <v>8</v>
      </c>
      <c r="C100" s="11" t="s">
        <v>15</v>
      </c>
      <c r="D100" s="20">
        <f>SUM(1041.94188,
467.692308)</f>
        <v>1509.634188</v>
      </c>
      <c r="E100" s="20"/>
      <c r="F100" s="20"/>
      <c r="G100" s="12"/>
      <c r="H100" s="12"/>
      <c r="I100" s="12"/>
      <c r="J100" s="12"/>
      <c r="K100" s="12"/>
      <c r="L100" s="8">
        <f>SUM(J94:J99)</f>
        <v>70510.815058857173</v>
      </c>
      <c r="M100" s="8">
        <f>SUM(K94:K99)</f>
        <v>372592.67113186687</v>
      </c>
      <c r="N100" s="12"/>
      <c r="O100" s="12"/>
      <c r="P100" s="12"/>
      <c r="Q100" s="12"/>
      <c r="R100" s="12"/>
      <c r="S100" s="12"/>
      <c r="T100" s="12">
        <f>SUM(R94:R99)</f>
        <v>39299.03638302561</v>
      </c>
      <c r="U100" s="12">
        <f>SUM(S94:S99)</f>
        <v>5413.6721477659585</v>
      </c>
      <c r="V100" s="12"/>
      <c r="W100" s="1"/>
      <c r="X100" s="1"/>
      <c r="Y100" s="1"/>
      <c r="Z100" s="1"/>
      <c r="AA100" s="1"/>
      <c r="AB100" s="1"/>
    </row>
    <row r="101" spans="1:28" s="2" customFormat="1" x14ac:dyDescent="0.25">
      <c r="A101" s="15" t="s">
        <v>35</v>
      </c>
      <c r="B101" s="2" t="s">
        <v>16</v>
      </c>
      <c r="C101" s="2" t="s">
        <v>18</v>
      </c>
      <c r="D101" s="21">
        <f>SUM(16.136752,
465.641026)</f>
        <v>481.77777800000001</v>
      </c>
      <c r="E101" s="21">
        <v>600</v>
      </c>
      <c r="F101" s="21">
        <v>1000</v>
      </c>
      <c r="G101" s="3">
        <f>4.742*(E101*10^-3)^3.452</f>
        <v>0.81309195862009598</v>
      </c>
      <c r="H101" s="3">
        <f>4.742*(F101*10^-3)^3.452</f>
        <v>4.742</v>
      </c>
      <c r="I101" s="3" t="s">
        <v>41</v>
      </c>
      <c r="J101" s="10">
        <f>G101*$D101</f>
        <v>391.72963713365777</v>
      </c>
      <c r="K101" s="10">
        <f>H101*$D101</f>
        <v>2284.590223276</v>
      </c>
      <c r="L101" s="7"/>
      <c r="M101" s="7"/>
      <c r="N101" s="3" t="s">
        <v>52</v>
      </c>
      <c r="O101" s="3" t="s">
        <v>82</v>
      </c>
      <c r="P101" s="3">
        <f>10^(-0.0143*(-1.17)+((-0.363)*LOG10(G101))+0.135*(LOG10(1.255))-0.105)</f>
        <v>0.90712514234684305</v>
      </c>
      <c r="Q101" s="3">
        <f>10^(-0.0143*(-1.17)+((-0.363)*LOG10(H101))+0.135*(LOG10(1.255))-0.105)</f>
        <v>0.47827079326633204</v>
      </c>
      <c r="R101" s="3">
        <f>P101*K101</f>
        <v>2072.4092314934474</v>
      </c>
      <c r="S101" s="3">
        <f>Q101*J101</f>
        <v>187.3528442978469</v>
      </c>
      <c r="T101" s="3"/>
      <c r="U101" s="3"/>
      <c r="V101" s="3"/>
      <c r="W101" s="11"/>
      <c r="X101" s="11"/>
      <c r="Y101" s="11"/>
      <c r="Z101" s="11"/>
      <c r="AA101" s="11"/>
      <c r="AB101" s="11"/>
    </row>
    <row r="102" spans="1:28" s="2" customFormat="1" x14ac:dyDescent="0.25">
      <c r="A102" s="15" t="s">
        <v>35</v>
      </c>
      <c r="B102" s="2" t="s">
        <v>16</v>
      </c>
      <c r="C102" s="2" t="s">
        <v>9</v>
      </c>
      <c r="D102" s="21">
        <f>333.333333</f>
        <v>333.33333299999998</v>
      </c>
      <c r="E102" s="21">
        <v>1100</v>
      </c>
      <c r="F102" s="21">
        <v>1370</v>
      </c>
      <c r="G102" s="3">
        <f t="shared" ref="G102:G106" si="80">4.742*(E102*10^-3)^3.452</f>
        <v>6.5894489660089315</v>
      </c>
      <c r="H102" s="3">
        <f t="shared" ref="H102:H107" si="81">4.742*(F102*10^-3)^3.452</f>
        <v>14.057916113595834</v>
      </c>
      <c r="I102" s="3"/>
      <c r="J102" s="10">
        <f t="shared" ref="J102:J107" si="82">G102*$D102</f>
        <v>2196.4829864731605</v>
      </c>
      <c r="K102" s="10">
        <f t="shared" ref="K102:K107" si="83">H102*$D102</f>
        <v>4685.972033179306</v>
      </c>
      <c r="L102" s="7"/>
      <c r="M102" s="7"/>
      <c r="N102" s="3" t="s">
        <v>52</v>
      </c>
      <c r="O102" s="3" t="s">
        <v>82</v>
      </c>
      <c r="P102" s="3">
        <f>10^(-0.0143*(-1.17)+((-0.363)*LOG10(G102))+0.135*(LOG10(1.255))-0.105)</f>
        <v>0.42442961548899283</v>
      </c>
      <c r="Q102" s="3">
        <f t="shared" ref="Q102:Q105" si="84">10^(-0.0143*(-1.17)+((-0.363)*LOG10(H102))+0.135*(LOG10(1.255))-0.105)</f>
        <v>0.32236850045542881</v>
      </c>
      <c r="R102" s="3">
        <f t="shared" ref="R102:R107" si="85">P102*K102</f>
        <v>1988.8653082344667</v>
      </c>
      <c r="S102" s="3">
        <f t="shared" ref="S102:S107" si="86">Q102*J102</f>
        <v>708.0769266252147</v>
      </c>
      <c r="T102" s="3"/>
      <c r="U102" s="3"/>
      <c r="V102" s="3"/>
      <c r="W102" s="1"/>
      <c r="X102" s="1"/>
      <c r="Y102" s="1"/>
      <c r="Z102" s="1"/>
      <c r="AA102" s="1"/>
      <c r="AB102" s="1"/>
    </row>
    <row r="103" spans="1:28" s="2" customFormat="1" x14ac:dyDescent="0.25">
      <c r="A103" s="15" t="s">
        <v>35</v>
      </c>
      <c r="B103" s="2" t="s">
        <v>16</v>
      </c>
      <c r="C103" s="2" t="s">
        <v>10</v>
      </c>
      <c r="D103" s="21">
        <f>SUM(2.461538,
81.025641)</f>
        <v>83.487178999999998</v>
      </c>
      <c r="E103" s="21">
        <v>1400</v>
      </c>
      <c r="F103" s="21">
        <v>2000</v>
      </c>
      <c r="G103" s="3">
        <f t="shared" si="80"/>
        <v>15.149403351788706</v>
      </c>
      <c r="H103" s="3">
        <f t="shared" si="81"/>
        <v>51.893993688844894</v>
      </c>
      <c r="I103" s="3"/>
      <c r="J103" s="10">
        <f t="shared" si="82"/>
        <v>1264.7809493739837</v>
      </c>
      <c r="K103" s="10">
        <f t="shared" si="83"/>
        <v>4332.4831401254642</v>
      </c>
      <c r="L103" s="7"/>
      <c r="M103" s="7"/>
      <c r="N103" s="3" t="s">
        <v>52</v>
      </c>
      <c r="O103" s="3" t="s">
        <v>82</v>
      </c>
      <c r="P103" s="3">
        <f>10^(-0.0143*(-1.17)+((-0.363)*LOG10(G103))+0.135*(LOG10(1.255))-0.105)</f>
        <v>0.31373597894207855</v>
      </c>
      <c r="Q103" s="3">
        <f t="shared" si="84"/>
        <v>0.20065981043019934</v>
      </c>
      <c r="R103" s="3">
        <f t="shared" si="85"/>
        <v>1359.255839217313</v>
      </c>
      <c r="S103" s="3">
        <f t="shared" si="86"/>
        <v>253.79070553711114</v>
      </c>
      <c r="T103" s="3"/>
      <c r="U103" s="3"/>
      <c r="V103" s="3"/>
      <c r="W103" s="1"/>
      <c r="X103" s="1"/>
      <c r="Y103" s="1"/>
      <c r="Z103" s="1"/>
      <c r="AA103" s="1"/>
      <c r="AB103" s="1"/>
    </row>
    <row r="104" spans="1:28" s="2" customFormat="1" x14ac:dyDescent="0.25">
      <c r="A104" s="15" t="s">
        <v>35</v>
      </c>
      <c r="B104" s="2" t="s">
        <v>16</v>
      </c>
      <c r="C104" s="2" t="s">
        <v>11</v>
      </c>
      <c r="D104" s="21">
        <f>SUM(9.846154,
163.076923)</f>
        <v>172.92307700000001</v>
      </c>
      <c r="E104" s="21">
        <v>2000</v>
      </c>
      <c r="F104" s="21">
        <v>2700</v>
      </c>
      <c r="G104" s="3">
        <f t="shared" si="80"/>
        <v>51.893993688844894</v>
      </c>
      <c r="H104" s="3">
        <f t="shared" si="81"/>
        <v>146.22757018221634</v>
      </c>
      <c r="I104" s="3"/>
      <c r="J104" s="10">
        <f t="shared" si="82"/>
        <v>8973.6690664936395</v>
      </c>
      <c r="K104" s="10">
        <f t="shared" si="83"/>
        <v>25286.121378142299</v>
      </c>
      <c r="L104" s="7"/>
      <c r="M104" s="7"/>
      <c r="N104" s="3" t="s">
        <v>52</v>
      </c>
      <c r="O104" s="3" t="s">
        <v>82</v>
      </c>
      <c r="P104" s="3">
        <f>10^(-0.0143*(-1.17)+((-0.363)*LOG10(G104))+0.135*(LOG10(1.255))-0.105)</f>
        <v>0.20065981043019934</v>
      </c>
      <c r="Q104" s="3">
        <f t="shared" si="84"/>
        <v>0.13776607339325656</v>
      </c>
      <c r="R104" s="3">
        <f t="shared" si="85"/>
        <v>5073.9083222530444</v>
      </c>
      <c r="S104" s="3">
        <f t="shared" si="86"/>
        <v>1236.2671512213587</v>
      </c>
      <c r="T104" s="3"/>
      <c r="U104" s="3"/>
      <c r="V104" s="3"/>
      <c r="W104" s="1"/>
      <c r="X104" s="1"/>
      <c r="Y104" s="1"/>
      <c r="Z104" s="1"/>
      <c r="AA104" s="1"/>
      <c r="AB104" s="1"/>
    </row>
    <row r="105" spans="1:28" s="2" customFormat="1" x14ac:dyDescent="0.25">
      <c r="A105" s="15" t="s">
        <v>35</v>
      </c>
      <c r="B105" s="2" t="s">
        <v>16</v>
      </c>
      <c r="C105" s="2" t="s">
        <v>12</v>
      </c>
      <c r="D105" s="21">
        <f>96</f>
        <v>96</v>
      </c>
      <c r="E105" s="21">
        <v>2700</v>
      </c>
      <c r="F105" s="21">
        <v>3500</v>
      </c>
      <c r="G105" s="3">
        <f t="shared" si="80"/>
        <v>146.22757018221634</v>
      </c>
      <c r="H105" s="3">
        <f t="shared" si="81"/>
        <v>358.1660676243805</v>
      </c>
      <c r="I105" s="3"/>
      <c r="J105" s="10">
        <f t="shared" si="82"/>
        <v>14037.846737492768</v>
      </c>
      <c r="K105" s="10">
        <f t="shared" si="83"/>
        <v>34383.942491940528</v>
      </c>
      <c r="L105" s="7"/>
      <c r="M105" s="7"/>
      <c r="N105" s="3" t="s">
        <v>52</v>
      </c>
      <c r="O105" s="3" t="s">
        <v>82</v>
      </c>
      <c r="P105" s="3">
        <f>10^(-0.0143*(-1.17)+((-0.363)*LOG10(G105))+0.135*(LOG10(1.255))-0.105)</f>
        <v>0.13776607339325656</v>
      </c>
      <c r="Q105" s="3">
        <f t="shared" si="84"/>
        <v>9.9521119277061393E-2</v>
      </c>
      <c r="R105" s="3">
        <f t="shared" si="85"/>
        <v>4736.9407448941911</v>
      </c>
      <c r="S105" s="3">
        <f t="shared" si="86"/>
        <v>1397.0622195551248</v>
      </c>
      <c r="T105" s="3"/>
      <c r="U105" s="3"/>
      <c r="V105" s="3"/>
      <c r="W105" s="1"/>
      <c r="X105" s="1"/>
      <c r="Y105" s="1"/>
      <c r="Z105" s="1"/>
      <c r="AA105" s="1"/>
      <c r="AB105" s="1"/>
    </row>
    <row r="106" spans="1:28" s="2" customFormat="1" x14ac:dyDescent="0.25">
      <c r="A106" s="15" t="s">
        <v>35</v>
      </c>
      <c r="B106" s="2" t="s">
        <v>16</v>
      </c>
      <c r="C106" s="2" t="s">
        <v>13</v>
      </c>
      <c r="D106" s="21">
        <v>12.307691999999999</v>
      </c>
      <c r="E106" s="21">
        <v>3400</v>
      </c>
      <c r="F106" s="21">
        <v>4800</v>
      </c>
      <c r="G106" s="3">
        <f t="shared" si="80"/>
        <v>324.06100256862544</v>
      </c>
      <c r="H106" s="3">
        <f t="shared" si="81"/>
        <v>1065.6296629826547</v>
      </c>
      <c r="I106" s="3"/>
      <c r="J106" s="10">
        <f t="shared" si="82"/>
        <v>3988.4430088258505</v>
      </c>
      <c r="K106" s="10">
        <f t="shared" si="83"/>
        <v>13115.441678054316</v>
      </c>
      <c r="L106" s="7"/>
      <c r="M106" s="7"/>
      <c r="N106" s="3" t="s">
        <v>52</v>
      </c>
      <c r="O106" s="3" t="s">
        <v>82</v>
      </c>
      <c r="P106" s="3">
        <f>10^(0.0125*(-1.17)+((-0.23)*LOG10(G106))+0.729*(LOG10(1.255))-1.348)</f>
        <v>1.3546968430208818E-2</v>
      </c>
      <c r="Q106" s="3">
        <f>10^(0.0125*(-1.17)+((-0.23)*LOG10(H106))+0.729*(LOG10(1.255))-1.348)</f>
        <v>1.0302362498385242E-2</v>
      </c>
      <c r="R106" s="3">
        <f t="shared" si="85"/>
        <v>177.67447436084677</v>
      </c>
      <c r="S106" s="3">
        <f t="shared" si="86"/>
        <v>41.090385681074238</v>
      </c>
      <c r="T106" s="3"/>
      <c r="U106" s="3"/>
      <c r="V106" s="3"/>
      <c r="W106" s="1"/>
      <c r="X106" s="1"/>
      <c r="Y106" s="1"/>
      <c r="Z106" s="1"/>
      <c r="AA106" s="1"/>
      <c r="AB106" s="1"/>
    </row>
    <row r="107" spans="1:28" s="2" customFormat="1" x14ac:dyDescent="0.25">
      <c r="A107" s="15" t="s">
        <v>35</v>
      </c>
      <c r="B107" s="2" t="s">
        <v>16</v>
      </c>
      <c r="C107" s="2" t="s">
        <v>14</v>
      </c>
      <c r="D107" s="21">
        <v>2.461538</v>
      </c>
      <c r="E107" s="21">
        <v>2000</v>
      </c>
      <c r="F107" s="21">
        <v>4000</v>
      </c>
      <c r="G107" s="3">
        <f t="shared" ref="G107" si="87">4.742*(E107*10^-3)^3.452</f>
        <v>51.893993688844894</v>
      </c>
      <c r="H107" s="3">
        <f t="shared" si="81"/>
        <v>567.90100821971191</v>
      </c>
      <c r="I107" s="3"/>
      <c r="J107" s="10">
        <f t="shared" si="82"/>
        <v>127.73903743685189</v>
      </c>
      <c r="K107" s="10">
        <f t="shared" si="83"/>
        <v>1397.9099119711332</v>
      </c>
      <c r="L107" s="7"/>
      <c r="M107" s="7"/>
      <c r="N107" s="3" t="s">
        <v>52</v>
      </c>
      <c r="O107" s="3" t="s">
        <v>82</v>
      </c>
      <c r="P107" s="3">
        <f>10^(0.0125*(-1.17)+((-0.23)*LOG10(G107))+0.729*(LOG10(1.255))-1.348)</f>
        <v>2.064473651122508E-2</v>
      </c>
      <c r="Q107" s="3">
        <f>10^(0.0125*(-1.17)+((-0.23)*LOG10(H107))+0.729*(LOG10(1.255))-1.348)</f>
        <v>1.1907033321464051E-2</v>
      </c>
      <c r="R107" s="3">
        <f t="shared" si="85"/>
        <v>28.85948179907389</v>
      </c>
      <c r="S107" s="3">
        <f t="shared" si="86"/>
        <v>1.5209929752123392</v>
      </c>
      <c r="T107" s="3"/>
      <c r="U107" s="3"/>
      <c r="V107" s="3"/>
      <c r="W107" s="1"/>
      <c r="X107" s="1"/>
      <c r="Y107" s="1"/>
      <c r="Z107" s="1"/>
      <c r="AA107" s="1"/>
      <c r="AB107" s="1"/>
    </row>
    <row r="108" spans="1:28" s="9" customFormat="1" x14ac:dyDescent="0.25">
      <c r="A108" s="14" t="s">
        <v>35</v>
      </c>
      <c r="B108" s="9" t="s">
        <v>16</v>
      </c>
      <c r="C108" s="9" t="s">
        <v>15</v>
      </c>
      <c r="D108" s="19">
        <f>SUM(D101:D107)</f>
        <v>1182.2905969999999</v>
      </c>
      <c r="E108" s="19"/>
      <c r="F108" s="19"/>
      <c r="G108" s="10"/>
      <c r="H108" s="10"/>
      <c r="I108" s="10"/>
      <c r="J108" s="10"/>
      <c r="K108" s="10"/>
      <c r="L108" s="7">
        <f>SUM(J101:J107)</f>
        <v>30980.691423229913</v>
      </c>
      <c r="M108" s="7">
        <f>SUM(K101:K107)</f>
        <v>85486.460856689038</v>
      </c>
      <c r="N108" s="10"/>
      <c r="O108" s="10"/>
      <c r="P108" s="10"/>
      <c r="Q108" s="10"/>
      <c r="R108" s="10"/>
      <c r="S108" s="10"/>
      <c r="T108" s="10">
        <f>SUM(R101:R107)</f>
        <v>15437.913402252385</v>
      </c>
      <c r="U108" s="10">
        <f>SUM(S101:S107)</f>
        <v>3825.1612258929426</v>
      </c>
      <c r="V108" s="10"/>
      <c r="W108" s="1"/>
      <c r="X108" s="1"/>
      <c r="Y108" s="1"/>
      <c r="Z108" s="1"/>
      <c r="AA108" s="1"/>
      <c r="AB108" s="1"/>
    </row>
    <row r="109" spans="1:28" s="1" customFormat="1" x14ac:dyDescent="0.25">
      <c r="A109" s="16" t="s">
        <v>35</v>
      </c>
      <c r="B109" s="1" t="s">
        <v>17</v>
      </c>
      <c r="C109" s="1" t="s">
        <v>18</v>
      </c>
      <c r="D109" s="22">
        <v>65.641025999999997</v>
      </c>
      <c r="E109" s="22">
        <v>950</v>
      </c>
      <c r="F109" s="22">
        <v>1500</v>
      </c>
      <c r="G109" s="5">
        <f>7.263*(E109*10^-3)^3.106</f>
        <v>6.1933491234965805</v>
      </c>
      <c r="H109" s="5">
        <f>7.263*(F109*10^-3)^3.106</f>
        <v>25.589128476667867</v>
      </c>
      <c r="I109" s="5" t="s">
        <v>41</v>
      </c>
      <c r="J109" s="5">
        <f t="shared" ref="J109:J115" si="88">G109*$D109</f>
        <v>406.53779084251624</v>
      </c>
      <c r="K109" s="5">
        <f t="shared" ref="K109:K115" si="89">H109*$D109</f>
        <v>1679.6966476542957</v>
      </c>
      <c r="N109" s="5" t="s">
        <v>52</v>
      </c>
      <c r="O109" s="5" t="s">
        <v>82</v>
      </c>
      <c r="P109" s="5">
        <f>10^(-0.0143*(-1.17)+((-0.363)*LOG10(G109))+0.135*(LOG10(1.255))-0.105)</f>
        <v>0.43408914307201812</v>
      </c>
      <c r="Q109" s="5">
        <f>10^(-0.0143*(-1.17)+((-0.363)*LOG10(H109))+0.135*(LOG10(1.255))-0.105)</f>
        <v>0.2593723986577518</v>
      </c>
      <c r="R109" s="5">
        <f>P109*K109</f>
        <v>729.13807840119478</v>
      </c>
      <c r="S109" s="5">
        <f>Q109*J109</f>
        <v>105.44468195584685</v>
      </c>
      <c r="T109" s="5"/>
      <c r="U109" s="5"/>
      <c r="V109" s="5"/>
      <c r="W109" s="11"/>
      <c r="X109" s="11"/>
      <c r="Y109" s="11"/>
      <c r="Z109" s="11"/>
      <c r="AA109" s="11"/>
      <c r="AB109" s="11"/>
    </row>
    <row r="110" spans="1:28" s="1" customFormat="1" x14ac:dyDescent="0.25">
      <c r="A110" s="16" t="s">
        <v>35</v>
      </c>
      <c r="B110" s="1" t="s">
        <v>17</v>
      </c>
      <c r="C110" s="1" t="s">
        <v>9</v>
      </c>
      <c r="D110" s="22">
        <f>SUM(13.128205,
1031.794872)</f>
        <v>1044.9230769999999</v>
      </c>
      <c r="E110" s="22">
        <v>1500</v>
      </c>
      <c r="F110" s="22">
        <v>2600</v>
      </c>
      <c r="G110" s="5">
        <f t="shared" ref="G110:G115" si="90">7.263*(E110*10^-3)^3.106</f>
        <v>25.589128476667867</v>
      </c>
      <c r="H110" s="5">
        <f t="shared" ref="H110:H115" si="91">7.263*(F110*10^-3)^3.106</f>
        <v>141.26132091409403</v>
      </c>
      <c r="I110" s="5"/>
      <c r="J110" s="5">
        <f t="shared" si="88"/>
        <v>26738.670865588108</v>
      </c>
      <c r="K110" s="5">
        <f t="shared" si="89"/>
        <v>147607.21411063959</v>
      </c>
      <c r="L110" s="8"/>
      <c r="M110" s="8"/>
      <c r="N110" s="5" t="s">
        <v>52</v>
      </c>
      <c r="O110" s="5" t="s">
        <v>82</v>
      </c>
      <c r="P110" s="5">
        <f>10^(-0.0143*(-1.17)+((-0.363)*LOG10(G110))+0.135*(LOG10(1.255))-0.105)</f>
        <v>0.2593723986577518</v>
      </c>
      <c r="Q110" s="5">
        <f t="shared" ref="Q110:Q113" si="92">10^(-0.0143*(-1.17)+((-0.363)*LOG10(H110))+0.135*(LOG10(1.255))-0.105)</f>
        <v>0.13950489884402328</v>
      </c>
      <c r="R110" s="5">
        <f t="shared" ref="R110:R115" si="93">P110*K110</f>
        <v>38285.237183064935</v>
      </c>
      <c r="S110" s="5">
        <f t="shared" ref="S110:S115" si="94">Q110*J110</f>
        <v>3730.1755743275016</v>
      </c>
      <c r="T110" s="5"/>
      <c r="U110" s="5"/>
      <c r="V110" s="5"/>
    </row>
    <row r="111" spans="1:28" s="1" customFormat="1" x14ac:dyDescent="0.25">
      <c r="A111" s="16" t="s">
        <v>35</v>
      </c>
      <c r="B111" s="1" t="s">
        <v>17</v>
      </c>
      <c r="C111" s="1" t="s">
        <v>10</v>
      </c>
      <c r="D111" s="22">
        <f>SUM(349.374359,
363.076923)</f>
        <v>712.45128199999999</v>
      </c>
      <c r="E111" s="22">
        <v>2600</v>
      </c>
      <c r="F111" s="22">
        <v>3500</v>
      </c>
      <c r="G111" s="5">
        <f t="shared" si="90"/>
        <v>141.26132091409403</v>
      </c>
      <c r="H111" s="5">
        <f t="shared" si="91"/>
        <v>355.62426808540175</v>
      </c>
      <c r="I111" s="5"/>
      <c r="J111" s="5">
        <f t="shared" si="88"/>
        <v>100641.80918225971</v>
      </c>
      <c r="K111" s="5">
        <f>H111*$D111</f>
        <v>253364.96570775617</v>
      </c>
      <c r="L111" s="8"/>
      <c r="M111" s="8"/>
      <c r="N111" s="5" t="s">
        <v>52</v>
      </c>
      <c r="O111" s="5" t="s">
        <v>82</v>
      </c>
      <c r="P111" s="5">
        <f>10^(-0.0143*(-1.17)+((-0.363)*LOG10(G111))+0.135*(LOG10(1.255))-0.105)</f>
        <v>0.13950489884402328</v>
      </c>
      <c r="Q111" s="5">
        <f t="shared" si="92"/>
        <v>9.9778742999116016E-2</v>
      </c>
      <c r="R111" s="5">
        <f t="shared" si="93"/>
        <v>35345.653911679954</v>
      </c>
      <c r="S111" s="5">
        <f t="shared" si="94"/>
        <v>10041.913213362766</v>
      </c>
      <c r="T111" s="5"/>
      <c r="U111" s="5"/>
      <c r="V111" s="5"/>
    </row>
    <row r="112" spans="1:28" s="1" customFormat="1" x14ac:dyDescent="0.25">
      <c r="A112" s="16" t="s">
        <v>35</v>
      </c>
      <c r="B112" s="1" t="s">
        <v>17</v>
      </c>
      <c r="C112" s="1" t="s">
        <v>11</v>
      </c>
      <c r="D112" s="22">
        <v>321.476923</v>
      </c>
      <c r="E112" s="22">
        <v>3500</v>
      </c>
      <c r="F112" s="22">
        <v>4200</v>
      </c>
      <c r="G112" s="5">
        <f t="shared" si="90"/>
        <v>355.62426808540175</v>
      </c>
      <c r="H112" s="5">
        <f t="shared" si="91"/>
        <v>626.5104800772491</v>
      </c>
      <c r="I112" s="5"/>
      <c r="J112" s="5">
        <f t="shared" si="88"/>
        <v>114324.99544822205</v>
      </c>
      <c r="K112" s="5">
        <f t="shared" si="89"/>
        <v>201408.66136248683</v>
      </c>
      <c r="L112" s="8"/>
      <c r="M112" s="8"/>
      <c r="N112" s="5" t="s">
        <v>52</v>
      </c>
      <c r="O112" s="5" t="s">
        <v>82</v>
      </c>
      <c r="P112" s="5">
        <f>10^(-0.0143*(-1.17)+((-0.363)*LOG10(G112))+0.135*(LOG10(1.255))-0.105)</f>
        <v>9.9778742999116016E-2</v>
      </c>
      <c r="Q112" s="5">
        <f t="shared" si="92"/>
        <v>8.1238690722873694E-2</v>
      </c>
      <c r="R112" s="5">
        <f t="shared" si="93"/>
        <v>20096.303059883561</v>
      </c>
      <c r="S112" s="5">
        <f t="shared" si="94"/>
        <v>9287.612947112053</v>
      </c>
      <c r="T112" s="5"/>
      <c r="U112" s="5"/>
      <c r="V112" s="5"/>
    </row>
    <row r="113" spans="1:28" s="1" customFormat="1" x14ac:dyDescent="0.25">
      <c r="A113" s="16" t="s">
        <v>35</v>
      </c>
      <c r="B113" s="1" t="s">
        <v>17</v>
      </c>
      <c r="C113" s="1" t="s">
        <v>12</v>
      </c>
      <c r="D113" s="22">
        <v>1650.54359</v>
      </c>
      <c r="E113" s="22">
        <v>4600</v>
      </c>
      <c r="F113" s="22">
        <v>5400</v>
      </c>
      <c r="G113" s="5">
        <f t="shared" si="90"/>
        <v>831.07815957792832</v>
      </c>
      <c r="H113" s="5">
        <f t="shared" si="91"/>
        <v>1367.5117360953927</v>
      </c>
      <c r="I113" s="5"/>
      <c r="J113" s="5">
        <f t="shared" si="88"/>
        <v>1371730.7290803466</v>
      </c>
      <c r="K113" s="5">
        <f t="shared" si="89"/>
        <v>2257137.730262022</v>
      </c>
      <c r="L113" s="8"/>
      <c r="M113" s="8"/>
      <c r="N113" s="5" t="s">
        <v>52</v>
      </c>
      <c r="O113" s="5" t="s">
        <v>82</v>
      </c>
      <c r="P113" s="5">
        <f>10^(-0.0143*(-1.17)+((-0.363)*LOG10(G113))+0.135*(LOG10(1.255))-0.105)</f>
        <v>7.3319231529733589E-2</v>
      </c>
      <c r="Q113" s="5">
        <f t="shared" si="92"/>
        <v>6.119344839689627E-2</v>
      </c>
      <c r="R113" s="5">
        <f t="shared" si="93"/>
        <v>165491.60383957854</v>
      </c>
      <c r="S113" s="5">
        <f t="shared" si="94"/>
        <v>83940.933584415092</v>
      </c>
      <c r="T113" s="5"/>
      <c r="U113" s="5"/>
      <c r="V113" s="5"/>
    </row>
    <row r="114" spans="1:28" s="1" customFormat="1" x14ac:dyDescent="0.25">
      <c r="A114" s="16" t="s">
        <v>35</v>
      </c>
      <c r="B114" s="1" t="s">
        <v>17</v>
      </c>
      <c r="C114" s="1" t="s">
        <v>13</v>
      </c>
      <c r="D114" s="22">
        <v>757.98974399999997</v>
      </c>
      <c r="E114" s="22">
        <v>6600</v>
      </c>
      <c r="F114" s="22">
        <v>7200</v>
      </c>
      <c r="G114" s="5">
        <f t="shared" si="90"/>
        <v>2550.465821375426</v>
      </c>
      <c r="H114" s="5">
        <f t="shared" si="91"/>
        <v>3341.8794371620952</v>
      </c>
      <c r="I114" s="5"/>
      <c r="J114" s="5">
        <f t="shared" si="88"/>
        <v>1933226.9350251087</v>
      </c>
      <c r="K114" s="5">
        <f t="shared" si="89"/>
        <v>2533110.3390533607</v>
      </c>
      <c r="L114" s="8"/>
      <c r="M114" s="8"/>
      <c r="N114" s="5" t="s">
        <v>52</v>
      </c>
      <c r="O114" s="5" t="s">
        <v>82</v>
      </c>
      <c r="P114" s="5">
        <f>10^(0.0125*(-1.17)+((-0.23)*LOG10(G114))+0.729*(LOG10(1.255))-1.348)</f>
        <v>8.4287619670528665E-3</v>
      </c>
      <c r="Q114" s="5">
        <f>10^(0.0125*(-1.17)+((-0.23)*LOG10(H114))+0.729*(LOG10(1.255))-1.348)</f>
        <v>7.920788138891105E-3</v>
      </c>
      <c r="R114" s="5">
        <f t="shared" si="93"/>
        <v>21350.984084161359</v>
      </c>
      <c r="S114" s="5">
        <f t="shared" si="94"/>
        <v>15312.680976731686</v>
      </c>
      <c r="T114" s="5"/>
      <c r="U114" s="5"/>
      <c r="V114" s="5"/>
    </row>
    <row r="115" spans="1:28" s="1" customFormat="1" x14ac:dyDescent="0.25">
      <c r="A115" s="16" t="s">
        <v>35</v>
      </c>
      <c r="B115" s="1" t="s">
        <v>17</v>
      </c>
      <c r="C115" s="1" t="s">
        <v>14</v>
      </c>
      <c r="D115" s="22">
        <v>2.461538</v>
      </c>
      <c r="E115" s="22">
        <v>4900</v>
      </c>
      <c r="F115" s="22">
        <v>5600</v>
      </c>
      <c r="G115" s="5">
        <f t="shared" si="90"/>
        <v>1011.2652147179986</v>
      </c>
      <c r="H115" s="5">
        <f t="shared" si="91"/>
        <v>1531.0453543271549</v>
      </c>
      <c r="I115" s="5"/>
      <c r="J115" s="5">
        <f t="shared" si="88"/>
        <v>2489.2677541065127</v>
      </c>
      <c r="K115" s="5">
        <f t="shared" si="89"/>
        <v>3768.726319399756</v>
      </c>
      <c r="L115" s="8"/>
      <c r="M115" s="8"/>
      <c r="N115" s="5" t="s">
        <v>52</v>
      </c>
      <c r="O115" s="5" t="s">
        <v>82</v>
      </c>
      <c r="P115" s="5">
        <f>10^(0.0125*(-1.17)+((-0.23)*LOG10(G115))+0.729*(LOG10(1.255))-1.348)</f>
        <v>1.0427190556130816E-2</v>
      </c>
      <c r="Q115" s="5">
        <f>10^(0.0125*(-1.17)+((-0.23)*LOG10(H115))+0.729*(LOG10(1.255))-1.348)</f>
        <v>9.4784870972810104E-3</v>
      </c>
      <c r="R115" s="5">
        <f t="shared" si="93"/>
        <v>39.297227486286786</v>
      </c>
      <c r="S115" s="5">
        <f t="shared" si="94"/>
        <v>23.594492288976259</v>
      </c>
      <c r="T115" s="5"/>
      <c r="U115" s="5"/>
      <c r="V115" s="5"/>
    </row>
    <row r="116" spans="1:28" s="1" customFormat="1" x14ac:dyDescent="0.25">
      <c r="A116" s="16" t="s">
        <v>35</v>
      </c>
      <c r="B116" s="1" t="s">
        <v>17</v>
      </c>
      <c r="C116" s="1" t="s">
        <v>15</v>
      </c>
      <c r="D116" s="22">
        <f>SUM(D109:D115)</f>
        <v>4555.4871800000001</v>
      </c>
      <c r="E116" s="22"/>
      <c r="F116" s="22"/>
      <c r="G116" s="5"/>
      <c r="H116" s="5"/>
      <c r="I116" s="5"/>
      <c r="J116" s="5"/>
      <c r="K116" s="5"/>
      <c r="L116" s="8">
        <f>SUM(J109:J115)</f>
        <v>3549558.9451464741</v>
      </c>
      <c r="M116" s="8">
        <f>SUM(K109:K115)</f>
        <v>5398077.3334633196</v>
      </c>
      <c r="N116" s="5"/>
      <c r="O116" s="5"/>
      <c r="P116" s="5"/>
      <c r="Q116" s="5"/>
      <c r="R116" s="5"/>
      <c r="S116" s="5"/>
      <c r="T116" s="12">
        <f>SUM(R109:R115)</f>
        <v>281338.21738425584</v>
      </c>
      <c r="U116" s="12">
        <f>SUM(S109:S115)</f>
        <v>122442.35547019391</v>
      </c>
      <c r="V116" s="5"/>
    </row>
    <row r="117" spans="1:28" s="31" customFormat="1" x14ac:dyDescent="0.25">
      <c r="A117" s="35" t="s">
        <v>35</v>
      </c>
      <c r="B117" s="31" t="s">
        <v>19</v>
      </c>
      <c r="C117" s="31" t="s">
        <v>4</v>
      </c>
      <c r="D117" s="32">
        <f>SUM(65.859829,
169.230769)</f>
        <v>235.090598</v>
      </c>
      <c r="E117" s="32">
        <f>1.7</f>
        <v>1.7</v>
      </c>
      <c r="F117" s="32">
        <f>2.8</f>
        <v>2.8</v>
      </c>
      <c r="G117" s="33">
        <f>((0.0228*(E117)^2.3698)/0.9)*0.4*1000</f>
        <v>35.63446006817815</v>
      </c>
      <c r="H117" s="33">
        <f>((0.0228*(F117)^2.3698)/0.9)*0.4*1000</f>
        <v>116.259227141754</v>
      </c>
      <c r="I117" s="33" t="s">
        <v>46</v>
      </c>
      <c r="J117" s="33">
        <f>G117*$D117</f>
        <v>8377.3265268351224</v>
      </c>
      <c r="K117" s="33">
        <f>H117*$D117</f>
        <v>27331.451231772779</v>
      </c>
      <c r="L117" s="34">
        <f>J117</f>
        <v>8377.3265268351224</v>
      </c>
      <c r="M117" s="34">
        <f>K117</f>
        <v>27331.451231772779</v>
      </c>
      <c r="N117" s="33" t="s">
        <v>54</v>
      </c>
      <c r="O117" s="33"/>
      <c r="P117" s="33">
        <f>(14*(G117*10^6)^-0.25)*EXP(0.0693*(-1.17-20))*(J117*10^6)</f>
        <v>350042478.83220047</v>
      </c>
      <c r="Q117" s="33"/>
      <c r="R117" s="33"/>
      <c r="S117" s="33"/>
      <c r="T117" s="33"/>
      <c r="U117" s="33"/>
      <c r="V117" s="33"/>
      <c r="W117" s="1"/>
      <c r="X117" s="1"/>
      <c r="Y117" s="1"/>
      <c r="Z117" s="1"/>
      <c r="AA117" s="1"/>
      <c r="AB117" s="1"/>
    </row>
    <row r="118" spans="1:28" s="31" customFormat="1" x14ac:dyDescent="0.25">
      <c r="A118" s="35" t="s">
        <v>35</v>
      </c>
      <c r="B118" s="31" t="s">
        <v>20</v>
      </c>
      <c r="C118" s="31" t="s">
        <v>4</v>
      </c>
      <c r="D118" s="32">
        <f>SUM(1043.364103,
885.128205)</f>
        <v>1928.4923079999999</v>
      </c>
      <c r="E118" s="32">
        <v>11.6871446</v>
      </c>
      <c r="F118" s="32">
        <v>11.6871446</v>
      </c>
      <c r="G118" s="33">
        <f>0.4*(0.00032*(E118)^3)*1000</f>
        <v>204.33145234296978</v>
      </c>
      <c r="H118" s="33">
        <f>0.4*(0.00032*(F118)^3)*1000</f>
        <v>204.33145234296978</v>
      </c>
      <c r="I118" s="33" t="s">
        <v>43</v>
      </c>
      <c r="J118" s="33">
        <f>G118*$D118</f>
        <v>394051.63412588579</v>
      </c>
      <c r="K118" s="33">
        <f>H118*$D118</f>
        <v>394051.63412588579</v>
      </c>
      <c r="L118" s="34">
        <f>J118</f>
        <v>394051.63412588579</v>
      </c>
      <c r="M118" s="34">
        <f>K118</f>
        <v>394051.63412588579</v>
      </c>
      <c r="N118" s="33" t="s">
        <v>51</v>
      </c>
      <c r="O118" s="33"/>
      <c r="P118" s="33">
        <f>(14*(G118*10^6)^-0.25)*EXP(0.0693*(-1.17-20))*(J118*10^6)</f>
        <v>10640258529.301691</v>
      </c>
      <c r="Q118" s="33"/>
      <c r="R118" s="33"/>
      <c r="S118" s="33"/>
      <c r="T118" s="33"/>
      <c r="U118" s="33"/>
      <c r="V118" s="33"/>
      <c r="W118" s="11"/>
      <c r="X118" s="11"/>
      <c r="Y118" s="11"/>
      <c r="Z118" s="11"/>
      <c r="AA118" s="11"/>
      <c r="AB118" s="11"/>
    </row>
    <row r="119" spans="1:28" s="2" customFormat="1" x14ac:dyDescent="0.25">
      <c r="A119" s="15" t="s">
        <v>35</v>
      </c>
      <c r="B119" s="2" t="s">
        <v>21</v>
      </c>
      <c r="C119" s="2" t="s">
        <v>11</v>
      </c>
      <c r="D119" s="21">
        <f>SUM(36.102564,
56.410256)</f>
        <v>92.512820000000005</v>
      </c>
      <c r="E119" s="21">
        <v>1800</v>
      </c>
      <c r="F119" s="21">
        <v>2200</v>
      </c>
      <c r="G119" s="3">
        <f>((0.0089*(E119*10^-3)^3.4119)/0.9)*0.47*1000</f>
        <v>34.531036561114568</v>
      </c>
      <c r="H119" s="3">
        <f>((0.0089*(F119*10^-3)^3.4119)/0.9)*0.47*1000</f>
        <v>68.478982676295388</v>
      </c>
      <c r="I119" s="3" t="s">
        <v>46</v>
      </c>
      <c r="J119" s="3">
        <f>G119*$D119</f>
        <v>3194.5635697918115</v>
      </c>
      <c r="K119" s="3">
        <f t="shared" ref="K119:K122" si="95">H119*$D119</f>
        <v>6335.1837981152339</v>
      </c>
      <c r="L119" s="7"/>
      <c r="M119" s="7"/>
      <c r="N119" s="3" t="s">
        <v>51</v>
      </c>
      <c r="O119" s="3" t="s">
        <v>82</v>
      </c>
      <c r="P119" s="5">
        <f>10^(-0.0143*(-1.17)+((-0.363)*LOG10(G119))+0.135*(LOG10(1.255))-0.105)</f>
        <v>0.23263647714448102</v>
      </c>
      <c r="Q119" s="5">
        <f>10^(-0.0143*(-1.17)+((-0.363)*LOG10(H119))+0.135*(LOG10(1.255))-0.105)</f>
        <v>0.18144316093008381</v>
      </c>
      <c r="R119" s="3">
        <f>P119*K119</f>
        <v>1473.7948408563211</v>
      </c>
      <c r="S119" s="3">
        <f>Q119*J119</f>
        <v>579.63171189511866</v>
      </c>
      <c r="T119" s="3"/>
      <c r="U119" s="3"/>
      <c r="V119" s="3"/>
      <c r="W119" s="11"/>
      <c r="X119" s="11"/>
      <c r="Y119" s="11"/>
      <c r="Z119" s="11"/>
      <c r="AA119" s="11"/>
      <c r="AB119" s="11"/>
    </row>
    <row r="120" spans="1:28" s="2" customFormat="1" x14ac:dyDescent="0.25">
      <c r="A120" s="15" t="s">
        <v>35</v>
      </c>
      <c r="B120" s="2" t="s">
        <v>21</v>
      </c>
      <c r="C120" s="2" t="s">
        <v>12</v>
      </c>
      <c r="D120" s="21">
        <f>SUM(76.252991,
41.025641)</f>
        <v>117.27863199999999</v>
      </c>
      <c r="E120" s="21">
        <v>2200</v>
      </c>
      <c r="F120" s="21">
        <v>2800</v>
      </c>
      <c r="G120" s="3">
        <f t="shared" ref="G120:G122" si="96">((0.0089*(E120*10^-3)^3.4119)/0.9)*0.47*1000</f>
        <v>68.478982676295388</v>
      </c>
      <c r="H120" s="3">
        <f>((0.0089*(F120*10^-3)^3.4119)/0.9)*0.47*1000</f>
        <v>155.9207238445286</v>
      </c>
      <c r="I120" s="3"/>
      <c r="J120" s="3">
        <f>G120*$D120</f>
        <v>8031.1214090276208</v>
      </c>
      <c r="K120" s="3">
        <f>H120*$D120</f>
        <v>18286.169192936093</v>
      </c>
      <c r="L120" s="7"/>
      <c r="M120" s="7"/>
      <c r="N120" s="3" t="s">
        <v>51</v>
      </c>
      <c r="O120" s="3" t="s">
        <v>82</v>
      </c>
      <c r="P120" s="5">
        <f>10^(-0.0143*(-1.17)+((-0.363)*LOG10(G120))+0.135*(LOG10(1.255))-0.105)</f>
        <v>0.18144316093008381</v>
      </c>
      <c r="Q120" s="5">
        <f t="shared" ref="Q120" si="97">10^(-0.0143*(-1.17)+((-0.363)*LOG10(H120))+0.135*(LOG10(1.255))-0.105)</f>
        <v>0.13459341368090785</v>
      </c>
      <c r="R120" s="3">
        <f t="shared" ref="R120:R122" si="98">P120*K120</f>
        <v>3317.9003396686444</v>
      </c>
      <c r="S120" s="3">
        <f t="shared" ref="S120:S122" si="99">Q120*J120</f>
        <v>1080.9360461268502</v>
      </c>
      <c r="T120" s="3"/>
      <c r="U120" s="3"/>
      <c r="V120" s="3"/>
      <c r="W120" s="1"/>
      <c r="X120" s="1"/>
      <c r="Y120" s="1"/>
      <c r="Z120" s="1"/>
      <c r="AA120" s="1"/>
      <c r="AB120" s="1"/>
    </row>
    <row r="121" spans="1:28" s="2" customFormat="1" x14ac:dyDescent="0.25">
      <c r="A121" s="15" t="s">
        <v>35</v>
      </c>
      <c r="B121" s="2" t="s">
        <v>21</v>
      </c>
      <c r="C121" s="2" t="s">
        <v>13</v>
      </c>
      <c r="D121" s="21">
        <f>77.511111</f>
        <v>77.511111</v>
      </c>
      <c r="E121" s="21">
        <v>2700</v>
      </c>
      <c r="F121" s="21">
        <v>3200</v>
      </c>
      <c r="G121" s="3">
        <f t="shared" si="96"/>
        <v>137.72582485028883</v>
      </c>
      <c r="H121" s="3">
        <f>((0.0089*(F121*10^-3)^3.4119)/0.9)*0.47*1000</f>
        <v>245.90455088187281</v>
      </c>
      <c r="I121" s="3"/>
      <c r="J121" s="3">
        <f>G121*$D121</f>
        <v>10675.281697537295</v>
      </c>
      <c r="K121" s="3">
        <f t="shared" si="95"/>
        <v>19060.334938809992</v>
      </c>
      <c r="L121" s="7"/>
      <c r="M121" s="7"/>
      <c r="N121" s="3" t="s">
        <v>51</v>
      </c>
      <c r="O121" s="3" t="s">
        <v>82</v>
      </c>
      <c r="P121" s="5">
        <f>10^(0.0125*(-1.17)+((-0.23)*LOG10(G121))+0.729*(LOG10(1.255))-1.348)</f>
        <v>1.6493496712725431E-2</v>
      </c>
      <c r="Q121" s="5">
        <f>10^(0.0125*(-1.17)+((-0.23)*LOG10(H121))+0.729*(LOG10(1.255))-1.348)</f>
        <v>1.4434773242917247E-2</v>
      </c>
      <c r="R121" s="3">
        <f t="shared" si="98"/>
        <v>314.37157165670828</v>
      </c>
      <c r="S121" s="3">
        <f t="shared" si="99"/>
        <v>154.09527060821554</v>
      </c>
      <c r="T121" s="3"/>
      <c r="U121" s="3"/>
      <c r="V121" s="3"/>
      <c r="W121" s="1"/>
      <c r="X121" s="1"/>
      <c r="Y121" s="1"/>
      <c r="Z121" s="1"/>
      <c r="AA121" s="1"/>
      <c r="AB121" s="1"/>
    </row>
    <row r="122" spans="1:28" s="2" customFormat="1" x14ac:dyDescent="0.25">
      <c r="A122" s="15" t="s">
        <v>35</v>
      </c>
      <c r="B122" s="2" t="s">
        <v>21</v>
      </c>
      <c r="C122" s="2" t="s">
        <v>14</v>
      </c>
      <c r="D122" s="21">
        <f>4.923077</f>
        <v>4.9230770000000001</v>
      </c>
      <c r="E122" s="21">
        <v>2900</v>
      </c>
      <c r="F122" s="21">
        <v>3200</v>
      </c>
      <c r="G122" s="3">
        <f t="shared" si="96"/>
        <v>175.75232711616172</v>
      </c>
      <c r="H122" s="3">
        <f>((0.0089*(F122*10^-3)^3.4119)/0.9)*0.47*1000</f>
        <v>245.90455088187281</v>
      </c>
      <c r="I122" s="3"/>
      <c r="J122" s="3">
        <f>G122*$D122</f>
        <v>865.24223932205211</v>
      </c>
      <c r="K122" s="3">
        <f t="shared" si="95"/>
        <v>1210.6070386418778</v>
      </c>
      <c r="L122" s="7"/>
      <c r="M122" s="7"/>
      <c r="N122" s="3" t="s">
        <v>51</v>
      </c>
      <c r="O122" s="3" t="s">
        <v>82</v>
      </c>
      <c r="P122" s="5">
        <f>10^(0.0125*(-1.17)+((-0.23)*LOG10(G122))+0.729*(LOG10(1.255))-1.348)</f>
        <v>1.5594053747697376E-2</v>
      </c>
      <c r="Q122" s="5">
        <f>10^(0.0125*(-1.17)+((-0.23)*LOG10(H122))+0.729*(LOG10(1.255))-1.348)</f>
        <v>1.4434773242917247E-2</v>
      </c>
      <c r="R122" s="3">
        <f t="shared" si="98"/>
        <v>18.878271227922198</v>
      </c>
      <c r="S122" s="3">
        <f t="shared" si="99"/>
        <v>12.489575524807758</v>
      </c>
      <c r="T122" s="3"/>
      <c r="U122" s="3"/>
      <c r="V122" s="3"/>
      <c r="W122" s="1"/>
      <c r="X122" s="1"/>
      <c r="Y122" s="1"/>
      <c r="Z122" s="1"/>
      <c r="AA122" s="1"/>
      <c r="AB122" s="1"/>
    </row>
    <row r="123" spans="1:28" s="9" customFormat="1" x14ac:dyDescent="0.25">
      <c r="A123" s="14" t="s">
        <v>35</v>
      </c>
      <c r="B123" s="9" t="s">
        <v>21</v>
      </c>
      <c r="C123" s="9" t="s">
        <v>15</v>
      </c>
      <c r="D123" s="19">
        <f>SUM(194.789744,
97.435897)</f>
        <v>292.225641</v>
      </c>
      <c r="E123" s="19"/>
      <c r="F123" s="19"/>
      <c r="G123" s="10"/>
      <c r="H123" s="10"/>
      <c r="I123" s="10"/>
      <c r="J123" s="10"/>
      <c r="K123" s="10"/>
      <c r="L123" s="7">
        <f>SUM(J119:J122)</f>
        <v>22766.208915678781</v>
      </c>
      <c r="M123" s="7">
        <f>SUM(K119:K122)</f>
        <v>44892.2949685032</v>
      </c>
      <c r="N123" s="10"/>
      <c r="O123" s="10"/>
      <c r="P123" s="10"/>
      <c r="Q123" s="10"/>
      <c r="R123" s="10"/>
      <c r="S123" s="10"/>
      <c r="T123" s="10">
        <f>SUM(R119:R122)</f>
        <v>5124.9450234095966</v>
      </c>
      <c r="U123" s="10">
        <f>SUM(S119:S122)</f>
        <v>1827.1526041549923</v>
      </c>
      <c r="V123" s="10"/>
      <c r="W123" s="1"/>
      <c r="X123" s="5"/>
      <c r="Y123" s="5">
        <f>X123*10^-6</f>
        <v>0</v>
      </c>
      <c r="Z123" s="5">
        <f>Y123*30</f>
        <v>0</v>
      </c>
      <c r="AA123" s="1"/>
      <c r="AB123" s="1"/>
    </row>
    <row r="124" spans="1:28" s="1" customFormat="1" x14ac:dyDescent="0.25">
      <c r="A124" s="16" t="s">
        <v>35</v>
      </c>
      <c r="B124" s="1" t="s">
        <v>22</v>
      </c>
      <c r="C124" s="1" t="s">
        <v>10</v>
      </c>
      <c r="D124" s="22">
        <v>13.675214</v>
      </c>
      <c r="E124" s="22">
        <v>1400</v>
      </c>
      <c r="F124" s="22">
        <v>1700</v>
      </c>
      <c r="G124" s="5">
        <f>((0.0031*(E124*10^-3)^4.7164)/0.9)*1000</f>
        <v>16.839044780366603</v>
      </c>
      <c r="H124" s="5">
        <f>((0.0031*(F124*10^-3)^4.7164)/0.9)*1000</f>
        <v>42.073484081118231</v>
      </c>
      <c r="I124" s="5" t="s">
        <v>61</v>
      </c>
      <c r="J124" s="5">
        <f>G124*$D124</f>
        <v>230.27754092709631</v>
      </c>
      <c r="K124" s="5">
        <f>H124*$D124</f>
        <v>575.36389853488515</v>
      </c>
      <c r="L124" s="8"/>
      <c r="M124" s="8"/>
      <c r="N124" s="5" t="s">
        <v>51</v>
      </c>
      <c r="O124" s="5" t="s">
        <v>82</v>
      </c>
      <c r="P124" s="36">
        <f>10^(-0.0143*(-1.17)+((-0.363)*LOG10(G124))+0.135*(LOG10(1.255))-0.105)</f>
        <v>0.30192193622328856</v>
      </c>
      <c r="Q124" s="36">
        <f>10^(-0.0143*(-1.17)+((-0.363)*LOG10(H124))+0.135*(LOG10(1.255))-0.105)</f>
        <v>0.21653735409836775</v>
      </c>
      <c r="R124" s="36">
        <f>P124*K124</f>
        <v>173.71498227863225</v>
      </c>
      <c r="S124" s="36">
        <f>Q124*J124</f>
        <v>49.863689420632028</v>
      </c>
      <c r="T124" s="5"/>
      <c r="U124" s="5"/>
      <c r="V124" s="5"/>
      <c r="W124" s="11"/>
      <c r="X124" s="11"/>
      <c r="Y124" s="11"/>
      <c r="Z124" s="11"/>
      <c r="AA124" s="11"/>
      <c r="AB124" s="11"/>
    </row>
    <row r="125" spans="1:28" s="1" customFormat="1" x14ac:dyDescent="0.25">
      <c r="A125" s="16" t="s">
        <v>35</v>
      </c>
      <c r="B125" s="1" t="s">
        <v>22</v>
      </c>
      <c r="C125" s="1" t="s">
        <v>12</v>
      </c>
      <c r="D125" s="22">
        <v>2.461538</v>
      </c>
      <c r="E125" s="22">
        <v>2000</v>
      </c>
      <c r="F125" s="22">
        <v>2800</v>
      </c>
      <c r="G125" s="5">
        <f t="shared" ref="G125:G127" si="100">((0.0031*(E125*10^-3)^4.7164)/0.9)*1000</f>
        <v>90.551793379744637</v>
      </c>
      <c r="H125" s="5">
        <f>((0.0031*(F125*10^-3)^4.7164)/0.9)*1000</f>
        <v>442.68552687020059</v>
      </c>
      <c r="I125" s="5"/>
      <c r="J125" s="5">
        <f>G125*$D125</f>
        <v>222.89668037238985</v>
      </c>
      <c r="K125" s="5">
        <f t="shared" ref="K125:K127" si="101">H125*$D125</f>
        <v>1089.6872464410199</v>
      </c>
      <c r="L125" s="8"/>
      <c r="M125" s="8"/>
      <c r="N125" s="5" t="s">
        <v>51</v>
      </c>
      <c r="O125" s="5" t="s">
        <v>82</v>
      </c>
      <c r="P125" s="36">
        <f>10^(-0.0143*(-1.17)+((-0.363)*LOG10(G125))+0.135*(LOG10(1.255))-0.105)</f>
        <v>0.16394352610515872</v>
      </c>
      <c r="Q125" s="36">
        <f>10^(-0.0143*(-1.17)+((-0.363)*LOG10(H125))+0.135*(LOG10(1.255))-0.105)</f>
        <v>9.215423549281726E-2</v>
      </c>
      <c r="R125" s="36">
        <f t="shared" ref="R125:R127" si="102">P125*K125</f>
        <v>178.64716953336188</v>
      </c>
      <c r="S125" s="36">
        <f t="shared" ref="S125:S127" si="103">Q125*J125</f>
        <v>20.540873173604432</v>
      </c>
      <c r="T125" s="5"/>
      <c r="U125" s="5"/>
      <c r="V125" s="5"/>
    </row>
    <row r="126" spans="1:28" s="1" customFormat="1" x14ac:dyDescent="0.25">
      <c r="A126" s="16" t="s">
        <v>35</v>
      </c>
      <c r="B126" s="1" t="s">
        <v>22</v>
      </c>
      <c r="C126" s="1" t="s">
        <v>13</v>
      </c>
      <c r="D126" s="22">
        <v>7.3846150000000002</v>
      </c>
      <c r="E126" s="22">
        <v>2900</v>
      </c>
      <c r="F126" s="22">
        <v>3700</v>
      </c>
      <c r="G126" s="5">
        <f t="shared" si="100"/>
        <v>522.36383504946343</v>
      </c>
      <c r="H126" s="5">
        <f>((0.0031*(F126*10^-3)^4.7164)/0.9)*1000</f>
        <v>1648.1084869241679</v>
      </c>
      <c r="I126" s="5"/>
      <c r="J126" s="5">
        <f>G126*$D126</f>
        <v>3857.4558117637935</v>
      </c>
      <c r="K126" s="5">
        <f>H126*$D126</f>
        <v>12170.646654167514</v>
      </c>
      <c r="L126" s="8"/>
      <c r="M126" s="8"/>
      <c r="N126" s="5" t="s">
        <v>51</v>
      </c>
      <c r="O126" s="5" t="s">
        <v>82</v>
      </c>
      <c r="P126" s="3">
        <f>10^(0.0125*(-1.17)+((-0.23)*LOG10(G126))+0.729*(LOG10(1.255))-1.348)</f>
        <v>1.2138148956119605E-2</v>
      </c>
      <c r="Q126" s="3">
        <f>10^(0.0125*(-1.17)+((-0.23)*LOG10(H126))+0.729*(LOG10(1.255))-1.348)</f>
        <v>9.3192195448937674E-3</v>
      </c>
      <c r="R126" s="36">
        <f t="shared" si="102"/>
        <v>147.72912198058398</v>
      </c>
      <c r="S126" s="36">
        <f t="shared" si="103"/>
        <v>35.948477594553196</v>
      </c>
      <c r="T126" s="5"/>
      <c r="U126" s="5"/>
      <c r="V126" s="5"/>
    </row>
    <row r="127" spans="1:28" s="1" customFormat="1" x14ac:dyDescent="0.25">
      <c r="A127" s="16" t="s">
        <v>35</v>
      </c>
      <c r="B127" s="1" t="s">
        <v>22</v>
      </c>
      <c r="C127" s="1" t="s">
        <v>14</v>
      </c>
      <c r="D127" s="22">
        <v>18.871794999999999</v>
      </c>
      <c r="E127" s="22">
        <v>2600</v>
      </c>
      <c r="F127" s="22">
        <v>3000</v>
      </c>
      <c r="G127" s="5">
        <f t="shared" si="100"/>
        <v>312.10410638900743</v>
      </c>
      <c r="H127" s="5">
        <f>((0.0031*(F127*10^-3)^4.7164)/0.9)*1000</f>
        <v>612.93422218491241</v>
      </c>
      <c r="I127" s="5"/>
      <c r="J127" s="5">
        <f>G127*$D127</f>
        <v>5889.9647144315377</v>
      </c>
      <c r="K127" s="5">
        <f t="shared" si="101"/>
        <v>11567.168989558118</v>
      </c>
      <c r="L127" s="8"/>
      <c r="M127" s="8"/>
      <c r="N127" s="5" t="s">
        <v>51</v>
      </c>
      <c r="O127" s="5" t="s">
        <v>82</v>
      </c>
      <c r="P127" s="3">
        <f>10^(0.0125*(-1.17)+((-0.23)*LOG10(G127))+0.729*(LOG10(1.255))-1.348)</f>
        <v>1.3664614846267209E-2</v>
      </c>
      <c r="Q127" s="3">
        <f>10^(0.0125*(-1.17)+((-0.23)*LOG10(H127))+0.729*(LOG10(1.255))-1.348)</f>
        <v>1.1699871340529879E-2</v>
      </c>
      <c r="R127" s="36">
        <f t="shared" si="102"/>
        <v>158.06090910399755</v>
      </c>
      <c r="S127" s="36">
        <f t="shared" si="103"/>
        <v>68.911829359109802</v>
      </c>
      <c r="T127" s="5"/>
      <c r="U127" s="5"/>
      <c r="V127" s="5"/>
    </row>
    <row r="128" spans="1:28" s="11" customFormat="1" x14ac:dyDescent="0.25">
      <c r="A128" s="17" t="s">
        <v>35</v>
      </c>
      <c r="B128" s="11" t="s">
        <v>22</v>
      </c>
      <c r="C128" s="11" t="s">
        <v>15</v>
      </c>
      <c r="D128" s="20">
        <v>44.854700999999999</v>
      </c>
      <c r="E128" s="20"/>
      <c r="F128" s="20"/>
      <c r="G128" s="12"/>
      <c r="H128" s="12"/>
      <c r="I128" s="12"/>
      <c r="J128" s="12"/>
      <c r="K128" s="12"/>
      <c r="L128" s="8">
        <f>SUM(J124:J127)</f>
        <v>10200.594747494817</v>
      </c>
      <c r="M128" s="8">
        <f>SUM(K124:K127)</f>
        <v>25402.86678870154</v>
      </c>
      <c r="N128" s="12"/>
      <c r="O128" s="12"/>
      <c r="P128" s="12"/>
      <c r="Q128" s="12"/>
      <c r="R128" s="12"/>
      <c r="S128" s="12"/>
      <c r="T128" s="12">
        <f>SUM(R124:R127)</f>
        <v>658.15218289657571</v>
      </c>
      <c r="U128" s="12">
        <f>SUM(S124:S127)</f>
        <v>175.26486954789948</v>
      </c>
      <c r="V128" s="12"/>
      <c r="W128" s="1"/>
      <c r="X128" s="1"/>
      <c r="Y128" s="1"/>
      <c r="Z128" s="1"/>
      <c r="AA128" s="1"/>
      <c r="AB128" s="1"/>
    </row>
    <row r="129" spans="1:28" s="2" customFormat="1" x14ac:dyDescent="0.25">
      <c r="A129" s="15" t="s">
        <v>35</v>
      </c>
      <c r="B129" s="2" t="s">
        <v>23</v>
      </c>
      <c r="C129" s="2" t="s">
        <v>9</v>
      </c>
      <c r="D129" s="21">
        <f>SUM(14.769231,
86.153846)</f>
        <v>100.92307700000001</v>
      </c>
      <c r="E129" s="21">
        <v>650</v>
      </c>
      <c r="F129" s="21">
        <v>1000</v>
      </c>
      <c r="G129" s="3">
        <f>10^(3.07*LOG10(E129)-8.37)</f>
        <v>1.8435036630733526</v>
      </c>
      <c r="H129" s="3">
        <f>10^(3.07*LOG10(F129)-8.37)</f>
        <v>6.9183097091893631</v>
      </c>
      <c r="I129" s="3" t="s">
        <v>48</v>
      </c>
      <c r="J129" s="3">
        <f>G129*$D129</f>
        <v>186.05206213813403</v>
      </c>
      <c r="K129" s="3">
        <f>H129*$D129</f>
        <v>698.21710349036573</v>
      </c>
      <c r="L129" s="7"/>
      <c r="M129" s="7"/>
      <c r="N129" s="3" t="s">
        <v>53</v>
      </c>
      <c r="O129" s="3" t="s">
        <v>82</v>
      </c>
      <c r="P129" s="3">
        <f>10^(-0.0143*(-1.17)+((-0.363)*LOG10(G129))+0.135*(LOG10(1.255))-0.105)</f>
        <v>0.67393673442900626</v>
      </c>
      <c r="Q129" s="3">
        <f>10^(-0.0143*(-1.17)+((-0.363)*LOG10(H129))+0.135*(LOG10(1.255))-0.105)</f>
        <v>0.41699217271362354</v>
      </c>
      <c r="R129" s="3">
        <f>P129*K129</f>
        <v>470.5541546487766</v>
      </c>
      <c r="S129" s="3">
        <f>Q129*J129</f>
        <v>77.5822536288306</v>
      </c>
      <c r="T129" s="3"/>
      <c r="U129" s="3"/>
      <c r="V129" s="3"/>
      <c r="W129" s="11"/>
      <c r="X129" s="11"/>
      <c r="Y129" s="11"/>
      <c r="Z129" s="11"/>
      <c r="AA129" s="11"/>
      <c r="AB129" s="11"/>
    </row>
    <row r="130" spans="1:28" s="2" customFormat="1" x14ac:dyDescent="0.25">
      <c r="A130" s="15" t="s">
        <v>35</v>
      </c>
      <c r="B130" s="2" t="s">
        <v>23</v>
      </c>
      <c r="C130" s="2" t="s">
        <v>10</v>
      </c>
      <c r="D130" s="21">
        <f>SUM(8.205128,
15.384615)</f>
        <v>23.589742999999999</v>
      </c>
      <c r="E130" s="21">
        <v>1000</v>
      </c>
      <c r="F130" s="21">
        <v>1300</v>
      </c>
      <c r="G130" s="3">
        <f t="shared" ref="G130:G134" si="104">10^(3.07*LOG10(E130)-8.37)</f>
        <v>6.9183097091893631</v>
      </c>
      <c r="H130" s="3">
        <f>10^(3.07*LOG10(F130)-8.37)</f>
        <v>15.4812524115867</v>
      </c>
      <c r="I130" s="3"/>
      <c r="J130" s="3">
        <f>G130*$D130</f>
        <v>163.20114803418181</v>
      </c>
      <c r="K130" s="3">
        <f t="shared" ref="K130:K134" si="105">H130*$D130</f>
        <v>365.19876570746044</v>
      </c>
      <c r="L130" s="7"/>
      <c r="M130" s="7"/>
      <c r="N130" s="3" t="s">
        <v>53</v>
      </c>
      <c r="O130" s="3" t="s">
        <v>82</v>
      </c>
      <c r="P130" s="3">
        <f>10^(-0.0143*(-1.17)+((-0.363)*LOG10(G130))+0.135*(LOG10(1.255))-0.105)</f>
        <v>0.41699217271362354</v>
      </c>
      <c r="Q130" s="3">
        <f t="shared" ref="Q130:Q132" si="106">10^(-0.0143*(-1.17)+((-0.363)*LOG10(H130))+0.135*(LOG10(1.255))-0.105)</f>
        <v>0.31127790276123762</v>
      </c>
      <c r="R130" s="3">
        <f t="shared" ref="R130:R134" si="107">P130*K130</f>
        <v>152.28502678468749</v>
      </c>
      <c r="S130" s="3">
        <f t="shared" ref="S130:S134" si="108">Q130*J130</f>
        <v>50.800911088306393</v>
      </c>
      <c r="T130" s="3"/>
      <c r="U130" s="3"/>
      <c r="V130" s="3"/>
      <c r="W130" s="1"/>
      <c r="X130" s="1"/>
      <c r="Y130" s="1"/>
      <c r="Z130" s="1"/>
      <c r="AA130" s="1"/>
      <c r="AB130" s="1"/>
    </row>
    <row r="131" spans="1:28" s="2" customFormat="1" x14ac:dyDescent="0.25">
      <c r="A131" s="15" t="s">
        <v>35</v>
      </c>
      <c r="B131" s="2" t="s">
        <v>23</v>
      </c>
      <c r="C131" s="2" t="s">
        <v>11</v>
      </c>
      <c r="D131" s="21">
        <f>SUM(2.461538,
20.512821)</f>
        <v>22.974359</v>
      </c>
      <c r="E131" s="21">
        <v>1450</v>
      </c>
      <c r="F131" s="21">
        <v>1800</v>
      </c>
      <c r="G131" s="3">
        <f t="shared" si="104"/>
        <v>21.647102166396493</v>
      </c>
      <c r="H131" s="3">
        <f>10^(3.07*LOG10(F131)-8.37)</f>
        <v>42.042311984247227</v>
      </c>
      <c r="I131" s="3"/>
      <c r="J131" s="3">
        <f>G131*$D131</f>
        <v>497.32829648047078</v>
      </c>
      <c r="K131" s="3">
        <f t="shared" si="105"/>
        <v>965.89516871609817</v>
      </c>
      <c r="L131" s="7"/>
      <c r="M131" s="7"/>
      <c r="N131" s="3" t="s">
        <v>53</v>
      </c>
      <c r="O131" s="3" t="s">
        <v>82</v>
      </c>
      <c r="P131" s="3">
        <f>10^(-0.0143*(-1.17)+((-0.363)*LOG10(G131))+0.135*(LOG10(1.255))-0.105)</f>
        <v>0.27561178741279657</v>
      </c>
      <c r="Q131" s="3">
        <f t="shared" si="106"/>
        <v>0.21659562025176071</v>
      </c>
      <c r="R131" s="3">
        <f t="shared" si="107"/>
        <v>266.21209390322855</v>
      </c>
      <c r="S131" s="3">
        <f t="shared" si="108"/>
        <v>107.71913084493912</v>
      </c>
      <c r="T131" s="3"/>
      <c r="U131" s="3"/>
      <c r="V131" s="3"/>
      <c r="W131" s="1"/>
      <c r="X131" s="1"/>
      <c r="Y131" s="1"/>
      <c r="Z131" s="1"/>
      <c r="AA131" s="1"/>
      <c r="AB131" s="1"/>
    </row>
    <row r="132" spans="1:28" s="2" customFormat="1" x14ac:dyDescent="0.25">
      <c r="A132" s="15" t="s">
        <v>35</v>
      </c>
      <c r="B132" s="2" t="s">
        <v>23</v>
      </c>
      <c r="C132" s="2" t="s">
        <v>12</v>
      </c>
      <c r="D132" s="21">
        <v>18.051282</v>
      </c>
      <c r="E132" s="21">
        <v>2300</v>
      </c>
      <c r="F132" s="21">
        <v>3300</v>
      </c>
      <c r="G132" s="3">
        <f t="shared" si="104"/>
        <v>89.228677586730711</v>
      </c>
      <c r="H132" s="3">
        <f>10^(3.07*LOG10(F132)-8.37)</f>
        <v>270.29486517128805</v>
      </c>
      <c r="I132" s="3"/>
      <c r="J132" s="3">
        <f>G132*$D132</f>
        <v>1610.6920216051556</v>
      </c>
      <c r="K132" s="3">
        <f>H132*$D132</f>
        <v>4879.1688343588994</v>
      </c>
      <c r="L132" s="7"/>
      <c r="M132" s="7"/>
      <c r="N132" s="3" t="s">
        <v>53</v>
      </c>
      <c r="O132" s="3" t="s">
        <v>82</v>
      </c>
      <c r="P132" s="3">
        <f>10^(-0.0143*(-1.17)+((-0.363)*LOG10(G132))+0.135*(LOG10(1.255))-0.105)</f>
        <v>0.16482185030053237</v>
      </c>
      <c r="Q132" s="3">
        <f t="shared" si="106"/>
        <v>0.11022770956411918</v>
      </c>
      <c r="R132" s="3">
        <f t="shared" si="107"/>
        <v>804.19363520772549</v>
      </c>
      <c r="S132" s="3">
        <f t="shared" si="108"/>
        <v>177.54289235473706</v>
      </c>
      <c r="T132" s="3"/>
      <c r="U132" s="3"/>
      <c r="V132" s="3"/>
      <c r="W132" s="1"/>
      <c r="X132" s="1"/>
      <c r="Y132" s="1"/>
      <c r="Z132" s="1"/>
      <c r="AA132" s="1"/>
      <c r="AB132" s="1"/>
    </row>
    <row r="133" spans="1:28" s="2" customFormat="1" x14ac:dyDescent="0.25">
      <c r="A133" s="15" t="s">
        <v>35</v>
      </c>
      <c r="B133" s="2" t="s">
        <v>23</v>
      </c>
      <c r="C133" s="2" t="s">
        <v>13</v>
      </c>
      <c r="D133" s="21">
        <v>70.400000000000006</v>
      </c>
      <c r="E133" s="21">
        <v>3375</v>
      </c>
      <c r="F133" s="21">
        <v>3800</v>
      </c>
      <c r="G133" s="3">
        <f t="shared" si="104"/>
        <v>289.60129256866611</v>
      </c>
      <c r="H133" s="3">
        <f>10^(3.07*LOG10(F133)-8.37)</f>
        <v>416.807611897897</v>
      </c>
      <c r="I133" s="3"/>
      <c r="J133" s="3">
        <f>G133*$D133</f>
        <v>20387.930996834097</v>
      </c>
      <c r="K133" s="3">
        <f t="shared" si="105"/>
        <v>29343.255877611951</v>
      </c>
      <c r="L133" s="7"/>
      <c r="M133" s="7"/>
      <c r="N133" s="3" t="s">
        <v>53</v>
      </c>
      <c r="O133" s="3" t="s">
        <v>82</v>
      </c>
      <c r="P133" s="3">
        <f>10^(0.0125*(-1.17)+((-0.23)*LOG10(G133))+0.729*(LOG10(1.255))-1.348)</f>
        <v>1.3901836039449958E-2</v>
      </c>
      <c r="Q133" s="3">
        <f>10^(0.0125*(-1.17)+((-0.23)*LOG10(H133))+0.729*(LOG10(1.255))-1.348)</f>
        <v>1.2785010191251946E-2</v>
      </c>
      <c r="R133" s="3">
        <f t="shared" si="107"/>
        <v>407.92513207418762</v>
      </c>
      <c r="S133" s="3">
        <f t="shared" si="108"/>
        <v>260.65990557306537</v>
      </c>
      <c r="T133" s="3"/>
      <c r="U133" s="3"/>
      <c r="V133" s="3"/>
      <c r="W133" s="1"/>
      <c r="X133" s="1"/>
      <c r="Y133" s="1"/>
      <c r="Z133" s="1"/>
      <c r="AA133" s="1"/>
      <c r="AB133" s="1"/>
    </row>
    <row r="134" spans="1:28" s="2" customFormat="1" x14ac:dyDescent="0.25">
      <c r="A134" s="15" t="s">
        <v>35</v>
      </c>
      <c r="B134" s="2" t="s">
        <v>23</v>
      </c>
      <c r="C134" s="2" t="s">
        <v>14</v>
      </c>
      <c r="D134" s="21">
        <f>SUM(40.369231,5.579487)</f>
        <v>45.948718</v>
      </c>
      <c r="E134" s="21">
        <v>3375</v>
      </c>
      <c r="F134" s="21">
        <v>3700</v>
      </c>
      <c r="G134" s="3">
        <f t="shared" si="104"/>
        <v>289.60129256866611</v>
      </c>
      <c r="H134" s="3">
        <f>10^(3.07*LOG10(F134)-8.37)</f>
        <v>384.04250418385305</v>
      </c>
      <c r="I134" s="3"/>
      <c r="J134" s="3">
        <f>G134*$D134</f>
        <v>13306.808124673134</v>
      </c>
      <c r="K134" s="3">
        <f t="shared" si="105"/>
        <v>17646.260724757685</v>
      </c>
      <c r="L134" s="7"/>
      <c r="M134" s="7"/>
      <c r="N134" s="3" t="s">
        <v>53</v>
      </c>
      <c r="O134" s="3" t="s">
        <v>82</v>
      </c>
      <c r="P134" s="3">
        <f>10^(0.0125*(-1.17)+((-0.23)*LOG10(G134))+0.729*(LOG10(1.255))-1.348)</f>
        <v>1.3901836039449958E-2</v>
      </c>
      <c r="Q134" s="3">
        <f>10^(0.0125*(-1.17)+((-0.23)*LOG10(H134))+0.729*(LOG10(1.255))-1.348)</f>
        <v>1.3028038663503745E-2</v>
      </c>
      <c r="R134" s="3">
        <f t="shared" si="107"/>
        <v>245.31542330496671</v>
      </c>
      <c r="S134" s="3">
        <f t="shared" si="108"/>
        <v>173.36161073606738</v>
      </c>
      <c r="T134" s="3"/>
      <c r="U134" s="3"/>
      <c r="V134" s="3"/>
      <c r="W134" s="1"/>
      <c r="X134" s="1"/>
      <c r="Y134" s="1"/>
      <c r="Z134" s="1"/>
      <c r="AA134" s="1"/>
      <c r="AB134" s="1"/>
    </row>
    <row r="135" spans="1:28" s="9" customFormat="1" x14ac:dyDescent="0.25">
      <c r="A135" s="14" t="s">
        <v>35</v>
      </c>
      <c r="B135" s="9" t="s">
        <v>23</v>
      </c>
      <c r="C135" s="9" t="s">
        <v>15</v>
      </c>
      <c r="D135" s="19">
        <f>SUM(159.835897,
122.051282)</f>
        <v>281.887179</v>
      </c>
      <c r="E135" s="19"/>
      <c r="F135" s="19"/>
      <c r="G135" s="10"/>
      <c r="H135" s="10"/>
      <c r="I135" s="10"/>
      <c r="J135" s="10"/>
      <c r="K135" s="10"/>
      <c r="L135" s="7"/>
      <c r="M135" s="7"/>
      <c r="N135" s="10"/>
      <c r="O135" s="10"/>
      <c r="P135" s="10"/>
      <c r="Q135" s="10"/>
      <c r="R135" s="10"/>
      <c r="S135" s="10"/>
      <c r="T135" s="10">
        <f>SUM(R129:R134)</f>
        <v>2346.4854659235725</v>
      </c>
      <c r="U135" s="10">
        <f>SUM(S129:S134)</f>
        <v>847.66670422594598</v>
      </c>
      <c r="V135" s="10"/>
      <c r="W135" s="1"/>
      <c r="X135" s="1"/>
      <c r="Y135" s="1"/>
      <c r="Z135" s="1"/>
      <c r="AA135" s="1"/>
      <c r="AB135" s="1"/>
    </row>
    <row r="136" spans="1:28" s="31" customFormat="1" x14ac:dyDescent="0.25">
      <c r="A136" s="35" t="s">
        <v>35</v>
      </c>
      <c r="B136" s="31" t="s">
        <v>24</v>
      </c>
      <c r="C136" s="31" t="s">
        <v>4</v>
      </c>
      <c r="D136" s="32">
        <f>308.57</f>
        <v>308.57</v>
      </c>
      <c r="E136" s="32">
        <v>5</v>
      </c>
      <c r="F136" s="32">
        <v>13</v>
      </c>
      <c r="G136" s="33">
        <f>0.297*((0.039*(E136)^3.5032)/0.9)*1000</f>
        <v>3615.8488360450829</v>
      </c>
      <c r="H136" s="33">
        <f>0.297*((0.039*(F136)^3.5032)/0.9)*1000</f>
        <v>102788.58764018776</v>
      </c>
      <c r="I136" s="33" t="s">
        <v>43</v>
      </c>
      <c r="J136" s="33">
        <f>G136*$D136</f>
        <v>1115742.4753384313</v>
      </c>
      <c r="K136" s="33">
        <f>H136*$D136</f>
        <v>31717474.488132738</v>
      </c>
      <c r="L136" s="34">
        <f>J136</f>
        <v>1115742.4753384313</v>
      </c>
      <c r="M136" s="34">
        <f>K136</f>
        <v>31717474.488132738</v>
      </c>
      <c r="N136" s="33" t="s">
        <v>53</v>
      </c>
      <c r="O136" s="33"/>
      <c r="P136" s="33">
        <f>(14*(G136*10^6)^-0.25)*EXP(0.0693*(-1.17-20))*(J136*10^6)</f>
        <v>14689068393.769407</v>
      </c>
      <c r="Q136" s="33"/>
      <c r="R136" s="33"/>
      <c r="S136" s="33"/>
      <c r="T136" s="33"/>
      <c r="U136" s="33"/>
      <c r="V136" s="33"/>
      <c r="W136" s="11"/>
      <c r="X136" s="11"/>
      <c r="Y136" s="11"/>
      <c r="Z136" s="11"/>
      <c r="AA136" s="11"/>
      <c r="AB136" s="11"/>
    </row>
    <row r="137" spans="1:28" s="2" customFormat="1" x14ac:dyDescent="0.25">
      <c r="A137" s="15" t="s">
        <v>35</v>
      </c>
      <c r="B137" s="2" t="s">
        <v>25</v>
      </c>
      <c r="C137" s="2" t="s">
        <v>18</v>
      </c>
      <c r="D137" s="21">
        <f>SUM(2.461538,
369.230769)</f>
        <v>371.69230700000003</v>
      </c>
      <c r="E137" s="21">
        <v>550</v>
      </c>
      <c r="F137" s="21">
        <v>810</v>
      </c>
      <c r="G137" s="3">
        <f>7.498*(E137*10^-3)^3.225</f>
        <v>1.0904734839613437</v>
      </c>
      <c r="H137" s="3">
        <f>7.498*(F137*10^-3)^3.225</f>
        <v>3.8002277240591043</v>
      </c>
      <c r="I137" s="3" t="s">
        <v>41</v>
      </c>
      <c r="J137" s="3">
        <f>G137*$D137</f>
        <v>405.32060497591937</v>
      </c>
      <c r="K137" s="3">
        <f>H137*$D137</f>
        <v>1412.515409880888</v>
      </c>
      <c r="N137" s="3" t="s">
        <v>53</v>
      </c>
      <c r="O137" s="3" t="s">
        <v>82</v>
      </c>
      <c r="P137" s="29">
        <f>10^(-0.0143*(-1.17)+((-0.363)*LOG10(G137))+0.135*(LOG10(1.255))-0.105)</f>
        <v>0.81544301726323676</v>
      </c>
      <c r="Q137" s="29">
        <f>10^(-0.0143*(-1.17)+((-0.363)*LOG10(H137))+0.135*(LOG10(1.255))-0.105)</f>
        <v>0.51829498925498041</v>
      </c>
      <c r="R137" s="29">
        <f>P137*K137</f>
        <v>1151.8258277640889</v>
      </c>
      <c r="S137" s="29">
        <f>Q137*J137</f>
        <v>210.07563860081629</v>
      </c>
      <c r="T137" s="3"/>
      <c r="U137" s="3"/>
      <c r="V137" s="3"/>
      <c r="W137" s="11"/>
      <c r="X137" s="11"/>
      <c r="Y137" s="11"/>
      <c r="Z137" s="11"/>
      <c r="AA137" s="11"/>
      <c r="AB137" s="11"/>
    </row>
    <row r="138" spans="1:28" s="2" customFormat="1" x14ac:dyDescent="0.25">
      <c r="A138" s="15" t="s">
        <v>35</v>
      </c>
      <c r="B138" s="2" t="s">
        <v>25</v>
      </c>
      <c r="C138" s="2" t="s">
        <v>9</v>
      </c>
      <c r="D138" s="21">
        <f>SUM(2.461538,
567.179487)</f>
        <v>569.64102500000001</v>
      </c>
      <c r="E138" s="21">
        <v>810</v>
      </c>
      <c r="F138" s="21">
        <v>960</v>
      </c>
      <c r="G138" s="3">
        <f t="shared" ref="G138:G143" si="109">7.498*(E138*10^-3)^3.225</f>
        <v>3.8002277240591043</v>
      </c>
      <c r="H138" s="3">
        <f t="shared" ref="H138:H143" si="110">7.498*(F138*10^-3)^3.225</f>
        <v>6.5730988370014938</v>
      </c>
      <c r="I138" s="3"/>
      <c r="J138" s="3">
        <f t="shared" ref="J138:J143" si="111">G138*$D138</f>
        <v>2164.7656159664452</v>
      </c>
      <c r="K138" s="3">
        <f t="shared" ref="K138:K143" si="112">H138*$D138</f>
        <v>3744.3067589358388</v>
      </c>
      <c r="L138" s="7"/>
      <c r="M138" s="7"/>
      <c r="N138" s="3" t="s">
        <v>53</v>
      </c>
      <c r="O138" s="3" t="s">
        <v>82</v>
      </c>
      <c r="P138" s="29">
        <f>10^(-0.0143*(-1.17)+((-0.363)*LOG10(G138))+0.135*(LOG10(1.255))-0.105)</f>
        <v>0.51829498925498041</v>
      </c>
      <c r="Q138" s="29">
        <f t="shared" ref="Q138:Q141" si="113">10^(-0.0143*(-1.17)+((-0.363)*LOG10(H138))+0.135*(LOG10(1.255))-0.105)</f>
        <v>0.42481254566212689</v>
      </c>
      <c r="R138" s="29">
        <f t="shared" ref="R138:R143" si="114">P138*K138</f>
        <v>1940.655431390001</v>
      </c>
      <c r="S138" s="29">
        <f t="shared" ref="S138:S143" si="115">Q138*J138</f>
        <v>919.61959208054782</v>
      </c>
      <c r="T138" s="3"/>
      <c r="U138" s="3"/>
      <c r="V138" s="3"/>
      <c r="W138" s="1"/>
      <c r="X138" s="1"/>
      <c r="Y138" s="1"/>
      <c r="Z138" s="1"/>
      <c r="AA138" s="1"/>
      <c r="AB138" s="1"/>
    </row>
    <row r="139" spans="1:28" s="2" customFormat="1" x14ac:dyDescent="0.25">
      <c r="A139" s="15" t="s">
        <v>35</v>
      </c>
      <c r="B139" s="2" t="s">
        <v>25</v>
      </c>
      <c r="C139" s="2" t="s">
        <v>10</v>
      </c>
      <c r="D139" s="21">
        <f>SUM(16.246154,
704.615385)</f>
        <v>720.86153899999999</v>
      </c>
      <c r="E139" s="21">
        <v>960</v>
      </c>
      <c r="F139" s="21">
        <v>1190</v>
      </c>
      <c r="G139" s="3">
        <f t="shared" si="109"/>
        <v>6.5730988370014938</v>
      </c>
      <c r="H139" s="3">
        <f t="shared" si="110"/>
        <v>13.13966783459518</v>
      </c>
      <c r="I139" s="3"/>
      <c r="J139" s="3">
        <f t="shared" si="111"/>
        <v>4738.294143640007</v>
      </c>
      <c r="K139" s="3">
        <f t="shared" si="112"/>
        <v>9471.8811771950786</v>
      </c>
      <c r="L139" s="7"/>
      <c r="M139" s="7"/>
      <c r="N139" s="3" t="s">
        <v>53</v>
      </c>
      <c r="O139" s="3" t="s">
        <v>82</v>
      </c>
      <c r="P139" s="29">
        <f>10^(-0.0143*(-1.17)+((-0.363)*LOG10(G139))+0.135*(LOG10(1.255))-0.105)</f>
        <v>0.42481254566212689</v>
      </c>
      <c r="Q139" s="29">
        <f t="shared" si="113"/>
        <v>0.33037088798618985</v>
      </c>
      <c r="R139" s="29">
        <f t="shared" si="114"/>
        <v>4023.7739550934248</v>
      </c>
      <c r="S139" s="29">
        <f t="shared" si="115"/>
        <v>1565.394443774112</v>
      </c>
      <c r="T139" s="3"/>
      <c r="U139" s="3"/>
      <c r="V139" s="3"/>
      <c r="W139" s="1"/>
      <c r="X139" s="1"/>
      <c r="Y139" s="1"/>
      <c r="Z139" s="1"/>
      <c r="AA139" s="1"/>
      <c r="AB139" s="1"/>
    </row>
    <row r="140" spans="1:28" s="2" customFormat="1" x14ac:dyDescent="0.25">
      <c r="A140" s="15" t="s">
        <v>35</v>
      </c>
      <c r="B140" s="2" t="s">
        <v>25</v>
      </c>
      <c r="C140" s="2" t="s">
        <v>11</v>
      </c>
      <c r="D140" s="21">
        <f>SUM(120.013675,
1902.564103)</f>
        <v>2022.5777779999999</v>
      </c>
      <c r="E140" s="21">
        <v>1200</v>
      </c>
      <c r="F140" s="21">
        <v>1700</v>
      </c>
      <c r="G140" s="3">
        <f t="shared" si="109"/>
        <v>13.4991043523647</v>
      </c>
      <c r="H140" s="3">
        <f t="shared" si="110"/>
        <v>41.509089526501782</v>
      </c>
      <c r="I140" s="3"/>
      <c r="J140" s="3">
        <f t="shared" si="111"/>
        <v>27302.988485995924</v>
      </c>
      <c r="K140" s="3">
        <f t="shared" si="112"/>
        <v>83955.362061315042</v>
      </c>
      <c r="L140" s="7"/>
      <c r="M140" s="7"/>
      <c r="N140" s="3" t="s">
        <v>53</v>
      </c>
      <c r="O140" s="3" t="s">
        <v>82</v>
      </c>
      <c r="P140" s="29">
        <f>10^(-0.0143*(-1.17)+((-0.363)*LOG10(G140))+0.135*(LOG10(1.255))-0.105)</f>
        <v>0.32715021079722723</v>
      </c>
      <c r="Q140" s="29">
        <f t="shared" si="113"/>
        <v>0.21760151697443725</v>
      </c>
      <c r="R140" s="29">
        <f t="shared" si="114"/>
        <v>27466.014395916751</v>
      </c>
      <c r="S140" s="29">
        <f t="shared" si="115"/>
        <v>5941.1717124883071</v>
      </c>
      <c r="T140" s="3"/>
      <c r="U140" s="3"/>
      <c r="V140" s="3"/>
      <c r="W140" s="1"/>
      <c r="X140" s="1"/>
      <c r="Y140" s="1"/>
      <c r="Z140" s="1"/>
      <c r="AA140" s="1"/>
      <c r="AB140" s="1"/>
    </row>
    <row r="141" spans="1:28" s="2" customFormat="1" x14ac:dyDescent="0.25">
      <c r="A141" s="15" t="s">
        <v>35</v>
      </c>
      <c r="B141" s="2" t="s">
        <v>25</v>
      </c>
      <c r="C141" s="2" t="s">
        <v>12</v>
      </c>
      <c r="D141" s="21">
        <f>SUM(829.976068,
429.74359)</f>
        <v>1259.719658</v>
      </c>
      <c r="E141" s="21">
        <v>1770</v>
      </c>
      <c r="F141" s="21">
        <v>2120</v>
      </c>
      <c r="G141" s="3">
        <f t="shared" si="109"/>
        <v>47.27801347584105</v>
      </c>
      <c r="H141" s="3">
        <f t="shared" si="110"/>
        <v>84.601602145198584</v>
      </c>
      <c r="I141" s="3"/>
      <c r="J141" s="3">
        <f t="shared" si="111"/>
        <v>59557.042966705878</v>
      </c>
      <c r="K141" s="3">
        <f t="shared" si="112"/>
        <v>106574.30132060162</v>
      </c>
      <c r="L141" s="7"/>
      <c r="M141" s="7"/>
      <c r="N141" s="3" t="s">
        <v>53</v>
      </c>
      <c r="O141" s="3" t="s">
        <v>82</v>
      </c>
      <c r="P141" s="29">
        <f>10^(-0.0143*(-1.17)+((-0.363)*LOG10(G141))+0.135*(LOG10(1.255))-0.105)</f>
        <v>0.20756140704586731</v>
      </c>
      <c r="Q141" s="29">
        <f t="shared" si="113"/>
        <v>0.16803876293412418</v>
      </c>
      <c r="R141" s="29">
        <f t="shared" si="114"/>
        <v>22120.711937034306</v>
      </c>
      <c r="S141" s="29">
        <f t="shared" si="115"/>
        <v>10007.891824139737</v>
      </c>
      <c r="T141" s="3"/>
      <c r="U141" s="3"/>
      <c r="V141" s="3"/>
      <c r="W141" s="1"/>
      <c r="X141" s="1"/>
      <c r="Y141" s="1"/>
      <c r="Z141" s="1"/>
      <c r="AA141" s="1"/>
      <c r="AB141" s="1"/>
    </row>
    <row r="142" spans="1:28" s="2" customFormat="1" x14ac:dyDescent="0.25">
      <c r="A142" s="15" t="s">
        <v>35</v>
      </c>
      <c r="B142" s="2" t="s">
        <v>25</v>
      </c>
      <c r="C142" s="2" t="s">
        <v>13</v>
      </c>
      <c r="D142" s="21">
        <f>SUM(3882.611966)</f>
        <v>3882.6119659999999</v>
      </c>
      <c r="E142" s="21">
        <v>2500</v>
      </c>
      <c r="F142" s="21">
        <v>3000</v>
      </c>
      <c r="G142" s="3">
        <f t="shared" si="109"/>
        <v>143.97993197907149</v>
      </c>
      <c r="H142" s="3">
        <f t="shared" si="110"/>
        <v>259.21580773964502</v>
      </c>
      <c r="I142" s="3"/>
      <c r="J142" s="3">
        <f t="shared" si="111"/>
        <v>559018.20676580898</v>
      </c>
      <c r="K142" s="3">
        <f t="shared" si="112"/>
        <v>1006434.3969063011</v>
      </c>
      <c r="L142" s="7"/>
      <c r="M142" s="7"/>
      <c r="N142" s="3" t="s">
        <v>53</v>
      </c>
      <c r="O142" s="3" t="s">
        <v>82</v>
      </c>
      <c r="P142" s="3">
        <f>10^(0.0125*(-1.17)+((-0.23)*LOG10(G142))+0.729*(LOG10(1.255))-1.348)</f>
        <v>1.6325888435773712E-2</v>
      </c>
      <c r="Q142" s="3">
        <f>10^(0.0125*(-1.17)+((-0.23)*LOG10(H142))+0.729*(LOG10(1.255))-1.348)</f>
        <v>1.4260808076301678E-2</v>
      </c>
      <c r="R142" s="29">
        <f t="shared" si="114"/>
        <v>16430.935681817471</v>
      </c>
      <c r="S142" s="29">
        <f t="shared" si="115"/>
        <v>7972.0513578455302</v>
      </c>
      <c r="T142" s="3"/>
      <c r="U142" s="3"/>
      <c r="V142" s="3"/>
      <c r="W142" s="1"/>
      <c r="X142" s="1"/>
      <c r="Y142" s="1"/>
      <c r="Z142" s="1"/>
      <c r="AA142" s="1"/>
      <c r="AB142" s="1"/>
    </row>
    <row r="143" spans="1:28" s="2" customFormat="1" x14ac:dyDescent="0.25">
      <c r="A143" s="15" t="s">
        <v>35</v>
      </c>
      <c r="B143" s="2" t="s">
        <v>25</v>
      </c>
      <c r="C143" s="2" t="s">
        <v>14</v>
      </c>
      <c r="D143" s="21">
        <f>SUM(515.82906,
97.435897)</f>
        <v>613.26495699999998</v>
      </c>
      <c r="E143" s="21">
        <v>1960</v>
      </c>
      <c r="F143" s="21">
        <v>2400</v>
      </c>
      <c r="G143" s="3">
        <f t="shared" si="109"/>
        <v>65.685765602486825</v>
      </c>
      <c r="H143" s="3">
        <f t="shared" si="110"/>
        <v>126.2195683439836</v>
      </c>
      <c r="I143" s="3"/>
      <c r="J143" s="3">
        <f t="shared" si="111"/>
        <v>40282.778217721163</v>
      </c>
      <c r="K143" s="3">
        <f t="shared" si="112"/>
        <v>77406.038153031652</v>
      </c>
      <c r="L143" s="7"/>
      <c r="M143" s="7"/>
      <c r="N143" s="3" t="s">
        <v>53</v>
      </c>
      <c r="O143" s="3" t="s">
        <v>82</v>
      </c>
      <c r="P143" s="3">
        <f>10^(0.0125*(-1.17)+((-0.23)*LOG10(G143))+0.729*(LOG10(1.255))-1.348)</f>
        <v>1.9555453184700318E-2</v>
      </c>
      <c r="Q143" s="3">
        <f>10^(0.0125*(-1.17)+((-0.23)*LOG10(H143))+0.729*(LOG10(1.255))-1.348)</f>
        <v>1.6827792077579076E-2</v>
      </c>
      <c r="R143" s="29">
        <f t="shared" si="114"/>
        <v>1513.7101553147372</v>
      </c>
      <c r="S143" s="29">
        <f t="shared" si="115"/>
        <v>677.87021615504318</v>
      </c>
      <c r="T143" s="3"/>
      <c r="U143" s="3"/>
      <c r="V143" s="3"/>
      <c r="W143" s="1"/>
      <c r="X143" s="1"/>
      <c r="Y143" s="1"/>
      <c r="Z143" s="1"/>
      <c r="AA143" s="1"/>
      <c r="AB143" s="1"/>
    </row>
    <row r="144" spans="1:28" s="9" customFormat="1" x14ac:dyDescent="0.25">
      <c r="A144" s="14" t="s">
        <v>35</v>
      </c>
      <c r="B144" s="2" t="s">
        <v>25</v>
      </c>
      <c r="C144" s="9" t="s">
        <v>15</v>
      </c>
      <c r="D144" s="19">
        <f>SUM(D137:D143)</f>
        <v>9440.3692300000002</v>
      </c>
      <c r="E144" s="19"/>
      <c r="F144" s="19"/>
      <c r="G144" s="10"/>
      <c r="H144" s="10"/>
      <c r="I144" s="10"/>
      <c r="J144" s="10"/>
      <c r="K144" s="10"/>
      <c r="L144" s="7">
        <f>SUM(J137:J143)</f>
        <v>693469.39680081431</v>
      </c>
      <c r="M144" s="7">
        <f>SUM(K137:K143)</f>
        <v>1288998.8017872612</v>
      </c>
      <c r="N144" s="10"/>
      <c r="O144" s="10"/>
      <c r="P144" s="10"/>
      <c r="Q144" s="10"/>
      <c r="R144" s="10"/>
      <c r="S144" s="10"/>
      <c r="T144" s="10">
        <f>SUM(R137:R143)</f>
        <v>74647.627384330786</v>
      </c>
      <c r="U144" s="10">
        <f>SUM(S137:S143)</f>
        <v>27294.074785084089</v>
      </c>
      <c r="V144" s="10"/>
      <c r="W144" s="1"/>
      <c r="X144" s="1"/>
      <c r="Y144" s="1"/>
      <c r="Z144" s="1"/>
      <c r="AA144" s="1"/>
      <c r="AB144" s="1"/>
    </row>
    <row r="145" spans="1:28" s="1" customFormat="1" x14ac:dyDescent="0.25">
      <c r="A145" s="16" t="s">
        <v>35</v>
      </c>
      <c r="B145" s="1" t="s">
        <v>26</v>
      </c>
      <c r="C145" s="1" t="s">
        <v>18</v>
      </c>
      <c r="D145" s="22">
        <f>20.512821</f>
        <v>20.512820999999999</v>
      </c>
      <c r="E145" s="22">
        <v>250</v>
      </c>
      <c r="F145" s="22">
        <v>250</v>
      </c>
      <c r="G145" s="5">
        <f>10^(3.07*LOG10(E145)-8.37)</f>
        <v>9.8101540367281956E-2</v>
      </c>
      <c r="H145" s="5">
        <f>10^(3.07*LOG10(F145)-8.37)</f>
        <v>9.8101540367281956E-2</v>
      </c>
      <c r="I145" s="5" t="s">
        <v>48</v>
      </c>
      <c r="J145" s="5">
        <f>G145*$D145</f>
        <v>2.0123393373783287</v>
      </c>
      <c r="K145" s="5">
        <f>H145*$D145</f>
        <v>2.0123393373783287</v>
      </c>
      <c r="N145" s="5" t="s">
        <v>53</v>
      </c>
      <c r="O145" s="5" t="s">
        <v>82</v>
      </c>
      <c r="P145" s="30">
        <f>10^(-0.0143*(-1.17)+((-0.363)*LOG10(G145))+0.135*(LOG10(1.255))-0.105)</f>
        <v>1.9546525837915798</v>
      </c>
      <c r="Q145" s="30">
        <f>10^(-0.0143*(-1.17)+((-0.363)*LOG10(H145))+0.135*(LOG10(1.255))-0.105)</f>
        <v>1.9546525837915798</v>
      </c>
      <c r="R145" s="30">
        <f>P145*K145</f>
        <v>3.9334242852719856</v>
      </c>
      <c r="S145" s="30">
        <f>Q145*J145</f>
        <v>3.9334242852719856</v>
      </c>
      <c r="T145" s="5"/>
      <c r="U145" s="5"/>
      <c r="V145" s="5"/>
      <c r="W145" s="11"/>
      <c r="X145" s="11"/>
      <c r="Y145" s="11"/>
      <c r="Z145" s="11"/>
      <c r="AA145" s="11"/>
      <c r="AB145" s="11"/>
    </row>
    <row r="146" spans="1:28" s="1" customFormat="1" x14ac:dyDescent="0.25">
      <c r="A146" s="16" t="s">
        <v>35</v>
      </c>
      <c r="B146" s="1" t="s">
        <v>26</v>
      </c>
      <c r="C146" s="1" t="s">
        <v>9</v>
      </c>
      <c r="D146" s="22">
        <f>SUM(24.615385,
275.897436)</f>
        <v>300.51282100000003</v>
      </c>
      <c r="E146" s="22">
        <f>AVERAGE(230,280)</f>
        <v>255</v>
      </c>
      <c r="F146" s="22">
        <f>AVERAGE(340,370)</f>
        <v>355</v>
      </c>
      <c r="G146" s="5">
        <f t="shared" ref="G146:G150" si="116">10^(3.07*LOG10(E146)-8.37)</f>
        <v>0.10425054977210545</v>
      </c>
      <c r="H146" s="5">
        <f t="shared" ref="H146:H151" si="117">10^(3.07*LOG10(F146)-8.37)</f>
        <v>0.28787307302032633</v>
      </c>
      <c r="I146" s="5"/>
      <c r="J146" s="5">
        <f>G146*$D146</f>
        <v>31.32862680281632</v>
      </c>
      <c r="K146" s="5">
        <f>H146*$D146</f>
        <v>86.509549263277265</v>
      </c>
      <c r="L146" s="8"/>
      <c r="M146" s="8"/>
      <c r="N146" s="5" t="s">
        <v>53</v>
      </c>
      <c r="O146" s="5" t="s">
        <v>82</v>
      </c>
      <c r="P146" s="30">
        <f>10^(-0.0143*(-1.17)+((-0.363)*LOG10(G146))+0.135*(LOG10(1.255))-0.105)</f>
        <v>1.9119893131560368</v>
      </c>
      <c r="Q146" s="30">
        <f t="shared" ref="Q146:Q149" si="118">10^(-0.0143*(-1.17)+((-0.363)*LOG10(H146))+0.135*(LOG10(1.255))-0.105)</f>
        <v>1.3223850296255422</v>
      </c>
      <c r="R146" s="30">
        <f t="shared" ref="R146:R151" si="119">P146*K146</f>
        <v>165.40533367733184</v>
      </c>
      <c r="S146" s="30">
        <f t="shared" ref="S146:S151" si="120">Q146*J146</f>
        <v>41.428507082769812</v>
      </c>
      <c r="T146" s="5"/>
      <c r="U146" s="5"/>
      <c r="V146" s="5"/>
    </row>
    <row r="147" spans="1:28" s="1" customFormat="1" x14ac:dyDescent="0.25">
      <c r="A147" s="16" t="s">
        <v>35</v>
      </c>
      <c r="B147" s="1" t="s">
        <v>26</v>
      </c>
      <c r="C147" s="1" t="s">
        <v>10</v>
      </c>
      <c r="D147" s="22">
        <f>SUM(112.62906,
4259.487179)</f>
        <v>4372.116239</v>
      </c>
      <c r="E147" s="22">
        <f>AVERAGE(310,410)</f>
        <v>360</v>
      </c>
      <c r="F147" s="22">
        <f>AVERAGE(340,470)</f>
        <v>405</v>
      </c>
      <c r="G147" s="5">
        <f>10^(3.07*LOG10(E147)-8.37)</f>
        <v>0.30050290681026581</v>
      </c>
      <c r="H147" s="5">
        <f t="shared" si="117"/>
        <v>0.43140673536445334</v>
      </c>
      <c r="I147" s="5"/>
      <c r="J147" s="5">
        <f>G147*$D147</f>
        <v>1313.8336387318668</v>
      </c>
      <c r="K147" s="5">
        <f t="shared" ref="K147:K151" si="121">H147*$D147</f>
        <v>1886.1603933009021</v>
      </c>
      <c r="L147" s="8"/>
      <c r="M147" s="8"/>
      <c r="N147" s="5" t="s">
        <v>53</v>
      </c>
      <c r="O147" s="5" t="s">
        <v>82</v>
      </c>
      <c r="P147" s="30">
        <f>10^(-0.0143*(-1.17)+((-0.363)*LOG10(G147))+0.135*(LOG10(1.255))-0.105)</f>
        <v>1.301933593372735</v>
      </c>
      <c r="Q147" s="30">
        <f t="shared" si="118"/>
        <v>1.141783993923432</v>
      </c>
      <c r="R147" s="30">
        <f t="shared" si="119"/>
        <v>2455.6555785275746</v>
      </c>
      <c r="S147" s="30">
        <f t="shared" si="120"/>
        <v>1500.1142193822263</v>
      </c>
      <c r="T147" s="5"/>
      <c r="U147" s="5"/>
      <c r="V147" s="5"/>
    </row>
    <row r="148" spans="1:28" s="1" customFormat="1" x14ac:dyDescent="0.25">
      <c r="A148" s="16" t="s">
        <v>35</v>
      </c>
      <c r="B148" s="1" t="s">
        <v>26</v>
      </c>
      <c r="C148" s="1" t="s">
        <v>11</v>
      </c>
      <c r="D148" s="22">
        <f>SUM(138.502564,
10486.153846)</f>
        <v>10624.65641</v>
      </c>
      <c r="E148" s="22">
        <f>AVERAGE(450,340)</f>
        <v>395</v>
      </c>
      <c r="F148" s="22">
        <f>AVERAGE(520,420)</f>
        <v>470</v>
      </c>
      <c r="G148" s="5">
        <f t="shared" si="116"/>
        <v>0.39953339306854257</v>
      </c>
      <c r="H148" s="5">
        <f t="shared" si="117"/>
        <v>0.68130319229582648</v>
      </c>
      <c r="I148" s="5"/>
      <c r="J148" s="5">
        <f>G148*$D148</f>
        <v>4244.9050256747405</v>
      </c>
      <c r="K148" s="5">
        <f t="shared" si="121"/>
        <v>7238.6123291793156</v>
      </c>
      <c r="L148" s="8"/>
      <c r="M148" s="8"/>
      <c r="N148" s="5" t="s">
        <v>53</v>
      </c>
      <c r="O148" s="5" t="s">
        <v>82</v>
      </c>
      <c r="P148" s="30">
        <f>10^(-0.0143*(-1.17)+((-0.363)*LOG10(G148))+0.135*(LOG10(1.255))-0.105)</f>
        <v>1.1740433518665092</v>
      </c>
      <c r="Q148" s="30">
        <f t="shared" si="118"/>
        <v>0.96726467882303624</v>
      </c>
      <c r="R148" s="30">
        <f t="shared" si="119"/>
        <v>8498.4446818119231</v>
      </c>
      <c r="S148" s="30">
        <f t="shared" si="120"/>
        <v>4105.9466962935703</v>
      </c>
      <c r="T148" s="5"/>
      <c r="U148" s="5"/>
      <c r="V148" s="5"/>
    </row>
    <row r="149" spans="1:28" s="1" customFormat="1" x14ac:dyDescent="0.25">
      <c r="A149" s="16" t="s">
        <v>35</v>
      </c>
      <c r="B149" s="1" t="s">
        <v>26</v>
      </c>
      <c r="C149" s="1" t="s">
        <v>12</v>
      </c>
      <c r="D149" s="22">
        <f>SUM(76.964103,
5761.025641)</f>
        <v>5837.9897440000004</v>
      </c>
      <c r="E149" s="22">
        <f>470</f>
        <v>470</v>
      </c>
      <c r="F149" s="22">
        <v>580</v>
      </c>
      <c r="G149" s="5">
        <f t="shared" si="116"/>
        <v>0.68130319229582648</v>
      </c>
      <c r="H149" s="5">
        <f t="shared" si="117"/>
        <v>1.2993433864335129</v>
      </c>
      <c r="I149" s="5"/>
      <c r="J149" s="5">
        <f>G149*$D149</f>
        <v>3977.4410491774952</v>
      </c>
      <c r="K149" s="5">
        <f t="shared" si="121"/>
        <v>7585.5533639330779</v>
      </c>
      <c r="L149" s="8"/>
      <c r="M149" s="8"/>
      <c r="N149" s="5" t="s">
        <v>53</v>
      </c>
      <c r="O149" s="5" t="s">
        <v>82</v>
      </c>
      <c r="P149" s="30">
        <f>10^(-0.0143*(-1.17)+((-0.363)*LOG10(G149))+0.135*(LOG10(1.255))-0.105)</f>
        <v>0.96726467882303624</v>
      </c>
      <c r="Q149" s="30">
        <f t="shared" si="118"/>
        <v>0.76518440933857823</v>
      </c>
      <c r="R149" s="30">
        <f t="shared" si="119"/>
        <v>7337.2378382597308</v>
      </c>
      <c r="S149" s="30">
        <f t="shared" si="120"/>
        <v>3043.4758798938965</v>
      </c>
      <c r="T149" s="5"/>
      <c r="U149" s="5"/>
      <c r="V149" s="5"/>
    </row>
    <row r="150" spans="1:28" s="1" customFormat="1" x14ac:dyDescent="0.25">
      <c r="A150" s="16" t="s">
        <v>35</v>
      </c>
      <c r="B150" s="1" t="s">
        <v>26</v>
      </c>
      <c r="C150" s="1" t="s">
        <v>13</v>
      </c>
      <c r="D150" s="22">
        <f>SUM(153.435897,
6732.307692)</f>
        <v>6885.7435890000006</v>
      </c>
      <c r="E150" s="22">
        <v>540</v>
      </c>
      <c r="F150" s="22">
        <v>630</v>
      </c>
      <c r="G150" s="5">
        <f t="shared" si="116"/>
        <v>1.043395219650612</v>
      </c>
      <c r="H150" s="5">
        <f t="shared" si="117"/>
        <v>1.6748483387596196</v>
      </c>
      <c r="I150" s="5"/>
      <c r="J150" s="5">
        <f>G150*$D150</f>
        <v>7184.5519445024493</v>
      </c>
      <c r="K150" s="5">
        <f t="shared" si="121"/>
        <v>11532.576211161351</v>
      </c>
      <c r="L150" s="8"/>
      <c r="M150" s="8"/>
      <c r="N150" s="5" t="s">
        <v>53</v>
      </c>
      <c r="O150" s="5" t="s">
        <v>82</v>
      </c>
      <c r="P150" s="5">
        <f>10^(0.0125*(-1.17)+((-0.23)*LOG10(G150))+0.729*(LOG10(1.255))-1.348)</f>
        <v>5.0704095789418931E-2</v>
      </c>
      <c r="Q150" s="5">
        <f>10^(0.0125*(-1.17)+((-0.23)*LOG10(H150))+0.729*(LOG10(1.255))-1.348)</f>
        <v>4.547491690384356E-2</v>
      </c>
      <c r="R150" s="30">
        <f t="shared" si="119"/>
        <v>584.7488489094992</v>
      </c>
      <c r="S150" s="30">
        <f t="shared" si="120"/>
        <v>326.71690266759657</v>
      </c>
      <c r="T150" s="5"/>
      <c r="U150" s="5"/>
      <c r="V150" s="5"/>
    </row>
    <row r="151" spans="1:28" s="1" customFormat="1" x14ac:dyDescent="0.25">
      <c r="A151" s="16" t="s">
        <v>35</v>
      </c>
      <c r="B151" s="1" t="s">
        <v>26</v>
      </c>
      <c r="C151" s="1" t="s">
        <v>14</v>
      </c>
      <c r="D151" s="22">
        <f>SUM(20.239316,
520)</f>
        <v>540.23931600000003</v>
      </c>
      <c r="E151" s="22">
        <v>500</v>
      </c>
      <c r="F151" s="22">
        <v>570</v>
      </c>
      <c r="G151" s="5">
        <f>10^(3.07*LOG10(E151)-8.37)</f>
        <v>0.8238305889012606</v>
      </c>
      <c r="H151" s="5">
        <f t="shared" si="117"/>
        <v>1.2317875405449858</v>
      </c>
      <c r="I151" s="5"/>
      <c r="J151" s="5">
        <f>G151*$D151</f>
        <v>445.06567384789423</v>
      </c>
      <c r="K151" s="5">
        <f t="shared" si="121"/>
        <v>665.46005836134543</v>
      </c>
      <c r="L151" s="8"/>
      <c r="M151" s="8"/>
      <c r="N151" s="5" t="s">
        <v>53</v>
      </c>
      <c r="O151" s="5" t="s">
        <v>82</v>
      </c>
      <c r="P151" s="5">
        <f>10^(0.0125*(-1.17)+((-0.23)*LOG10(G151))+0.729*(LOG10(1.255))-1.348)</f>
        <v>5.353570868342751E-2</v>
      </c>
      <c r="Q151" s="5">
        <f>10^(0.0125*(-1.17)+((-0.23)*LOG10(H151))+0.729*(LOG10(1.255))-1.348)</f>
        <v>4.8804856541305987E-2</v>
      </c>
      <c r="R151" s="30">
        <f t="shared" si="119"/>
        <v>35.625875824889661</v>
      </c>
      <c r="S151" s="30">
        <f t="shared" si="120"/>
        <v>21.721366363606158</v>
      </c>
      <c r="T151" s="5"/>
      <c r="U151" s="5"/>
      <c r="V151" s="5"/>
    </row>
    <row r="152" spans="1:28" s="11" customFormat="1" x14ac:dyDescent="0.25">
      <c r="A152" s="17" t="s">
        <v>35</v>
      </c>
      <c r="B152" s="11" t="s">
        <v>26</v>
      </c>
      <c r="C152" s="11" t="s">
        <v>15</v>
      </c>
      <c r="D152" s="20">
        <f>SUM(D145:D151)</f>
        <v>28581.770939999999</v>
      </c>
      <c r="E152" s="20"/>
      <c r="F152" s="20"/>
      <c r="G152" s="12"/>
      <c r="H152" s="12"/>
      <c r="I152" s="12"/>
      <c r="J152" s="12"/>
      <c r="K152" s="12"/>
      <c r="L152" s="8">
        <f>SUM(J147:J151)</f>
        <v>17165.797331934446</v>
      </c>
      <c r="M152" s="8">
        <f>SUM(K147:K151)</f>
        <v>28908.362355935995</v>
      </c>
      <c r="N152" s="12"/>
      <c r="O152" s="12"/>
      <c r="P152" s="12"/>
      <c r="Q152" s="12"/>
      <c r="R152" s="12"/>
      <c r="S152" s="12"/>
      <c r="T152" s="12">
        <f>SUM(R145:R151)</f>
        <v>19081.051581296222</v>
      </c>
      <c r="U152" s="12">
        <f>SUM(S145:S151)</f>
        <v>9043.3369959689389</v>
      </c>
      <c r="V152" s="12"/>
      <c r="W152" s="1"/>
      <c r="X152" s="1"/>
      <c r="Y152" s="1"/>
      <c r="Z152" s="1"/>
      <c r="AA152" s="1"/>
      <c r="AB152" s="1"/>
    </row>
    <row r="153" spans="1:28" s="2" customFormat="1" x14ac:dyDescent="0.25">
      <c r="A153" s="15" t="s">
        <v>35</v>
      </c>
      <c r="B153" s="2" t="s">
        <v>27</v>
      </c>
      <c r="C153" s="2" t="s">
        <v>18</v>
      </c>
      <c r="D153" s="21">
        <f>106.666667</f>
        <v>106.666667</v>
      </c>
      <c r="E153" s="21">
        <v>200</v>
      </c>
      <c r="F153" s="21">
        <v>240</v>
      </c>
      <c r="G153" s="3">
        <f>9.4676*10^-7*(E153*10^-3*1000)^2.16</f>
        <v>8.8402529453012677E-2</v>
      </c>
      <c r="H153" s="3">
        <f>9.4676*10^-7*(F153*10^-3*1000)^2.16</f>
        <v>0.13106785230452156</v>
      </c>
      <c r="I153" s="3" t="s">
        <v>44</v>
      </c>
      <c r="J153" s="3">
        <f t="shared" ref="J153:K156" si="122">G153*$D153</f>
        <v>9.4296031711221957</v>
      </c>
      <c r="K153" s="3">
        <f t="shared" si="122"/>
        <v>13.980570956171585</v>
      </c>
      <c r="N153" s="3" t="s">
        <v>53</v>
      </c>
      <c r="O153" s="3" t="s">
        <v>83</v>
      </c>
      <c r="P153" s="3">
        <f>10^(0.0182*(-1.17)+((0.193)*LOG10(G153))+0.195*(LOG10(1.255))-1.591)</f>
        <v>1.5981193575449259E-2</v>
      </c>
      <c r="Q153" s="3">
        <f>10^(0.0182*(-1.17)+((0.193)*LOG10(H153))+0.195*(LOG10(1.255))-1.591)</f>
        <v>1.7243216848598166E-2</v>
      </c>
      <c r="R153" s="3">
        <f>P153*K153</f>
        <v>0.22342621074588184</v>
      </c>
      <c r="S153" s="3">
        <f>Q153*J153</f>
        <v>0.16259669227588894</v>
      </c>
      <c r="T153" s="3"/>
      <c r="U153" s="3"/>
      <c r="V153" s="3"/>
      <c r="W153" s="11"/>
      <c r="X153" s="11"/>
      <c r="Y153" s="11"/>
      <c r="Z153" s="11"/>
      <c r="AA153" s="11"/>
      <c r="AB153" s="11"/>
    </row>
    <row r="154" spans="1:28" s="2" customFormat="1" x14ac:dyDescent="0.25">
      <c r="A154" s="15" t="s">
        <v>35</v>
      </c>
      <c r="B154" s="2" t="s">
        <v>27</v>
      </c>
      <c r="C154" s="2" t="s">
        <v>9</v>
      </c>
      <c r="D154" s="21">
        <f>SUM(2.461538,
458.461538)</f>
        <v>460.92307600000004</v>
      </c>
      <c r="E154" s="21">
        <v>240</v>
      </c>
      <c r="F154" s="21">
        <v>280</v>
      </c>
      <c r="G154" s="3">
        <f t="shared" ref="G154:G159" si="123">9.4676*10^-7*(E154*10^-3*1000)^2.16</f>
        <v>0.13106785230452156</v>
      </c>
      <c r="H154" s="3">
        <f t="shared" ref="H154:H159" si="124">9.4676*10^-7*(F154*10^-3*1000)^2.16</f>
        <v>0.18285264576036406</v>
      </c>
      <c r="I154" s="3"/>
      <c r="J154" s="3">
        <f t="shared" si="122"/>
        <v>60.412197648913768</v>
      </c>
      <c r="K154" s="3">
        <f t="shared" si="122"/>
        <v>84.281003938605366</v>
      </c>
      <c r="L154" s="7"/>
      <c r="M154" s="7"/>
      <c r="N154" s="3" t="s">
        <v>53</v>
      </c>
      <c r="O154" s="3" t="s">
        <v>83</v>
      </c>
      <c r="P154" s="3">
        <f t="shared" ref="P154:P159" si="125">10^(0.0182*(-1.17)+((0.193)*LOG10(G154))+0.195*(LOG10(1.255))-1.591)</f>
        <v>1.7243216848598166E-2</v>
      </c>
      <c r="Q154" s="3">
        <f t="shared" ref="Q154:Q159" si="126">10^(0.0182*(-1.17)+((0.193)*LOG10(H154))+0.195*(LOG10(1.255))-1.591)</f>
        <v>1.8387685520776749E-2</v>
      </c>
      <c r="R154" s="3">
        <f t="shared" ref="R154:R159" si="127">P154*K154</f>
        <v>1.4532756271309284</v>
      </c>
      <c r="S154" s="3">
        <f t="shared" ref="S154:S159" si="128">Q154*J154</f>
        <v>1.1108404919872348</v>
      </c>
      <c r="T154" s="3"/>
      <c r="U154" s="3"/>
      <c r="V154" s="3"/>
      <c r="W154" s="1"/>
      <c r="X154" s="1"/>
      <c r="Y154" s="1"/>
      <c r="Z154" s="1"/>
      <c r="AA154" s="1"/>
      <c r="AB154" s="1"/>
    </row>
    <row r="155" spans="1:28" s="2" customFormat="1" x14ac:dyDescent="0.25">
      <c r="A155" s="15" t="s">
        <v>35</v>
      </c>
      <c r="B155" s="2" t="s">
        <v>27</v>
      </c>
      <c r="C155" s="2" t="s">
        <v>10</v>
      </c>
      <c r="D155" s="21">
        <f>SUM(2.461538,
395.897436)</f>
        <v>398.35897400000005</v>
      </c>
      <c r="E155" s="21">
        <v>280</v>
      </c>
      <c r="F155" s="21">
        <v>320</v>
      </c>
      <c r="G155" s="3">
        <f t="shared" si="123"/>
        <v>0.18285264576036406</v>
      </c>
      <c r="H155" s="3">
        <f t="shared" si="124"/>
        <v>0.24398540846373284</v>
      </c>
      <c r="I155" s="3"/>
      <c r="J155" s="3">
        <f t="shared" si="122"/>
        <v>72.840992358284083</v>
      </c>
      <c r="K155" s="3">
        <f t="shared" si="122"/>
        <v>97.193776986583543</v>
      </c>
      <c r="L155" s="7"/>
      <c r="M155" s="7"/>
      <c r="N155" s="3" t="s">
        <v>53</v>
      </c>
      <c r="O155" s="3" t="s">
        <v>83</v>
      </c>
      <c r="P155" s="3">
        <f t="shared" si="125"/>
        <v>1.8387685520776749E-2</v>
      </c>
      <c r="Q155" s="3">
        <f t="shared" si="126"/>
        <v>1.9440290500056044E-2</v>
      </c>
      <c r="R155" s="3">
        <f t="shared" si="127"/>
        <v>1.7871686058058067</v>
      </c>
      <c r="S155" s="3">
        <f t="shared" si="128"/>
        <v>1.4160500517574051</v>
      </c>
      <c r="T155" s="3"/>
      <c r="U155" s="3"/>
      <c r="V155" s="3"/>
      <c r="W155" s="1"/>
      <c r="X155" s="1"/>
      <c r="Y155" s="1"/>
      <c r="Z155" s="1"/>
      <c r="AA155" s="1"/>
      <c r="AB155" s="1"/>
    </row>
    <row r="156" spans="1:28" s="2" customFormat="1" x14ac:dyDescent="0.25">
      <c r="A156" s="15" t="s">
        <v>35</v>
      </c>
      <c r="B156" s="2" t="s">
        <v>27</v>
      </c>
      <c r="C156" s="2" t="s">
        <v>11</v>
      </c>
      <c r="D156" s="21">
        <f>SUM(27.623932,
1778.461538)</f>
        <v>1806.08547</v>
      </c>
      <c r="E156" s="21">
        <v>320</v>
      </c>
      <c r="F156" s="21">
        <v>360</v>
      </c>
      <c r="G156" s="3">
        <f t="shared" si="123"/>
        <v>0.24398540846373284</v>
      </c>
      <c r="H156" s="3">
        <f t="shared" si="124"/>
        <v>0.31466852373011789</v>
      </c>
      <c r="I156" s="3"/>
      <c r="J156" s="3">
        <f t="shared" si="122"/>
        <v>440.65850111836289</v>
      </c>
      <c r="K156" s="3">
        <f t="shared" si="122"/>
        <v>568.31824857531615</v>
      </c>
      <c r="L156" s="7"/>
      <c r="M156" s="7"/>
      <c r="N156" s="3" t="s">
        <v>53</v>
      </c>
      <c r="O156" s="3" t="s">
        <v>83</v>
      </c>
      <c r="P156" s="3">
        <f t="shared" si="125"/>
        <v>1.9440290500056044E-2</v>
      </c>
      <c r="Q156" s="3">
        <f t="shared" si="126"/>
        <v>2.041865888921603E-2</v>
      </c>
      <c r="R156" s="3">
        <f t="shared" si="127"/>
        <v>11.048271848787207</v>
      </c>
      <c r="S156" s="3">
        <f t="shared" si="128"/>
        <v>8.9976556209690717</v>
      </c>
      <c r="T156" s="3"/>
      <c r="U156" s="3"/>
      <c r="V156" s="3"/>
      <c r="W156" s="1"/>
      <c r="X156" s="1"/>
      <c r="Y156" s="1"/>
      <c r="Z156" s="1"/>
      <c r="AA156" s="1"/>
      <c r="AB156" s="1"/>
    </row>
    <row r="157" spans="1:28" s="2" customFormat="1" x14ac:dyDescent="0.25">
      <c r="A157" s="15" t="s">
        <v>35</v>
      </c>
      <c r="B157" s="2" t="s">
        <v>27</v>
      </c>
      <c r="C157" s="2" t="s">
        <v>12</v>
      </c>
      <c r="D157" s="21">
        <f>SUM(155.842735,
6822.564103)</f>
        <v>6978.4068379999999</v>
      </c>
      <c r="E157" s="21">
        <v>400</v>
      </c>
      <c r="F157" s="21">
        <v>400</v>
      </c>
      <c r="G157" s="3">
        <f t="shared" si="123"/>
        <v>0.3950840365236063</v>
      </c>
      <c r="H157" s="3">
        <f t="shared" si="124"/>
        <v>0.3950840365236063</v>
      </c>
      <c r="I157" s="3"/>
      <c r="J157" s="3">
        <f>G157*$D157</f>
        <v>2757.0571420609758</v>
      </c>
      <c r="K157" s="3">
        <f t="shared" ref="K157" si="129">H157*$D157</f>
        <v>2757.0571420609758</v>
      </c>
      <c r="L157" s="7"/>
      <c r="M157" s="7"/>
      <c r="N157" s="3" t="s">
        <v>53</v>
      </c>
      <c r="O157" s="3" t="s">
        <v>83</v>
      </c>
      <c r="P157" s="3">
        <f t="shared" si="125"/>
        <v>2.1335488777030457E-2</v>
      </c>
      <c r="Q157" s="3">
        <f t="shared" si="126"/>
        <v>2.1335488777030457E-2</v>
      </c>
      <c r="R157" s="3">
        <f t="shared" si="127"/>
        <v>58.823161712073613</v>
      </c>
      <c r="S157" s="3">
        <f t="shared" si="128"/>
        <v>58.823161712073613</v>
      </c>
      <c r="T157" s="3"/>
      <c r="U157" s="3"/>
      <c r="V157" s="3"/>
      <c r="W157" s="1"/>
      <c r="X157" s="1"/>
      <c r="Y157" s="1"/>
      <c r="Z157" s="1"/>
      <c r="AA157" s="1"/>
      <c r="AB157" s="1"/>
    </row>
    <row r="158" spans="1:28" s="2" customFormat="1" x14ac:dyDescent="0.25">
      <c r="A158" s="15" t="s">
        <v>35</v>
      </c>
      <c r="B158" s="2" t="s">
        <v>27</v>
      </c>
      <c r="C158" s="2" t="s">
        <v>13</v>
      </c>
      <c r="D158" s="21">
        <f>SUM(499.528205,
17543.589744)</f>
        <v>18043.117948999999</v>
      </c>
      <c r="E158" s="21">
        <v>420</v>
      </c>
      <c r="F158" s="21">
        <v>500</v>
      </c>
      <c r="G158" s="3">
        <f t="shared" si="123"/>
        <v>0.43899378138795536</v>
      </c>
      <c r="H158" s="3">
        <f t="shared" si="124"/>
        <v>0.63975709407633896</v>
      </c>
      <c r="I158" s="3"/>
      <c r="J158" s="3">
        <f>G158*$D158</f>
        <v>7920.8165764603991</v>
      </c>
      <c r="K158" s="3">
        <f>H158*$D158</f>
        <v>11543.212707128872</v>
      </c>
      <c r="L158" s="7"/>
      <c r="M158" s="7"/>
      <c r="N158" s="3" t="s">
        <v>53</v>
      </c>
      <c r="O158" s="3" t="s">
        <v>83</v>
      </c>
      <c r="P158" s="3">
        <f t="shared" si="125"/>
        <v>2.1773888347372979E-2</v>
      </c>
      <c r="Q158" s="3">
        <f t="shared" si="126"/>
        <v>2.3415446459170996E-2</v>
      </c>
      <c r="R158" s="3">
        <f t="shared" si="127"/>
        <v>251.34062465500105</v>
      </c>
      <c r="S158" s="3">
        <f t="shared" si="128"/>
        <v>185.46945645902258</v>
      </c>
      <c r="T158" s="3"/>
      <c r="U158" s="3"/>
      <c r="V158" s="3"/>
      <c r="W158" s="1"/>
      <c r="X158" s="1"/>
      <c r="Y158" s="1"/>
      <c r="Z158" s="1"/>
      <c r="AA158" s="1"/>
      <c r="AB158" s="1"/>
    </row>
    <row r="159" spans="1:28" s="2" customFormat="1" x14ac:dyDescent="0.25">
      <c r="A159" s="15" t="s">
        <v>35</v>
      </c>
      <c r="B159" s="2" t="s">
        <v>27</v>
      </c>
      <c r="C159" s="2" t="s">
        <v>14</v>
      </c>
      <c r="D159" s="21">
        <f>SUM(54.263248,
1571.282051)</f>
        <v>1625.5452989999999</v>
      </c>
      <c r="E159" s="21">
        <v>380</v>
      </c>
      <c r="F159" s="21">
        <v>420</v>
      </c>
      <c r="G159" s="3">
        <f t="shared" si="123"/>
        <v>0.35364902873926202</v>
      </c>
      <c r="H159" s="3">
        <f t="shared" si="124"/>
        <v>0.43899378138795536</v>
      </c>
      <c r="I159" s="3"/>
      <c r="J159" s="3">
        <f>G159*$D159</f>
        <v>574.87251616302319</v>
      </c>
      <c r="K159" s="3">
        <f>H159*$D159</f>
        <v>713.60427762542452</v>
      </c>
      <c r="L159" s="7"/>
      <c r="M159" s="7"/>
      <c r="N159" s="3" t="s">
        <v>53</v>
      </c>
      <c r="O159" s="3" t="s">
        <v>83</v>
      </c>
      <c r="P159" s="3">
        <f t="shared" si="125"/>
        <v>2.0884111978187264E-2</v>
      </c>
      <c r="Q159" s="3">
        <f t="shared" si="126"/>
        <v>2.1773888347372979E-2</v>
      </c>
      <c r="R159" s="3">
        <f t="shared" si="127"/>
        <v>14.902991642042798</v>
      </c>
      <c r="S159" s="3">
        <f t="shared" si="128"/>
        <v>12.517209980907035</v>
      </c>
      <c r="T159" s="3"/>
      <c r="U159" s="3"/>
      <c r="V159" s="3"/>
      <c r="W159" s="1"/>
      <c r="X159" s="1"/>
      <c r="Y159" s="1"/>
      <c r="Z159" s="1"/>
      <c r="AA159" s="1"/>
      <c r="AB159" s="1"/>
    </row>
    <row r="160" spans="1:28" s="9" customFormat="1" x14ac:dyDescent="0.25">
      <c r="A160" s="14" t="s">
        <v>35</v>
      </c>
      <c r="B160" s="9" t="s">
        <v>27</v>
      </c>
      <c r="C160" s="9" t="s">
        <v>15</v>
      </c>
      <c r="D160" s="19">
        <f>SUM(D153:D159)</f>
        <v>29419.104273000001</v>
      </c>
      <c r="E160" s="19"/>
      <c r="F160" s="19"/>
      <c r="G160" s="10"/>
      <c r="H160" s="10"/>
      <c r="I160" s="10"/>
      <c r="J160" s="10"/>
      <c r="K160" s="10"/>
      <c r="L160" s="7">
        <f>SUM(J153:J159)</f>
        <v>11836.087528981081</v>
      </c>
      <c r="M160" s="7">
        <f>SUM(K153:K159)</f>
        <v>15777.647727271949</v>
      </c>
      <c r="N160" s="10"/>
      <c r="O160" s="10"/>
      <c r="P160" s="10"/>
      <c r="Q160" s="10"/>
      <c r="R160" s="10"/>
      <c r="S160" s="10"/>
      <c r="T160" s="10">
        <f>SUM(R153:R159)</f>
        <v>339.57892030158735</v>
      </c>
      <c r="U160" s="10">
        <f>SUM(S153:S159)</f>
        <v>268.49697100899283</v>
      </c>
      <c r="V160" s="10"/>
      <c r="W160" s="1"/>
      <c r="X160" s="1"/>
      <c r="Y160" s="1"/>
      <c r="Z160" s="1"/>
      <c r="AA160" s="1"/>
      <c r="AB160" s="1"/>
    </row>
    <row r="161" spans="1:28" s="11" customFormat="1" x14ac:dyDescent="0.25">
      <c r="A161" s="17" t="s">
        <v>35</v>
      </c>
      <c r="B161" s="11" t="s">
        <v>28</v>
      </c>
      <c r="C161" s="11" t="s">
        <v>13</v>
      </c>
      <c r="D161" s="20">
        <f>SUM(21.169231,
3217.435897)</f>
        <v>3238.6051279999997</v>
      </c>
      <c r="E161" s="20">
        <v>400</v>
      </c>
      <c r="F161" s="20">
        <v>540</v>
      </c>
      <c r="G161" s="12">
        <f>0.4*(10^((3.16*LOG10(E161))-8.18)/0.9)</f>
        <v>0.49014779640231004</v>
      </c>
      <c r="H161" s="12">
        <f>0.4*(10^((3.16*LOG10(F161))-8.18)/0.9)</f>
        <v>1.2652657815422117</v>
      </c>
      <c r="I161" s="12" t="s">
        <v>43</v>
      </c>
      <c r="J161" s="12">
        <f>G161*$D161</f>
        <v>1587.3951669064211</v>
      </c>
      <c r="K161" s="12">
        <f>H161*$D161</f>
        <v>4097.6962483855341</v>
      </c>
      <c r="L161" s="8">
        <f>J161</f>
        <v>1587.3951669064211</v>
      </c>
      <c r="M161" s="8">
        <f>K161</f>
        <v>4097.6962483855341</v>
      </c>
      <c r="N161" s="12" t="s">
        <v>53</v>
      </c>
      <c r="O161" s="12" t="s">
        <v>84</v>
      </c>
      <c r="P161" s="12">
        <f>10^(0.0125*(-1.17)+((-0.23)*LOG10(G161))+0.729*(LOG10(1.255))-1.348)</f>
        <v>6.0326906203249611E-2</v>
      </c>
      <c r="Q161" s="12">
        <f>10^(0.0125*(-1.17)+((-0.23)*LOG10(H161))+0.729*(LOG10(1.255))-1.348)</f>
        <v>4.8504772351978698E-2</v>
      </c>
      <c r="R161" s="12">
        <f>P161*K161</f>
        <v>247.20133722576193</v>
      </c>
      <c r="S161" s="12">
        <f>Q161*J161</f>
        <v>76.996241203427189</v>
      </c>
      <c r="T161" s="12">
        <f>R161</f>
        <v>247.20133722576193</v>
      </c>
      <c r="U161" s="12">
        <f>S161</f>
        <v>76.996241203427189</v>
      </c>
      <c r="V161" s="12"/>
    </row>
    <row r="162" spans="1:28" s="2" customFormat="1" x14ac:dyDescent="0.25">
      <c r="A162" s="15" t="s">
        <v>35</v>
      </c>
      <c r="B162" s="2" t="s">
        <v>29</v>
      </c>
      <c r="C162" s="2" t="s">
        <v>18</v>
      </c>
      <c r="D162" s="21">
        <f>SUM(4.923077,
219.487179)</f>
        <v>224.410256</v>
      </c>
      <c r="E162" s="21">
        <f>AVERAGE(1160,1000)</f>
        <v>1080</v>
      </c>
      <c r="F162" s="21">
        <f>AVERAGE(1160,1000)</f>
        <v>1080</v>
      </c>
      <c r="G162" s="3">
        <f>((0.0075*(E162*10^-3)^3.274)/0.9)*0.447*1000</f>
        <v>4.7924286142003751</v>
      </c>
      <c r="H162" s="3">
        <f>((0.0075*(F162*10^-3)^3.274)/0.9)*0.447*1000</f>
        <v>4.7924286142003751</v>
      </c>
      <c r="I162" s="3" t="s">
        <v>46</v>
      </c>
      <c r="J162" s="3">
        <f>G162*$D162</f>
        <v>1075.4701321744315</v>
      </c>
      <c r="K162" s="3">
        <f>H162*$D162</f>
        <v>1075.4701321744315</v>
      </c>
      <c r="N162" s="3" t="s">
        <v>51</v>
      </c>
      <c r="O162" s="3" t="s">
        <v>83</v>
      </c>
      <c r="P162" s="3">
        <f>10^(0.0182*(-1.17)+((0.193)*LOG10(G162))+0.195*(LOG10(1.255))-1.591)</f>
        <v>3.4537330575374559E-2</v>
      </c>
      <c r="Q162" s="3">
        <f>10^(0.0182*(-1.17)+((0.193)*LOG10(H162))+0.195*(LOG10(1.255))-1.591)</f>
        <v>3.4537330575374559E-2</v>
      </c>
      <c r="R162" s="3">
        <f>P162*K162</f>
        <v>37.143867478850112</v>
      </c>
      <c r="S162" s="3">
        <f>Q162*J162</f>
        <v>37.143867478850112</v>
      </c>
      <c r="T162" s="3"/>
      <c r="U162" s="3"/>
      <c r="V162" s="3"/>
      <c r="W162" s="11"/>
      <c r="X162" s="11"/>
      <c r="Y162" s="11"/>
      <c r="Z162" s="11"/>
      <c r="AA162" s="11"/>
      <c r="AB162" s="11"/>
    </row>
    <row r="163" spans="1:28" s="2" customFormat="1" x14ac:dyDescent="0.25">
      <c r="A163" s="15" t="s">
        <v>35</v>
      </c>
      <c r="B163" s="2" t="s">
        <v>29</v>
      </c>
      <c r="C163" s="2" t="s">
        <v>9</v>
      </c>
      <c r="D163" s="21">
        <f>SUM(7.384615,
197.948718)</f>
        <v>205.33333300000001</v>
      </c>
      <c r="E163" s="21">
        <v>1500</v>
      </c>
      <c r="F163" s="21">
        <v>1500</v>
      </c>
      <c r="G163" s="3">
        <f t="shared" ref="G163:G166" si="130">((0.0075*(E163*10^-3)^3.274)/0.9)*0.447*1000</f>
        <v>14.049117968657727</v>
      </c>
      <c r="H163" s="3">
        <f>((0.0075*(F163*10^-3)^3.274)/0.9)*0.447*1000</f>
        <v>14.049117968657727</v>
      </c>
      <c r="I163" s="3"/>
      <c r="J163" s="3">
        <f>G163*$D163</f>
        <v>2884.7522182146809</v>
      </c>
      <c r="K163" s="3">
        <f t="shared" ref="K163:K166" si="131">H163*$D163</f>
        <v>2884.7522182146809</v>
      </c>
      <c r="L163" s="7"/>
      <c r="M163" s="7"/>
      <c r="N163" s="3" t="s">
        <v>51</v>
      </c>
      <c r="O163" s="3" t="s">
        <v>83</v>
      </c>
      <c r="P163" s="3">
        <f>10^(0.0182*(-1.17)+((0.193)*LOG10(G163))+0.195*(LOG10(1.255))-1.591)</f>
        <v>4.2504782183175147E-2</v>
      </c>
      <c r="Q163" s="3">
        <f t="shared" ref="Q163:Q166" si="132">10^(0.0182*(-1.17)+((0.193)*LOG10(H163))+0.195*(LOG10(1.255))-1.591)</f>
        <v>4.2504782183175147E-2</v>
      </c>
      <c r="R163" s="3">
        <f t="shared" ref="R163:R166" si="133">P163*K163</f>
        <v>122.61576468764635</v>
      </c>
      <c r="S163" s="3">
        <f t="shared" ref="S163:S166" si="134">Q163*J163</f>
        <v>122.61576468764635</v>
      </c>
      <c r="T163" s="3"/>
      <c r="U163" s="3"/>
      <c r="V163" s="3"/>
      <c r="W163" s="1"/>
      <c r="X163" s="1"/>
      <c r="Y163" s="1"/>
      <c r="Z163" s="1"/>
      <c r="AA163" s="1"/>
      <c r="AB163" s="1"/>
    </row>
    <row r="164" spans="1:28" s="2" customFormat="1" x14ac:dyDescent="0.25">
      <c r="A164" s="15" t="s">
        <v>35</v>
      </c>
      <c r="B164" s="2" t="s">
        <v>29</v>
      </c>
      <c r="C164" s="2" t="s">
        <v>10</v>
      </c>
      <c r="D164" s="21">
        <f>SUM(40.697436,
35.897436)</f>
        <v>76.594872000000009</v>
      </c>
      <c r="E164" s="21">
        <f>AVERAGE(2080,300)</f>
        <v>1190</v>
      </c>
      <c r="F164" s="21">
        <f>AVERAGE(2410,300)</f>
        <v>1355</v>
      </c>
      <c r="G164" s="3">
        <f t="shared" si="130"/>
        <v>6.5836544542729074</v>
      </c>
      <c r="H164" s="3">
        <f>((0.0075*(F164*10^-3)^3.274)/0.9)*0.447*1000</f>
        <v>10.071531829787753</v>
      </c>
      <c r="I164" s="3"/>
      <c r="J164" s="3">
        <f>G164*$D164</f>
        <v>504.27417021726325</v>
      </c>
      <c r="K164" s="3">
        <f t="shared" si="131"/>
        <v>771.42769134651883</v>
      </c>
      <c r="L164" s="7"/>
      <c r="M164" s="7"/>
      <c r="N164" s="3" t="s">
        <v>51</v>
      </c>
      <c r="O164" s="3" t="s">
        <v>83</v>
      </c>
      <c r="P164" s="3">
        <f>10^(0.0182*(-1.17)+((0.193)*LOG10(G164))+0.195*(LOG10(1.255))-1.591)</f>
        <v>3.6720252853879629E-2</v>
      </c>
      <c r="Q164" s="3">
        <f t="shared" si="132"/>
        <v>3.9860153218031331E-2</v>
      </c>
      <c r="R164" s="3">
        <f t="shared" si="133"/>
        <v>28.327019884728781</v>
      </c>
      <c r="S164" s="3">
        <f t="shared" si="134"/>
        <v>20.100445688755727</v>
      </c>
      <c r="T164" s="3"/>
      <c r="U164" s="3"/>
      <c r="V164" s="3"/>
      <c r="W164" s="1"/>
      <c r="X164" s="1"/>
      <c r="Y164" s="1"/>
      <c r="Z164" s="1"/>
      <c r="AA164" s="1"/>
      <c r="AB164" s="1"/>
    </row>
    <row r="165" spans="1:28" s="2" customFormat="1" x14ac:dyDescent="0.25">
      <c r="A165" s="15" t="s">
        <v>35</v>
      </c>
      <c r="B165" s="2" t="s">
        <v>29</v>
      </c>
      <c r="C165" s="2" t="s">
        <v>11</v>
      </c>
      <c r="D165" s="21">
        <f>9.846154</f>
        <v>9.8461540000000003</v>
      </c>
      <c r="E165" s="21">
        <f>AVERAGE(2960,4000)</f>
        <v>3480</v>
      </c>
      <c r="F165" s="21">
        <f>AVERAGE(3570,5400)</f>
        <v>4485</v>
      </c>
      <c r="G165" s="3">
        <f t="shared" si="130"/>
        <v>220.93103228131193</v>
      </c>
      <c r="H165" s="3">
        <f>((0.0075*(F165*10^-3)^3.274)/0.9)*0.447*1000</f>
        <v>506.98665722465563</v>
      </c>
      <c r="I165" s="3"/>
      <c r="J165" s="3">
        <f>G165*$D165</f>
        <v>2175.3209672207686</v>
      </c>
      <c r="K165" s="3">
        <f t="shared" si="131"/>
        <v>4991.8687029791718</v>
      </c>
      <c r="L165" s="7"/>
      <c r="M165" s="7"/>
      <c r="N165" s="3" t="s">
        <v>51</v>
      </c>
      <c r="O165" s="3" t="s">
        <v>83</v>
      </c>
      <c r="P165" s="3">
        <f>10^(0.0182*(-1.17)+((0.193)*LOG10(G165))+0.195*(LOG10(1.255))-1.591)</f>
        <v>7.2340761125992595E-2</v>
      </c>
      <c r="Q165" s="3">
        <f t="shared" si="132"/>
        <v>8.4919192694956944E-2</v>
      </c>
      <c r="R165" s="3">
        <f t="shared" si="133"/>
        <v>361.11558141453474</v>
      </c>
      <c r="S165" s="3">
        <f t="shared" si="134"/>
        <v>184.72650038880056</v>
      </c>
      <c r="T165" s="3"/>
      <c r="U165" s="3"/>
      <c r="V165" s="3"/>
      <c r="W165" s="1"/>
      <c r="X165" s="1"/>
      <c r="Y165" s="1"/>
      <c r="Z165" s="1"/>
      <c r="AA165" s="1"/>
      <c r="AB165" s="1"/>
    </row>
    <row r="166" spans="1:28" s="2" customFormat="1" x14ac:dyDescent="0.25">
      <c r="A166" s="15" t="s">
        <v>35</v>
      </c>
      <c r="B166" s="2" t="s">
        <v>29</v>
      </c>
      <c r="C166" s="2" t="s">
        <v>12</v>
      </c>
      <c r="D166" s="21">
        <f>25.107692</f>
        <v>25.107692</v>
      </c>
      <c r="E166" s="21">
        <f>AVERAGE(4400,3000)</f>
        <v>3700</v>
      </c>
      <c r="F166" s="21">
        <f>AVERAGE(5640,3800)</f>
        <v>4720</v>
      </c>
      <c r="G166" s="3">
        <f t="shared" si="130"/>
        <v>270.03416914122573</v>
      </c>
      <c r="H166" s="3">
        <f>((0.0075*(F166*10^-3)^3.274)/0.9)*0.447*1000</f>
        <v>599.25598557806939</v>
      </c>
      <c r="I166" s="3"/>
      <c r="J166" s="3">
        <f>G166*$D166</f>
        <v>6779.9347482738003</v>
      </c>
      <c r="K166" s="3">
        <f t="shared" si="131"/>
        <v>15045.934715050607</v>
      </c>
      <c r="L166" s="7"/>
      <c r="M166" s="7"/>
      <c r="N166" s="3" t="s">
        <v>51</v>
      </c>
      <c r="O166" s="3" t="s">
        <v>83</v>
      </c>
      <c r="P166" s="3">
        <f>10^(0.0182*(-1.17)+((0.193)*LOG10(G166))+0.195*(LOG10(1.255))-1.591)</f>
        <v>7.519783546729164E-2</v>
      </c>
      <c r="Q166" s="3">
        <f t="shared" si="132"/>
        <v>8.7704265537480328E-2</v>
      </c>
      <c r="R166" s="3">
        <f t="shared" si="133"/>
        <v>1131.4217231539872</v>
      </c>
      <c r="S166" s="3">
        <f t="shared" si="134"/>
        <v>594.62919748939521</v>
      </c>
      <c r="T166" s="3"/>
      <c r="U166" s="3"/>
      <c r="V166" s="3"/>
      <c r="W166" s="1"/>
      <c r="X166" s="1"/>
      <c r="Y166" s="1"/>
      <c r="Z166" s="1"/>
      <c r="AA166" s="1"/>
      <c r="AB166" s="1"/>
    </row>
    <row r="167" spans="1:28" s="9" customFormat="1" x14ac:dyDescent="0.25">
      <c r="A167" s="14" t="s">
        <v>35</v>
      </c>
      <c r="B167" s="9" t="s">
        <v>29</v>
      </c>
      <c r="C167" s="9" t="s">
        <v>15</v>
      </c>
      <c r="D167" s="19">
        <f>SUM(D162:D166)</f>
        <v>541.29230700000005</v>
      </c>
      <c r="E167" s="19"/>
      <c r="F167" s="19"/>
      <c r="G167" s="10"/>
      <c r="H167" s="10"/>
      <c r="I167" s="10"/>
      <c r="J167" s="10"/>
      <c r="K167" s="10"/>
      <c r="L167" s="7">
        <f>SUM(J162:J166)</f>
        <v>13419.752236100943</v>
      </c>
      <c r="M167" s="7">
        <f>SUM(K164:K166)</f>
        <v>20809.231109376298</v>
      </c>
      <c r="N167" s="10"/>
      <c r="O167" s="3"/>
      <c r="P167" s="10"/>
      <c r="Q167" s="10"/>
      <c r="R167" s="10"/>
      <c r="S167" s="10"/>
      <c r="T167" s="10">
        <f>SUM(R162:R166)</f>
        <v>1680.6239566197471</v>
      </c>
      <c r="U167" s="10">
        <f>SUM(S162:S166)</f>
        <v>959.21577573344803</v>
      </c>
      <c r="V167" s="10"/>
      <c r="W167" s="1"/>
      <c r="X167" s="1"/>
      <c r="Y167" s="1"/>
      <c r="Z167" s="1"/>
      <c r="AA167" s="1"/>
      <c r="AB167" s="1"/>
    </row>
    <row r="168" spans="1:28" s="1" customFormat="1" x14ac:dyDescent="0.25">
      <c r="A168" s="16" t="s">
        <v>35</v>
      </c>
      <c r="B168" s="1" t="s">
        <v>31</v>
      </c>
      <c r="C168" s="1" t="s">
        <v>18</v>
      </c>
      <c r="D168" s="22">
        <f>SUM(25.982906,
1216.410256)</f>
        <v>1242.3931619999998</v>
      </c>
      <c r="E168" s="22">
        <v>450</v>
      </c>
      <c r="F168" s="22">
        <v>450</v>
      </c>
      <c r="G168" s="5">
        <f>(10^(2.85*(LOG10(E168*10^-3*1000))-7.62))*0.447</f>
        <v>0.39080776789498056</v>
      </c>
      <c r="H168" s="5">
        <f>(10^(2.85*(LOG10(F168*10^-3*1000))-7.62))*0.447</f>
        <v>0.39080776789498056</v>
      </c>
      <c r="I168" s="5" t="s">
        <v>42</v>
      </c>
      <c r="J168" s="5">
        <f>G168*$D168</f>
        <v>485.53689848920692</v>
      </c>
      <c r="K168" s="5">
        <f>H168*$D168</f>
        <v>485.53689848920692</v>
      </c>
      <c r="N168" s="5" t="s">
        <v>53</v>
      </c>
      <c r="O168" s="5" t="s">
        <v>83</v>
      </c>
      <c r="P168" s="5">
        <f t="shared" ref="P168:P174" si="135">10^(0.0182*(-1.17)+((0.193)*LOG10(G168))+0.195*(LOG10(1.255))-1.591)</f>
        <v>2.1290723590429769E-2</v>
      </c>
      <c r="Q168" s="5">
        <f>10^(0.0182*(-1.17)+((0.193)*LOG10(H168))+0.195*(LOG10(0.98))-1.591)</f>
        <v>2.028822160359434E-2</v>
      </c>
      <c r="R168" s="5">
        <f>P168*K168</f>
        <v>10.337431898688262</v>
      </c>
      <c r="S168" s="5">
        <f>Q168*J168</f>
        <v>9.8506801932709198</v>
      </c>
      <c r="T168" s="5"/>
      <c r="U168" s="5"/>
      <c r="V168" s="5"/>
      <c r="W168" s="11"/>
      <c r="X168" s="11"/>
      <c r="Y168" s="11"/>
      <c r="Z168" s="11"/>
      <c r="AA168" s="11"/>
      <c r="AB168" s="11"/>
    </row>
    <row r="169" spans="1:28" s="1" customFormat="1" x14ac:dyDescent="0.25">
      <c r="A169" s="16" t="s">
        <v>35</v>
      </c>
      <c r="B169" s="1" t="s">
        <v>31</v>
      </c>
      <c r="C169" s="1" t="s">
        <v>9</v>
      </c>
      <c r="D169" s="22">
        <f>SUM(55.904274,
956.923077)</f>
        <v>1012.827351</v>
      </c>
      <c r="E169" s="22">
        <v>600</v>
      </c>
      <c r="F169" s="22">
        <v>600</v>
      </c>
      <c r="G169" s="5">
        <f>(10^(2.85*(LOG10(E169*10^-3*1000))-7.62))*0.447</f>
        <v>0.88723483865811659</v>
      </c>
      <c r="H169" s="5">
        <f>(10^(2.85*(LOG10(F169*10^-3*1000))-7.62))*0.447</f>
        <v>0.88723483865811659</v>
      </c>
      <c r="I169" s="5"/>
      <c r="J169" s="5">
        <f t="shared" ref="J169:J174" si="136">G169*$D169</f>
        <v>898.61571135301267</v>
      </c>
      <c r="K169" s="5">
        <f t="shared" ref="K169:K174" si="137">H169*$D169</f>
        <v>898.61571135301267</v>
      </c>
      <c r="L169" s="8"/>
      <c r="M169" s="8"/>
      <c r="N169" s="5" t="s">
        <v>53</v>
      </c>
      <c r="O169" s="5" t="s">
        <v>83</v>
      </c>
      <c r="P169" s="5">
        <f t="shared" si="135"/>
        <v>2.4940948969247242E-2</v>
      </c>
      <c r="Q169" s="5">
        <f t="shared" ref="Q169:Q174" si="138">10^(0.0182*(-1.17)+((0.193)*LOG10(H169))+0.195*(LOG10(0.98))-1.591)</f>
        <v>2.3766571274236876E-2</v>
      </c>
      <c r="R169" s="5">
        <f t="shared" ref="R169:R174" si="139">P169*K169</f>
        <v>22.4123285998193</v>
      </c>
      <c r="S169" s="5">
        <f t="shared" ref="S169:S174" si="140">Q169*J169</f>
        <v>21.357014352020446</v>
      </c>
      <c r="T169" s="5"/>
      <c r="U169" s="5"/>
      <c r="V169" s="5"/>
    </row>
    <row r="170" spans="1:28" s="1" customFormat="1" x14ac:dyDescent="0.25">
      <c r="A170" s="16" t="s">
        <v>35</v>
      </c>
      <c r="B170" s="1" t="s">
        <v>31</v>
      </c>
      <c r="C170" s="1" t="s">
        <v>10</v>
      </c>
      <c r="D170" s="22">
        <f>SUM(16.62906,
1092.307692)</f>
        <v>1108.9367520000001</v>
      </c>
      <c r="E170" s="22">
        <f>AVERAGE(800,750,450)</f>
        <v>666.66666666666663</v>
      </c>
      <c r="F170" s="22">
        <f>AVERAGE(560,950,850)</f>
        <v>786.66666666666663</v>
      </c>
      <c r="G170" s="5">
        <f t="shared" ref="G170:G174" si="141">(10^(2.85*(LOG10(E170*10^-3*1000))-7.62))*0.447</f>
        <v>1.1979741166682267</v>
      </c>
      <c r="H170" s="5">
        <f>(10^(2.85*(LOG10(F170*10^-3*1000))-7.62))*0.447</f>
        <v>1.9200438871492924</v>
      </c>
      <c r="I170" s="5"/>
      <c r="J170" s="5">
        <f t="shared" si="136"/>
        <v>1328.4775259181324</v>
      </c>
      <c r="K170" s="5">
        <f t="shared" si="137"/>
        <v>2129.207231912791</v>
      </c>
      <c r="L170" s="8"/>
      <c r="M170" s="8"/>
      <c r="N170" s="5" t="s">
        <v>53</v>
      </c>
      <c r="O170" s="5" t="s">
        <v>83</v>
      </c>
      <c r="P170" s="5">
        <f t="shared" si="135"/>
        <v>2.6429070014423926E-2</v>
      </c>
      <c r="Q170" s="5">
        <f t="shared" si="138"/>
        <v>2.7585073013044113E-2</v>
      </c>
      <c r="R170" s="5">
        <f t="shared" si="139"/>
        <v>56.272967007440919</v>
      </c>
      <c r="S170" s="5">
        <f t="shared" si="140"/>
        <v>36.646149548639883</v>
      </c>
      <c r="T170" s="5"/>
      <c r="U170" s="5"/>
      <c r="V170" s="5"/>
    </row>
    <row r="171" spans="1:28" s="1" customFormat="1" x14ac:dyDescent="0.25">
      <c r="A171" s="16" t="s">
        <v>35</v>
      </c>
      <c r="B171" s="1" t="s">
        <v>31</v>
      </c>
      <c r="C171" s="1" t="s">
        <v>11</v>
      </c>
      <c r="D171" s="22">
        <f>SUM(23.247863,
156.923077)</f>
        <v>180.17094</v>
      </c>
      <c r="E171" s="22">
        <f>AVERAGE(950,850,560)</f>
        <v>786.66666666666663</v>
      </c>
      <c r="F171" s="22">
        <f>AVERAGE(1050,950,700)</f>
        <v>900</v>
      </c>
      <c r="G171" s="5">
        <f t="shared" si="141"/>
        <v>1.9200438871492924</v>
      </c>
      <c r="H171" s="5">
        <f>(10^(2.85*(LOG10(F171*10^-3*1000))-7.62))*0.447</f>
        <v>2.8177254528580589</v>
      </c>
      <c r="I171" s="5"/>
      <c r="J171" s="5">
        <f t="shared" si="136"/>
        <v>345.93611198894195</v>
      </c>
      <c r="K171" s="5">
        <f>H171*$D171</f>
        <v>507.67224350336215</v>
      </c>
      <c r="L171" s="8"/>
      <c r="M171" s="8"/>
      <c r="N171" s="5" t="s">
        <v>53</v>
      </c>
      <c r="O171" s="5" t="s">
        <v>83</v>
      </c>
      <c r="P171" s="5">
        <f t="shared" si="135"/>
        <v>2.8948134351928417E-2</v>
      </c>
      <c r="Q171" s="5">
        <f t="shared" si="138"/>
        <v>2.9704724515460402E-2</v>
      </c>
      <c r="R171" s="5">
        <f t="shared" si="139"/>
        <v>14.696164311680246</v>
      </c>
      <c r="S171" s="5">
        <f t="shared" si="140"/>
        <v>10.275936906580979</v>
      </c>
      <c r="T171" s="5"/>
      <c r="U171" s="5"/>
      <c r="V171" s="5"/>
    </row>
    <row r="172" spans="1:28" s="1" customFormat="1" x14ac:dyDescent="0.25">
      <c r="A172" s="16" t="s">
        <v>35</v>
      </c>
      <c r="B172" s="1" t="s">
        <v>31</v>
      </c>
      <c r="C172" s="1" t="s">
        <v>12</v>
      </c>
      <c r="D172" s="22">
        <f>SUM(55.083761,
493.333333)</f>
        <v>548.41709400000002</v>
      </c>
      <c r="E172" s="22">
        <f>AVERAGE(650,1200,950)</f>
        <v>933.33333333333337</v>
      </c>
      <c r="F172" s="22">
        <f>AVERAGE(1300,1100,850)</f>
        <v>1083.3333333333333</v>
      </c>
      <c r="G172" s="5">
        <f t="shared" si="141"/>
        <v>3.1254484233881543</v>
      </c>
      <c r="H172" s="5">
        <f>(10^(2.85*(LOG10(F172*10^-3*1000))-7.62))*0.447</f>
        <v>4.7794676451112066</v>
      </c>
      <c r="I172" s="5"/>
      <c r="J172" s="5">
        <f t="shared" si="136"/>
        <v>1714.0493418014132</v>
      </c>
      <c r="K172" s="5">
        <f t="shared" si="137"/>
        <v>2621.1417567989115</v>
      </c>
      <c r="L172" s="8"/>
      <c r="M172" s="8"/>
      <c r="N172" s="5" t="s">
        <v>53</v>
      </c>
      <c r="O172" s="5" t="s">
        <v>83</v>
      </c>
      <c r="P172" s="5">
        <f t="shared" si="135"/>
        <v>3.1802378895069212E-2</v>
      </c>
      <c r="Q172" s="5">
        <f t="shared" si="138"/>
        <v>3.2893897384912558E-2</v>
      </c>
      <c r="R172" s="5">
        <f t="shared" si="139"/>
        <v>83.358543287406334</v>
      </c>
      <c r="S172" s="5">
        <f t="shared" si="140"/>
        <v>56.3817631618926</v>
      </c>
      <c r="T172" s="5"/>
      <c r="U172" s="5"/>
      <c r="V172" s="5"/>
    </row>
    <row r="173" spans="1:28" s="1" customFormat="1" x14ac:dyDescent="0.25">
      <c r="A173" s="16" t="s">
        <v>35</v>
      </c>
      <c r="B173" s="1" t="s">
        <v>31</v>
      </c>
      <c r="C173" s="1" t="s">
        <v>13</v>
      </c>
      <c r="D173" s="22">
        <f>SUM(67.938462,
1229.74359)</f>
        <v>1297.6820520000001</v>
      </c>
      <c r="E173" s="22">
        <f>AVERAGE(1150,1600,850)</f>
        <v>1200</v>
      </c>
      <c r="F173" s="22">
        <f>AVERAGE(1150,1600,850)</f>
        <v>1200</v>
      </c>
      <c r="G173" s="5">
        <f t="shared" si="141"/>
        <v>6.3969664702805833</v>
      </c>
      <c r="H173" s="5">
        <f>(10^(2.85*(LOG10(F173*10^-3*1000))-7.62))*0.447</f>
        <v>6.3969664702805833</v>
      </c>
      <c r="I173" s="5"/>
      <c r="J173" s="5">
        <f t="shared" si="136"/>
        <v>8301.2285757289046</v>
      </c>
      <c r="K173" s="5">
        <f t="shared" si="137"/>
        <v>8301.2285757289046</v>
      </c>
      <c r="L173" s="8"/>
      <c r="M173" s="8"/>
      <c r="N173" s="5" t="s">
        <v>53</v>
      </c>
      <c r="O173" s="5" t="s">
        <v>83</v>
      </c>
      <c r="P173" s="5">
        <f t="shared" si="135"/>
        <v>3.651695218837666E-2</v>
      </c>
      <c r="Q173" s="5">
        <f t="shared" si="138"/>
        <v>3.4797503012939657E-2</v>
      </c>
      <c r="R173" s="5">
        <f t="shared" si="139"/>
        <v>303.13556700467848</v>
      </c>
      <c r="S173" s="5">
        <f t="shared" si="140"/>
        <v>288.86202637502731</v>
      </c>
      <c r="T173" s="5"/>
      <c r="U173" s="5"/>
      <c r="V173" s="5"/>
    </row>
    <row r="174" spans="1:28" s="1" customFormat="1" x14ac:dyDescent="0.25">
      <c r="A174" s="16" t="s">
        <v>35</v>
      </c>
      <c r="B174" s="1" t="s">
        <v>31</v>
      </c>
      <c r="C174" s="1" t="s">
        <v>14</v>
      </c>
      <c r="D174" s="22">
        <f>SUM(12.034188,
24.615385)</f>
        <v>36.649573000000004</v>
      </c>
      <c r="E174" s="22">
        <f>AVERAGE(800,1200,1000)</f>
        <v>1000</v>
      </c>
      <c r="F174" s="22">
        <f>AVERAGE(800,1200,1000)</f>
        <v>1000</v>
      </c>
      <c r="G174" s="5">
        <f t="shared" si="141"/>
        <v>3.8045870307646301</v>
      </c>
      <c r="H174" s="5">
        <f>(10^(2.85*(LOG10(F174*10^-3*1000))-7.62))*0.447</f>
        <v>3.8045870307646301</v>
      </c>
      <c r="I174" s="5"/>
      <c r="J174" s="5">
        <f t="shared" si="136"/>
        <v>139.43649011886157</v>
      </c>
      <c r="K174" s="5">
        <f t="shared" si="137"/>
        <v>139.43649011886157</v>
      </c>
      <c r="L174" s="8"/>
      <c r="M174" s="8"/>
      <c r="N174" s="5" t="s">
        <v>53</v>
      </c>
      <c r="O174" s="5" t="s">
        <v>83</v>
      </c>
      <c r="P174" s="5">
        <f t="shared" si="135"/>
        <v>3.3032457013658402E-2</v>
      </c>
      <c r="Q174" s="5">
        <f t="shared" si="138"/>
        <v>3.147707991970497E-2</v>
      </c>
      <c r="R174" s="5">
        <f t="shared" si="139"/>
        <v>4.605929865986699</v>
      </c>
      <c r="S174" s="5">
        <f t="shared" si="140"/>
        <v>4.3890535431945583</v>
      </c>
      <c r="T174" s="5"/>
      <c r="U174" s="5"/>
      <c r="V174" s="5"/>
    </row>
    <row r="175" spans="1:28" s="11" customFormat="1" x14ac:dyDescent="0.25">
      <c r="A175" s="17" t="s">
        <v>35</v>
      </c>
      <c r="B175" s="11" t="s">
        <v>31</v>
      </c>
      <c r="C175" s="11" t="s">
        <v>15</v>
      </c>
      <c r="D175" s="20">
        <f>SUM(D168:D174)</f>
        <v>5427.076924</v>
      </c>
      <c r="E175" s="20"/>
      <c r="F175" s="20"/>
      <c r="G175" s="12"/>
      <c r="H175" s="12"/>
      <c r="I175" s="12"/>
      <c r="J175" s="12"/>
      <c r="K175" s="12"/>
      <c r="L175" s="8">
        <f>SUM(J168:J174)</f>
        <v>13213.280655398474</v>
      </c>
      <c r="M175" s="8">
        <f>SUM(K168:K174)</f>
        <v>15082.83890790505</v>
      </c>
      <c r="N175" s="12"/>
      <c r="O175" s="12"/>
      <c r="P175" s="12"/>
      <c r="Q175" s="12"/>
      <c r="R175" s="12"/>
      <c r="S175" s="12"/>
      <c r="T175" s="12">
        <f>SUM(R168:R174)</f>
        <v>494.81893197570025</v>
      </c>
      <c r="U175" s="12">
        <f>SUM(S168:S174)</f>
        <v>427.76262408062672</v>
      </c>
      <c r="V175" s="12"/>
      <c r="W175" s="1"/>
      <c r="X175" s="1"/>
      <c r="Y175" s="1"/>
      <c r="Z175" s="1"/>
      <c r="AA175" s="1"/>
      <c r="AB175" s="1"/>
    </row>
    <row r="176" spans="1:28" s="2" customFormat="1" x14ac:dyDescent="0.25">
      <c r="A176" s="15" t="s">
        <v>35</v>
      </c>
      <c r="B176" s="2" t="s">
        <v>32</v>
      </c>
      <c r="C176" s="2" t="s">
        <v>18</v>
      </c>
      <c r="D176" s="21">
        <f>SUM(2.461538,
46.153846)</f>
        <v>48.615383999999999</v>
      </c>
      <c r="E176" s="21">
        <v>500</v>
      </c>
      <c r="F176" s="21">
        <v>500</v>
      </c>
      <c r="G176" s="3">
        <f t="shared" ref="G176:G182" si="142">10^(3.07*LOG10(E176)-8.37)</f>
        <v>0.8238305889012606</v>
      </c>
      <c r="H176" s="3">
        <f t="shared" ref="H176:H182" si="143">10^(3.07*LOG10(F176)-8.37)</f>
        <v>0.8238305889012606</v>
      </c>
      <c r="I176" s="3" t="s">
        <v>48</v>
      </c>
      <c r="J176" s="3">
        <f>G176*$D176</f>
        <v>40.050840430380923</v>
      </c>
      <c r="K176" s="3">
        <f>H176*$D176</f>
        <v>40.050840430380923</v>
      </c>
      <c r="N176" s="3" t="s">
        <v>53</v>
      </c>
      <c r="O176" s="3" t="s">
        <v>82</v>
      </c>
      <c r="P176" s="29">
        <f>10^(-0.0143*(-1.17)+((-0.363)*LOG10(G176))+0.135*(LOG10(1.255))-0.105)</f>
        <v>0.90281494660619643</v>
      </c>
      <c r="Q176" s="3">
        <f>10^(-0.0143*(-1.17)+((-0.363)*LOG10(H176))+0.135*(LOG10(1.255))-0.105)</f>
        <v>0.90281494660619643</v>
      </c>
      <c r="R176" s="29">
        <f>P176*K176</f>
        <v>36.158497364687648</v>
      </c>
      <c r="S176" s="29">
        <f>Q176*J176</f>
        <v>36.158497364687648</v>
      </c>
      <c r="T176" s="3"/>
      <c r="U176" s="3"/>
      <c r="V176" s="3"/>
      <c r="W176" s="11"/>
      <c r="X176" s="12"/>
      <c r="Y176" s="11"/>
      <c r="Z176" s="11"/>
      <c r="AA176" s="11"/>
      <c r="AB176" s="11"/>
    </row>
    <row r="177" spans="1:28" s="2" customFormat="1" x14ac:dyDescent="0.25">
      <c r="A177" s="15" t="s">
        <v>35</v>
      </c>
      <c r="B177" s="2" t="s">
        <v>32</v>
      </c>
      <c r="C177" s="2" t="s">
        <v>9</v>
      </c>
      <c r="D177" s="21">
        <f>SUM(11.979487,
782.564103)</f>
        <v>794.54358999999999</v>
      </c>
      <c r="E177" s="21">
        <v>620</v>
      </c>
      <c r="F177" s="21">
        <v>620</v>
      </c>
      <c r="G177" s="3">
        <f t="shared" si="142"/>
        <v>1.5945659526775366</v>
      </c>
      <c r="H177" s="3">
        <f t="shared" si="143"/>
        <v>1.5945659526775366</v>
      </c>
      <c r="I177" s="3"/>
      <c r="J177" s="3">
        <f t="shared" ref="J177:J182" si="144">G177*$D177</f>
        <v>1266.95215653218</v>
      </c>
      <c r="K177" s="3">
        <f t="shared" ref="K177:K182" si="145">H177*$D177</f>
        <v>1266.95215653218</v>
      </c>
      <c r="L177" s="7"/>
      <c r="M177" s="7"/>
      <c r="N177" s="3" t="s">
        <v>53</v>
      </c>
      <c r="O177" s="3" t="s">
        <v>82</v>
      </c>
      <c r="P177" s="29">
        <f>10^(-0.0143*(-1.17)+((-0.363)*LOG10(G177))+0.135*(LOG10(1.255))-0.105)</f>
        <v>0.71037665408404937</v>
      </c>
      <c r="Q177" s="3">
        <f t="shared" ref="Q177:Q180" si="146">10^(-0.0143*(-1.17)+((-0.363)*LOG10(H177))+0.135*(LOG10(0.98))-0.105)</f>
        <v>0.68704834456610897</v>
      </c>
      <c r="R177" s="29">
        <f t="shared" ref="R177:R182" si="147">P177*K177</f>
        <v>900.01323384190084</v>
      </c>
      <c r="S177" s="29">
        <f t="shared" ref="S177:S182" si="148">Q177*J177</f>
        <v>870.45738178989598</v>
      </c>
      <c r="T177" s="3"/>
      <c r="U177" s="3"/>
      <c r="V177" s="3"/>
      <c r="W177" s="1"/>
      <c r="X177" s="1"/>
      <c r="Y177" s="1"/>
      <c r="Z177" s="1"/>
      <c r="AA177" s="1"/>
      <c r="AB177" s="1"/>
    </row>
    <row r="178" spans="1:28" s="2" customFormat="1" x14ac:dyDescent="0.25">
      <c r="A178" s="15" t="s">
        <v>35</v>
      </c>
      <c r="B178" s="2" t="s">
        <v>32</v>
      </c>
      <c r="C178" s="2" t="s">
        <v>10</v>
      </c>
      <c r="D178" s="21">
        <f>SUM(12.8,
951.794872)</f>
        <v>964.59487200000001</v>
      </c>
      <c r="E178" s="21">
        <v>800</v>
      </c>
      <c r="F178" s="21">
        <v>1000</v>
      </c>
      <c r="G178" s="3">
        <f t="shared" si="142"/>
        <v>3.4872755113851293</v>
      </c>
      <c r="H178" s="3">
        <f t="shared" si="143"/>
        <v>6.9183097091893631</v>
      </c>
      <c r="I178" s="3"/>
      <c r="J178" s="3">
        <f t="shared" si="144"/>
        <v>3363.8080755332735</v>
      </c>
      <c r="K178" s="3">
        <f t="shared" si="145"/>
        <v>6673.3660683918706</v>
      </c>
      <c r="L178" s="7"/>
      <c r="M178" s="7"/>
      <c r="N178" s="3" t="s">
        <v>53</v>
      </c>
      <c r="O178" s="3" t="s">
        <v>82</v>
      </c>
      <c r="P178" s="29">
        <f>10^(-0.0143*(-1.17)+((-0.363)*LOG10(G178))+0.135*(LOG10(1.255))-0.105)</f>
        <v>0.53471872242965124</v>
      </c>
      <c r="Q178" s="3">
        <f t="shared" si="146"/>
        <v>0.4032984196662846</v>
      </c>
      <c r="R178" s="29">
        <f t="shared" si="147"/>
        <v>3568.3737783958854</v>
      </c>
      <c r="S178" s="29">
        <f t="shared" si="148"/>
        <v>1356.6184809232552</v>
      </c>
      <c r="T178" s="3"/>
      <c r="U178" s="3"/>
      <c r="V178" s="3"/>
      <c r="W178" s="1"/>
      <c r="X178" s="1"/>
      <c r="Y178" s="1"/>
      <c r="Z178" s="1"/>
      <c r="AA178" s="1"/>
      <c r="AB178" s="1"/>
    </row>
    <row r="179" spans="1:28" s="2" customFormat="1" x14ac:dyDescent="0.25">
      <c r="A179" s="15" t="s">
        <v>35</v>
      </c>
      <c r="B179" s="2" t="s">
        <v>32</v>
      </c>
      <c r="C179" s="2" t="s">
        <v>11</v>
      </c>
      <c r="D179" s="21">
        <f>SUM(8.041026,
716.923077)</f>
        <v>724.96410300000002</v>
      </c>
      <c r="E179" s="21">
        <v>1000</v>
      </c>
      <c r="F179" s="21">
        <v>1200</v>
      </c>
      <c r="G179" s="3">
        <f t="shared" si="142"/>
        <v>6.9183097091893631</v>
      </c>
      <c r="H179" s="3">
        <f t="shared" si="143"/>
        <v>12.108390686820373</v>
      </c>
      <c r="I179" s="3"/>
      <c r="J179" s="3">
        <f t="shared" si="144"/>
        <v>5015.5261925986579</v>
      </c>
      <c r="K179" s="3">
        <f t="shared" si="145"/>
        <v>8778.148593044285</v>
      </c>
      <c r="L179" s="7"/>
      <c r="M179" s="7"/>
      <c r="N179" s="3" t="s">
        <v>53</v>
      </c>
      <c r="O179" s="3" t="s">
        <v>82</v>
      </c>
      <c r="P179" s="29">
        <f>10^(-0.0143*(-1.17)+((-0.363)*LOG10(G179))+0.135*(LOG10(1.255))-0.105)</f>
        <v>0.41699217271362354</v>
      </c>
      <c r="Q179" s="3">
        <f t="shared" si="146"/>
        <v>0.32914415544869913</v>
      </c>
      <c r="R179" s="29">
        <f t="shared" si="147"/>
        <v>3660.4192542165738</v>
      </c>
      <c r="S179" s="29">
        <f t="shared" si="148"/>
        <v>1650.8311327937147</v>
      </c>
      <c r="T179" s="3"/>
      <c r="U179" s="3"/>
      <c r="V179" s="3"/>
      <c r="W179" s="1"/>
      <c r="X179" s="1"/>
      <c r="Y179" s="1"/>
      <c r="Z179" s="1"/>
      <c r="AA179" s="1"/>
      <c r="AB179" s="1"/>
    </row>
    <row r="180" spans="1:28" s="2" customFormat="1" x14ac:dyDescent="0.25">
      <c r="A180" s="15" t="s">
        <v>35</v>
      </c>
      <c r="B180" s="2" t="s">
        <v>32</v>
      </c>
      <c r="C180" s="2" t="s">
        <v>12</v>
      </c>
      <c r="D180" s="21">
        <f>SUM(6.564103,
845.128205)</f>
        <v>851.69230800000003</v>
      </c>
      <c r="E180" s="21">
        <v>1280</v>
      </c>
      <c r="F180" s="21">
        <v>1700</v>
      </c>
      <c r="G180" s="3">
        <f t="shared" si="142"/>
        <v>14.76163990041395</v>
      </c>
      <c r="H180" s="3">
        <f t="shared" si="143"/>
        <v>35.275906972016827</v>
      </c>
      <c r="I180" s="3"/>
      <c r="J180" s="3">
        <f t="shared" si="144"/>
        <v>12572.375156648448</v>
      </c>
      <c r="K180" s="3">
        <f t="shared" si="145"/>
        <v>30044.218625790305</v>
      </c>
      <c r="L180" s="7"/>
      <c r="M180" s="7"/>
      <c r="N180" s="3" t="s">
        <v>53</v>
      </c>
      <c r="O180" s="3" t="s">
        <v>82</v>
      </c>
      <c r="P180" s="29">
        <f>10^(-0.0143*(-1.17)+((-0.363)*LOG10(G180))+0.135*(LOG10(1.255))-0.105)</f>
        <v>0.31670290040237625</v>
      </c>
      <c r="Q180" s="3">
        <f t="shared" si="146"/>
        <v>0.22326052298989874</v>
      </c>
      <c r="R180" s="29">
        <f t="shared" si="147"/>
        <v>9515.0911791108847</v>
      </c>
      <c r="S180" s="29">
        <f t="shared" si="148"/>
        <v>2806.9150526985427</v>
      </c>
      <c r="T180" s="3"/>
      <c r="U180" s="3"/>
      <c r="V180" s="3"/>
      <c r="W180" s="1"/>
      <c r="X180" s="1"/>
      <c r="Y180" s="1"/>
      <c r="Z180" s="1"/>
      <c r="AA180" s="1"/>
      <c r="AB180" s="1"/>
    </row>
    <row r="181" spans="1:28" s="2" customFormat="1" x14ac:dyDescent="0.25">
      <c r="A181" s="15" t="s">
        <v>35</v>
      </c>
      <c r="B181" s="2" t="s">
        <v>32</v>
      </c>
      <c r="C181" s="2" t="s">
        <v>13</v>
      </c>
      <c r="D181" s="21">
        <f>SUM(12.307692,
1681.025641)</f>
        <v>1693.333333</v>
      </c>
      <c r="E181" s="21">
        <v>1600</v>
      </c>
      <c r="F181" s="21">
        <v>1800</v>
      </c>
      <c r="G181" s="3">
        <f t="shared" si="142"/>
        <v>29.285210277528982</v>
      </c>
      <c r="H181" s="3">
        <f t="shared" si="143"/>
        <v>42.042311984247227</v>
      </c>
      <c r="I181" s="3"/>
      <c r="J181" s="3">
        <f t="shared" si="144"/>
        <v>49589.62272685401</v>
      </c>
      <c r="K181" s="3">
        <f t="shared" si="145"/>
        <v>71191.648279311208</v>
      </c>
      <c r="L181" s="7"/>
      <c r="M181" s="7"/>
      <c r="N181" s="3" t="s">
        <v>53</v>
      </c>
      <c r="O181" s="3" t="s">
        <v>82</v>
      </c>
      <c r="P181" s="5">
        <f>10^(0.0125*(-1.17)+((-0.23)*LOG10(G181))+0.729*(LOG10(1.255))-1.348)</f>
        <v>2.3548169671293494E-2</v>
      </c>
      <c r="Q181" s="5">
        <f>10^(0.0125*(-1.17)+((-0.23)*LOG10(H181))+0.729*(LOG10(1.255))-1.348)</f>
        <v>2.1668974587998959E-2</v>
      </c>
      <c r="R181" s="29">
        <f t="shared" si="147"/>
        <v>1676.4330128602699</v>
      </c>
      <c r="S181" s="29">
        <f t="shared" si="148"/>
        <v>1074.5562746966552</v>
      </c>
      <c r="T181" s="3"/>
      <c r="U181" s="3"/>
      <c r="V181" s="3"/>
      <c r="W181" s="1"/>
      <c r="X181" s="1"/>
      <c r="Y181" s="1"/>
      <c r="Z181" s="1"/>
      <c r="AA181" s="1"/>
      <c r="AB181" s="1"/>
    </row>
    <row r="182" spans="1:28" s="2" customFormat="1" x14ac:dyDescent="0.25">
      <c r="A182" s="15" t="s">
        <v>35</v>
      </c>
      <c r="B182" s="2" t="s">
        <v>32</v>
      </c>
      <c r="C182" s="2" t="s">
        <v>14</v>
      </c>
      <c r="D182" s="21">
        <f>81.025641</f>
        <v>81.025640999999993</v>
      </c>
      <c r="E182" s="21">
        <v>1400</v>
      </c>
      <c r="F182" s="21">
        <v>1600</v>
      </c>
      <c r="G182" s="3">
        <f t="shared" si="142"/>
        <v>19.436276537345488</v>
      </c>
      <c r="H182" s="3">
        <f t="shared" si="143"/>
        <v>29.285210277528982</v>
      </c>
      <c r="I182" s="3"/>
      <c r="J182" s="3">
        <f t="shared" si="144"/>
        <v>1574.8367650916784</v>
      </c>
      <c r="K182" s="3">
        <f t="shared" si="145"/>
        <v>2372.8529345565735</v>
      </c>
      <c r="L182" s="7"/>
      <c r="M182" s="7"/>
      <c r="N182" s="3" t="s">
        <v>53</v>
      </c>
      <c r="O182" s="3" t="s">
        <v>82</v>
      </c>
      <c r="P182" s="5">
        <f>10^(0.0125*(-1.17)+((-0.23)*LOG10(G182))+0.729*(LOG10(1.255))-1.348)</f>
        <v>2.5876484264251973E-2</v>
      </c>
      <c r="Q182" s="5">
        <f>10^(0.0125*(-1.17)+((-0.23)*LOG10(H182))+0.729*(LOG10(1.255))-1.348)</f>
        <v>2.3548169671293494E-2</v>
      </c>
      <c r="R182" s="29">
        <f t="shared" si="147"/>
        <v>61.401091622437292</v>
      </c>
      <c r="S182" s="29">
        <f t="shared" si="148"/>
        <v>37.084523348969817</v>
      </c>
      <c r="T182" s="3"/>
      <c r="U182" s="3"/>
      <c r="V182" s="3"/>
      <c r="W182" s="1"/>
      <c r="X182" s="1"/>
      <c r="Y182" s="1"/>
      <c r="Z182" s="1"/>
      <c r="AA182" s="1"/>
      <c r="AB182" s="1"/>
    </row>
    <row r="183" spans="1:28" s="9" customFormat="1" x14ac:dyDescent="0.25">
      <c r="A183" s="14" t="s">
        <v>35</v>
      </c>
      <c r="B183" s="9" t="s">
        <v>32</v>
      </c>
      <c r="C183" s="9" t="s">
        <v>15</v>
      </c>
      <c r="D183" s="19">
        <f>SUM(D176:D181)</f>
        <v>5077.74359</v>
      </c>
      <c r="E183" s="19"/>
      <c r="F183" s="19"/>
      <c r="G183" s="10"/>
      <c r="H183" s="10"/>
      <c r="I183" s="10"/>
      <c r="J183" s="10"/>
      <c r="K183" s="10"/>
      <c r="L183" s="7">
        <f>SUM(J176:J182)</f>
        <v>73423.171913688624</v>
      </c>
      <c r="M183" s="7">
        <f>SUM(K178:K182)</f>
        <v>119060.23450109424</v>
      </c>
      <c r="N183" s="10"/>
      <c r="O183" s="10"/>
      <c r="P183" s="10"/>
      <c r="Q183" s="10"/>
      <c r="R183" s="10"/>
      <c r="S183" s="10"/>
      <c r="T183" s="10">
        <f>SUM(R176:R182)</f>
        <v>19417.890047412639</v>
      </c>
      <c r="U183" s="10">
        <f>SUM(S176:S182)</f>
        <v>7832.6213436157204</v>
      </c>
      <c r="V183" s="10"/>
      <c r="W183" s="1"/>
      <c r="X183" s="1"/>
      <c r="Y183" s="1"/>
      <c r="Z183" s="1"/>
      <c r="AA183" s="1"/>
      <c r="AB183" s="1"/>
    </row>
    <row r="184" spans="1:28" s="11" customFormat="1" x14ac:dyDescent="0.25">
      <c r="A184" s="17" t="s">
        <v>35</v>
      </c>
      <c r="B184" s="11" t="s">
        <v>33</v>
      </c>
      <c r="C184" s="11" t="s">
        <v>4</v>
      </c>
      <c r="D184" s="20">
        <f>SUM(220.936752,
157.948718)</f>
        <v>378.88547000000005</v>
      </c>
      <c r="E184" s="20">
        <v>31</v>
      </c>
      <c r="F184" s="20">
        <v>31</v>
      </c>
      <c r="G184" s="12">
        <f>0.4*(0.0049*(E184)^2.957)</f>
        <v>50.374714760229551</v>
      </c>
      <c r="H184" s="12">
        <f>0.4*(0.0049*(F184)^2.957)</f>
        <v>50.374714760229551</v>
      </c>
      <c r="I184" s="12" t="s">
        <v>43</v>
      </c>
      <c r="J184" s="12">
        <f>G184*$D184</f>
        <v>19086.247478045512</v>
      </c>
      <c r="K184" s="12">
        <f>H184*$D184</f>
        <v>19086.247478045512</v>
      </c>
      <c r="L184" s="8">
        <f>J184</f>
        <v>19086.247478045512</v>
      </c>
      <c r="M184" s="8">
        <f>K184</f>
        <v>19086.247478045512</v>
      </c>
      <c r="N184" s="12" t="s">
        <v>51</v>
      </c>
      <c r="O184" s="12"/>
      <c r="P184" s="12">
        <f>(14*(G184*10^6)^-0.25)*EXP(0.0693*(-1.17-20))*(J184*10^6)</f>
        <v>731392080.65671659</v>
      </c>
      <c r="Q184" s="12"/>
      <c r="R184" s="12"/>
      <c r="S184" s="12"/>
      <c r="T184" s="12"/>
      <c r="U184" s="12"/>
      <c r="V184" s="12"/>
    </row>
    <row r="185" spans="1:28" s="2" customFormat="1" x14ac:dyDescent="0.25">
      <c r="A185" s="15" t="s">
        <v>35</v>
      </c>
      <c r="B185" s="2" t="s">
        <v>34</v>
      </c>
      <c r="C185" s="2" t="s">
        <v>12</v>
      </c>
      <c r="D185" s="21">
        <f>102.564103</f>
        <v>102.564103</v>
      </c>
      <c r="E185" s="21">
        <v>2300</v>
      </c>
      <c r="F185" s="21">
        <v>3300</v>
      </c>
      <c r="G185" s="3">
        <f t="shared" ref="G185:G187" si="149">9.4676*10^-7*(E185*10^-3*1000)^2.16</f>
        <v>17.281125603941639</v>
      </c>
      <c r="H185" s="3">
        <f>9.4676*10^-7*(F185*10^-3*1000)^2.16</f>
        <v>37.690336175684003</v>
      </c>
      <c r="I185" s="3" t="s">
        <v>44</v>
      </c>
      <c r="J185" s="3">
        <f>G185*$D185</f>
        <v>1772.4231463986075</v>
      </c>
      <c r="K185" s="3">
        <f t="shared" ref="K185:K186" si="150">H185*$D185</f>
        <v>3865.6755216274801</v>
      </c>
      <c r="L185" s="7"/>
      <c r="M185" s="7"/>
      <c r="N185" s="3" t="s">
        <v>53</v>
      </c>
      <c r="O185" s="3" t="s">
        <v>83</v>
      </c>
      <c r="P185" s="3">
        <f>10^(0.0182*(-1.17)+((0.193)*LOG10(G185))+0.195*(LOG10(1.255))-1.591)</f>
        <v>4.4237739582646811E-2</v>
      </c>
      <c r="Q185" s="3">
        <f>10^(0.0182*(-1.17)+((0.193)*LOG10(H185))+0.195*(LOG10(1.255))-1.591)</f>
        <v>5.1422586652196421E-2</v>
      </c>
      <c r="R185" s="3">
        <f>P185*K185</f>
        <v>171.00874703676882</v>
      </c>
      <c r="S185" s="3">
        <f>Q185*J185</f>
        <v>91.142582830041022</v>
      </c>
      <c r="T185" s="3"/>
      <c r="U185" s="3"/>
      <c r="V185" s="3"/>
      <c r="W185" s="11"/>
      <c r="X185" s="11"/>
      <c r="Y185" s="11"/>
      <c r="Z185" s="11"/>
      <c r="AA185" s="11"/>
      <c r="AB185" s="11"/>
    </row>
    <row r="186" spans="1:28" s="2" customFormat="1" x14ac:dyDescent="0.25">
      <c r="A186" s="15" t="s">
        <v>35</v>
      </c>
      <c r="B186" s="2" t="s">
        <v>34</v>
      </c>
      <c r="C186" s="2" t="s">
        <v>13</v>
      </c>
      <c r="D186" s="21">
        <f>SUM(81.28547,
7620.512821)</f>
        <v>7701.7982910000001</v>
      </c>
      <c r="E186" s="21">
        <v>400</v>
      </c>
      <c r="F186" s="21">
        <v>450</v>
      </c>
      <c r="G186" s="3">
        <f t="shared" si="149"/>
        <v>0.3950840365236063</v>
      </c>
      <c r="H186" s="3">
        <f>9.4676*10^-7*(F186*10^-3*1000)^2.16</f>
        <v>0.50954076026517292</v>
      </c>
      <c r="I186" s="3"/>
      <c r="J186" s="3">
        <f>G186*$D186</f>
        <v>3042.8575572988925</v>
      </c>
      <c r="K186" s="3">
        <f t="shared" si="150"/>
        <v>3924.3801566051498</v>
      </c>
      <c r="L186" s="7"/>
      <c r="M186" s="7"/>
      <c r="N186" s="3" t="s">
        <v>53</v>
      </c>
      <c r="O186" s="3" t="s">
        <v>83</v>
      </c>
      <c r="P186" s="3">
        <f>10^(0.0182*(-1.17)+((0.193)*LOG10(G186))+0.195*(LOG10(1.255))-1.591)</f>
        <v>2.1335488777030457E-2</v>
      </c>
      <c r="Q186" s="3">
        <f t="shared" ref="Q186:Q187" si="151">10^(0.0182*(-1.17)+((0.193)*LOG10(H186))+0.195*(LOG10(1.255))-1.591)</f>
        <v>2.240923650660602E-2</v>
      </c>
      <c r="R186" s="3">
        <f t="shared" ref="R186:R187" si="152">P186*K186</f>
        <v>83.728568788050197</v>
      </c>
      <c r="S186" s="3">
        <f t="shared" ref="S186:S187" si="153">Q186*J186</f>
        <v>68.188114657424364</v>
      </c>
      <c r="T186" s="3"/>
      <c r="U186" s="3"/>
      <c r="V186" s="3"/>
      <c r="W186" s="1"/>
      <c r="X186" s="1"/>
      <c r="Y186" s="1"/>
      <c r="Z186" s="1"/>
      <c r="AA186" s="1"/>
      <c r="AB186" s="1"/>
    </row>
    <row r="187" spans="1:28" s="2" customFormat="1" x14ac:dyDescent="0.25">
      <c r="A187" s="15" t="s">
        <v>35</v>
      </c>
      <c r="B187" s="2" t="s">
        <v>34</v>
      </c>
      <c r="C187" s="2" t="s">
        <v>14</v>
      </c>
      <c r="D187" s="21">
        <f>143.589744</f>
        <v>143.589744</v>
      </c>
      <c r="E187" s="21">
        <v>292</v>
      </c>
      <c r="F187" s="21">
        <v>315</v>
      </c>
      <c r="G187" s="3">
        <f t="shared" si="149"/>
        <v>0.20020128473370938</v>
      </c>
      <c r="H187" s="3">
        <f>9.4676*10^-7*(F187*10^-3*1000)^2.16</f>
        <v>0.23582546375970134</v>
      </c>
      <c r="I187" s="3"/>
      <c r="J187" s="3">
        <f>G187*$D187</f>
        <v>28.746851223384436</v>
      </c>
      <c r="K187" s="3">
        <f>H187*$D187</f>
        <v>33.86211796993679</v>
      </c>
      <c r="L187" s="7"/>
      <c r="M187" s="7"/>
      <c r="N187" s="3" t="s">
        <v>53</v>
      </c>
      <c r="O187" s="3" t="s">
        <v>83</v>
      </c>
      <c r="P187" s="3">
        <f>10^(0.0182*(-1.17)+((0.193)*LOG10(G187))+0.195*(LOG10(1.255))-1.591)</f>
        <v>1.8712190515707959E-2</v>
      </c>
      <c r="Q187" s="3">
        <f t="shared" si="151"/>
        <v>1.9313079627582455E-2</v>
      </c>
      <c r="R187" s="3">
        <f t="shared" si="152"/>
        <v>0.6336344027188352</v>
      </c>
      <c r="S187" s="3">
        <f t="shared" si="153"/>
        <v>0.5551902267194897</v>
      </c>
      <c r="T187" s="3"/>
      <c r="U187" s="3"/>
      <c r="V187" s="3"/>
      <c r="W187" s="1"/>
      <c r="X187" s="1"/>
      <c r="Y187" s="1"/>
      <c r="Z187" s="1"/>
      <c r="AA187" s="1"/>
      <c r="AB187" s="1"/>
    </row>
    <row r="188" spans="1:28" s="9" customFormat="1" x14ac:dyDescent="0.25">
      <c r="A188" s="14" t="s">
        <v>35</v>
      </c>
      <c r="B188" s="9" t="s">
        <v>34</v>
      </c>
      <c r="C188" s="9" t="s">
        <v>15</v>
      </c>
      <c r="D188" s="19">
        <f>SUM(D185:D187)</f>
        <v>7947.9521379999996</v>
      </c>
      <c r="E188" s="19"/>
      <c r="F188" s="19"/>
      <c r="G188" s="10"/>
      <c r="H188" s="10"/>
      <c r="I188" s="10"/>
      <c r="J188" s="10"/>
      <c r="K188" s="10"/>
      <c r="L188" s="7"/>
      <c r="M188" s="7"/>
      <c r="N188" s="10"/>
      <c r="O188" s="10"/>
      <c r="P188" s="10"/>
      <c r="Q188" s="10"/>
      <c r="R188" s="10"/>
      <c r="S188" s="10"/>
      <c r="T188" s="10">
        <f>SUM(R185:R187)</f>
        <v>255.37095022753783</v>
      </c>
      <c r="U188" s="10">
        <f>SUM(S185:S187)</f>
        <v>159.88588771418489</v>
      </c>
      <c r="V188" s="10"/>
      <c r="W188" s="1"/>
      <c r="X188" s="1"/>
      <c r="Y188" s="1"/>
      <c r="Z188" s="1"/>
      <c r="AA188" s="1"/>
      <c r="AB188" s="1"/>
    </row>
    <row r="189" spans="1:28" x14ac:dyDescent="0.25">
      <c r="W189" s="11"/>
      <c r="X189" s="11"/>
      <c r="Y189" s="11"/>
      <c r="Z189" s="11"/>
      <c r="AA189" s="11"/>
      <c r="AB189" s="11"/>
    </row>
  </sheetData>
  <mergeCells count="4">
    <mergeCell ref="W3:W5"/>
    <mergeCell ref="W7:W9"/>
    <mergeCell ref="W14:W16"/>
    <mergeCell ref="W17:W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Respiration_zoo</vt:lpstr>
      <vt:lpstr>Ingestion_zoo</vt:lpstr>
      <vt:lpstr>Prod_zoo</vt:lpstr>
    </vt:vector>
  </TitlesOfParts>
  <Company>TAKUVIK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Blanche Saint-Béat</dc:creator>
  <cp:lastModifiedBy>Sara</cp:lastModifiedBy>
  <dcterms:created xsi:type="dcterms:W3CDTF">2017-10-19T15:03:46Z</dcterms:created>
  <dcterms:modified xsi:type="dcterms:W3CDTF">2022-03-09T16:29:14Z</dcterms:modified>
</cp:coreProperties>
</file>