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<sst xmlns="http://schemas.openxmlformats.org/spreadsheetml/2006/main" count="187" uniqueCount="71">
  <si>
    <t>Pulse Wave of Graph 1</t>
  </si>
  <si>
    <t>Mean (ms)</t>
  </si>
  <si>
    <t>Mean</t>
  </si>
  <si>
    <t>Difference between foots of the wave (s)</t>
  </si>
  <si>
    <t>Square of the distance from the mean for foot</t>
  </si>
  <si>
    <t>Difference between peaks of the wave (s)</t>
  </si>
  <si>
    <t>Square of the distance from the mean for peaks</t>
  </si>
  <si>
    <t>Pressure Min at foot for Sensor 1 (hPa)</t>
  </si>
  <si>
    <t>Pressure Max at peak for Sensor 1 (hPa)</t>
  </si>
  <si>
    <t>Difference in time between foot and peak for Sensor 1(s)</t>
  </si>
  <si>
    <t>Pressure Gradient for Sensor 1 (hPa/s)</t>
  </si>
  <si>
    <t>Square of the distance from the mean gradient sensor 1</t>
  </si>
  <si>
    <t>Pressure Min at foot for Sensor 2 (hPa)</t>
  </si>
  <si>
    <t>Pressure Max at peak for Sensor 2 (hPa)</t>
  </si>
  <si>
    <t>Difference in time between foot and peak for Sensor 2(s)</t>
  </si>
  <si>
    <t>Pressure Gradient for Sensor 2 (hPa/s)</t>
  </si>
  <si>
    <t>Square of the distance from the mean Sensor 2</t>
  </si>
  <si>
    <t>Pulse Wave Speeds of Graph 2 (s)</t>
  </si>
  <si>
    <t>Difference between foots of the wave</t>
  </si>
  <si>
    <t>Difference between peaks of the wave</t>
  </si>
  <si>
    <t>Square of the distance from the mean for Sernsor 1</t>
  </si>
  <si>
    <t>Pulse Wave Speeds of Graph 3 (s)</t>
  </si>
  <si>
    <t>Square of the distance from the mean for Sensor 1</t>
  </si>
  <si>
    <t>Square of the distance from the mean for Sesnor 2</t>
  </si>
  <si>
    <t>Pulse Wave Speeds of Graph 4 (s)</t>
  </si>
  <si>
    <t>Square of the distance from the mean for peak</t>
  </si>
  <si>
    <t>Square of the distance from the mean for Sensor 2</t>
  </si>
  <si>
    <t>Mean - Foot</t>
  </si>
  <si>
    <t>ms</t>
  </si>
  <si>
    <t>Mean - Peak</t>
  </si>
  <si>
    <t>Mean-Sensor1</t>
  </si>
  <si>
    <t>hPa/s</t>
  </si>
  <si>
    <t>Mean-Sensor2</t>
  </si>
  <si>
    <t>Believe Peaks is a better show of the PWV as there</t>
  </si>
  <si>
    <t>is less variations in results and there is more human</t>
  </si>
  <si>
    <t>error in the foot measurements at locating where the</t>
  </si>
  <si>
    <t>wave starts for both waves.</t>
  </si>
  <si>
    <t xml:space="preserve">Pulse Wave Speeds of Graph 5 with Vasospasm (s) </t>
  </si>
  <si>
    <t>Square of the distance from the mean for foot Sensor 2</t>
  </si>
  <si>
    <t>Pulse Wave Speeds of Graph 6 with Vasospasm(s)</t>
  </si>
  <si>
    <t xml:space="preserve">Pulse Wave Speeds of Graph 7 with Vasospasm (s) </t>
  </si>
  <si>
    <t xml:space="preserve">Pulse Wave Speeds of Graph 8 with Vasospasm (s) </t>
  </si>
  <si>
    <t>Mean-foot</t>
  </si>
  <si>
    <t>Mean-peaks</t>
  </si>
  <si>
    <t>Shows a small increase in the time delay on average over the 4 graphs, of approx 3 m/s.</t>
  </si>
  <si>
    <t>Mean foot Δt (ms)</t>
  </si>
  <si>
    <t>PWV foot (m/s)</t>
  </si>
  <si>
    <t>Mean peak Δt (ms)</t>
  </si>
  <si>
    <t>PWV peak (m/s)</t>
  </si>
  <si>
    <t>Mean upstream sensor ΔP/Δt (hPa/s)</t>
  </si>
  <si>
    <t>Mean downstream sensor ΔP/Δt (hPa/s)</t>
  </si>
  <si>
    <t>No Vasospasm</t>
  </si>
  <si>
    <t>Standard deviation</t>
  </si>
  <si>
    <t>Vasospasm</t>
  </si>
  <si>
    <t>Difference</t>
  </si>
  <si>
    <t>Standard Deviation</t>
  </si>
  <si>
    <t>1.269  ±  0.0005</t>
  </si>
  <si>
    <t>No Vasospasm ± SD</t>
  </si>
  <si>
    <t>29.29 ±2.5</t>
  </si>
  <si>
    <t>43.33 ±3.17</t>
  </si>
  <si>
    <t>33.24 ± 0.9</t>
  </si>
  <si>
    <t>38.18 ±1.14</t>
  </si>
  <si>
    <t>317.56 ±53.53</t>
  </si>
  <si>
    <t>223.18 ±40.83</t>
  </si>
  <si>
    <t>Vasospasm ±SD</t>
  </si>
  <si>
    <t>33.58 ±4.0</t>
  </si>
  <si>
    <t>37.79 ±5.08</t>
  </si>
  <si>
    <t>35.08 ±0.8</t>
  </si>
  <si>
    <t>36.17 ±1.02</t>
  </si>
  <si>
    <t>332.92 ±133.74</t>
  </si>
  <si>
    <t>248.7 ±55.97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</si>
</sst>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0" fontId="1" numFmtId="0" xfId="0" applyAlignment="1" applyBorder="1" applyFont="1">
      <alignment horizontal="center" readingOrder="0"/>
    </xf>
    <xf borderId="4" fillId="0" fontId="1" numFmtId="0" xfId="0" applyBorder="1" applyFont="1"/>
    <xf borderId="5" fillId="0" fontId="1" numFmtId="0" xfId="0" applyAlignment="1" applyBorder="1" applyFont="1">
      <alignment horizontal="center" readingOrder="0"/>
    </xf>
    <xf borderId="6" fillId="0" fontId="1" numFmtId="0" xfId="0" applyBorder="1" applyFont="1"/>
    <xf borderId="5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6" fillId="0" fontId="1" numFmtId="0" xfId="0" applyAlignment="1" applyBorder="1" applyFont="1">
      <alignment readingOrder="0"/>
    </xf>
    <xf borderId="9" fillId="0" fontId="1" numFmtId="0" xfId="0" applyBorder="1" applyFont="1"/>
    <xf borderId="10" fillId="2" fontId="2" numFmtId="0" xfId="0" applyBorder="1" applyFill="1" applyFont="1"/>
    <xf borderId="10" fillId="0" fontId="1" numFmtId="0" xfId="0" applyBorder="1" applyFont="1"/>
    <xf borderId="11" fillId="0" fontId="1" numFmtId="0" xfId="0" applyBorder="1" applyFont="1"/>
    <xf borderId="0" fillId="2" fontId="3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2" numFmtId="0" xfId="0" applyAlignment="1" applyFont="1">
      <alignment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2" fontId="2" numFmtId="0" xfId="0" applyBorder="1" applyFont="1"/>
    <xf borderId="7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3" fontId="1" numFmtId="0" xfId="0" applyFill="1" applyFont="1"/>
    <xf borderId="0" fillId="0" fontId="1" numFmtId="0" xfId="0" applyAlignment="1" applyFont="1">
      <alignment horizontal="left" readingOrder="0"/>
    </xf>
    <xf borderId="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5" fillId="0" fontId="1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8" fillId="0" fontId="1" numFmtId="0" xfId="0" applyBorder="1" applyFont="1"/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0" fillId="2" fontId="2" numFmtId="0" xfId="0" applyFont="1"/>
    <xf borderId="24" fillId="0" fontId="1" numFmtId="0" xfId="0" applyBorder="1" applyFont="1"/>
    <xf borderId="0" fillId="2" fontId="0" numFmtId="0" xfId="0" applyFont="1"/>
    <xf borderId="24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0"/>
    <col customWidth="1" min="2" max="2" width="16.43"/>
    <col customWidth="1" min="4" max="4" width="17.43"/>
    <col customWidth="1" min="6" max="6" width="32.57"/>
    <col customWidth="1" min="7" max="7" width="34.71"/>
  </cols>
  <sheetData>
    <row r="1">
      <c r="A1" s="1"/>
      <c r="B1" s="2" t="s">
        <v>0</v>
      </c>
      <c r="C1" s="3"/>
      <c r="D1" s="3"/>
      <c r="E1" s="4"/>
      <c r="F1" s="5" t="s">
        <v>1</v>
      </c>
    </row>
    <row r="2">
      <c r="A2" s="6"/>
      <c r="B2" s="7">
        <v>1.0</v>
      </c>
      <c r="C2" s="7">
        <v>2.0</v>
      </c>
      <c r="D2" s="7">
        <v>3.0</v>
      </c>
      <c r="E2" s="7" t="s">
        <v>2</v>
      </c>
      <c r="F2" s="8"/>
    </row>
    <row r="3">
      <c r="A3" s="9" t="s">
        <v>3</v>
      </c>
      <c r="B3" s="10">
        <f>1.497-1.477</f>
        <v>0.02</v>
      </c>
      <c r="C3" s="10">
        <f>5.627-5.593</f>
        <v>0.034</v>
      </c>
      <c r="D3" s="10">
        <f>9.757-9.723</f>
        <v>0.034</v>
      </c>
      <c r="E3" s="10">
        <f>SUM(B3:D3)/3</f>
        <v>0.02933333333</v>
      </c>
      <c r="F3" s="11">
        <f t="shared" ref="F3:F5" si="1">E3*1000</f>
        <v>29.33333333</v>
      </c>
    </row>
    <row r="4">
      <c r="A4" s="12" t="s">
        <v>4</v>
      </c>
      <c r="B4" s="13">
        <f>(B3-E3)^2</f>
        <v>0.00008711111111</v>
      </c>
      <c r="C4" s="13">
        <f>(C3-E3)^2</f>
        <v>0.00002177777778</v>
      </c>
      <c r="D4" s="13">
        <f>(D3-E3)^2</f>
        <v>0.00002177777778</v>
      </c>
      <c r="E4" s="13">
        <f>SQRT((B4+C4+D4)/3)</f>
        <v>0.006599663291</v>
      </c>
      <c r="F4" s="11">
        <f t="shared" si="1"/>
        <v>6.599663291</v>
      </c>
    </row>
    <row r="5">
      <c r="A5" s="12" t="s">
        <v>5</v>
      </c>
      <c r="B5" s="14">
        <f>1.538-1.504</f>
        <v>0.034</v>
      </c>
      <c r="C5" s="15">
        <f>5.654-5.62</f>
        <v>0.034</v>
      </c>
      <c r="D5" s="15">
        <f>9.784-9.749</f>
        <v>0.035</v>
      </c>
      <c r="E5" s="15">
        <f>SUM(B5:D5)/3</f>
        <v>0.03433333333</v>
      </c>
      <c r="F5" s="16">
        <f t="shared" si="1"/>
        <v>34.33333333</v>
      </c>
    </row>
    <row r="6">
      <c r="A6" s="17" t="s">
        <v>6</v>
      </c>
      <c r="B6" s="18">
        <f>(B5-E5)^2</f>
        <v>0.0000001111111111</v>
      </c>
      <c r="C6" s="18">
        <f>(C5-E5)^2</f>
        <v>0.0000001111111111</v>
      </c>
      <c r="D6" s="18">
        <f>(D5-E5)^2</f>
        <v>0.0000004444444444</v>
      </c>
      <c r="E6">
        <f>SQRT((B6+C6+D6)/3)</f>
        <v>0.0004714045208</v>
      </c>
      <c r="F6" s="16"/>
    </row>
    <row r="7">
      <c r="A7" s="19" t="s">
        <v>7</v>
      </c>
      <c r="B7" s="19">
        <v>0.1074</v>
      </c>
      <c r="C7" s="19">
        <v>0.01744</v>
      </c>
      <c r="D7" s="19">
        <v>-0.07256</v>
      </c>
      <c r="E7">
        <f t="shared" ref="E7:E10" si="2">SUM(B7:D7)/3</f>
        <v>0.01742666667</v>
      </c>
    </row>
    <row r="8">
      <c r="A8" s="19" t="s">
        <v>8</v>
      </c>
      <c r="B8" s="19">
        <v>8.807</v>
      </c>
      <c r="C8" s="19">
        <v>9.667</v>
      </c>
      <c r="D8" s="19">
        <v>10.23</v>
      </c>
      <c r="E8">
        <f t="shared" si="2"/>
        <v>9.568</v>
      </c>
    </row>
    <row r="9">
      <c r="A9" s="19" t="s">
        <v>9</v>
      </c>
      <c r="B9">
        <f>1.504-1.477</f>
        <v>0.027</v>
      </c>
      <c r="C9">
        <f>5.62-5.593</f>
        <v>0.027</v>
      </c>
      <c r="D9">
        <f>9.749-9.723</f>
        <v>0.026</v>
      </c>
      <c r="E9">
        <f t="shared" si="2"/>
        <v>0.02666666667</v>
      </c>
    </row>
    <row r="10">
      <c r="A10" s="19" t="s">
        <v>10</v>
      </c>
      <c r="B10">
        <f t="shared" ref="B10:D10" si="3">(B8-B7)/B9</f>
        <v>322.2074074</v>
      </c>
      <c r="C10">
        <f t="shared" si="3"/>
        <v>357.3911111</v>
      </c>
      <c r="D10">
        <f t="shared" si="3"/>
        <v>396.2523077</v>
      </c>
      <c r="E10">
        <f t="shared" si="2"/>
        <v>358.6169421</v>
      </c>
    </row>
    <row r="11">
      <c r="A11" s="20" t="s">
        <v>11</v>
      </c>
      <c r="B11">
        <f>(B10-E10)^2</f>
        <v>1325.654214</v>
      </c>
      <c r="C11">
        <f>(C10-E10)^2</f>
        <v>1.50266154</v>
      </c>
      <c r="D11">
        <f>(D10-E10)^2</f>
        <v>1416.420746</v>
      </c>
      <c r="E11" s="18">
        <f>SUM(B11:D11)</f>
        <v>2743.577621</v>
      </c>
    </row>
    <row r="12">
      <c r="A12" s="19" t="s">
        <v>12</v>
      </c>
      <c r="B12" s="19">
        <v>-0.03374</v>
      </c>
      <c r="C12" s="19">
        <v>0.04626</v>
      </c>
      <c r="D12" s="19">
        <v>0.08626</v>
      </c>
      <c r="E12">
        <f t="shared" ref="E12:E15" si="4">SUM(B12:D12)/3</f>
        <v>0.03292666667</v>
      </c>
    </row>
    <row r="13">
      <c r="A13" s="19" t="s">
        <v>13</v>
      </c>
      <c r="B13" s="19">
        <v>6.526</v>
      </c>
      <c r="C13" s="19">
        <v>7.606</v>
      </c>
      <c r="D13" s="19">
        <v>7.506</v>
      </c>
      <c r="E13">
        <f t="shared" si="4"/>
        <v>7.212666667</v>
      </c>
    </row>
    <row r="14">
      <c r="A14" s="20" t="s">
        <v>14</v>
      </c>
      <c r="B14">
        <f>1.538-1.497</f>
        <v>0.041</v>
      </c>
      <c r="C14">
        <f>5.654-5.627</f>
        <v>0.027</v>
      </c>
      <c r="D14">
        <f>9.784-9.757</f>
        <v>0.027</v>
      </c>
      <c r="E14">
        <f t="shared" si="4"/>
        <v>0.03166666667</v>
      </c>
    </row>
    <row r="15">
      <c r="A15" s="19" t="s">
        <v>15</v>
      </c>
      <c r="B15">
        <f t="shared" ref="B15:D15" si="5">(B13-B12)/B14</f>
        <v>159.9936585</v>
      </c>
      <c r="C15">
        <f t="shared" si="5"/>
        <v>279.9903704</v>
      </c>
      <c r="D15">
        <f t="shared" si="5"/>
        <v>274.8051852</v>
      </c>
      <c r="E15">
        <f t="shared" si="4"/>
        <v>238.2630714</v>
      </c>
    </row>
    <row r="16">
      <c r="A16" s="21" t="s">
        <v>16</v>
      </c>
      <c r="B16">
        <f>(B15-E15)^2</f>
        <v>6126.100984</v>
      </c>
      <c r="C16">
        <f>(C15-E15)^2</f>
        <v>1741.167482</v>
      </c>
      <c r="D16">
        <f>(D15-E15)^2</f>
        <v>1335.326083</v>
      </c>
      <c r="E16" s="18">
        <f>SUM(B16:D16)</f>
        <v>9202.594549</v>
      </c>
    </row>
    <row r="19">
      <c r="A19" s="1"/>
      <c r="B19" s="22" t="s">
        <v>17</v>
      </c>
      <c r="C19" s="23"/>
      <c r="D19" s="23"/>
      <c r="E19" s="23"/>
      <c r="F19" s="24"/>
      <c r="G19" s="5" t="s">
        <v>1</v>
      </c>
    </row>
    <row r="20">
      <c r="A20" s="6"/>
      <c r="B20" s="7">
        <v>1.0</v>
      </c>
      <c r="C20" s="5">
        <v>2.0</v>
      </c>
      <c r="D20" s="7">
        <v>3.0</v>
      </c>
      <c r="E20" s="7">
        <v>4.0</v>
      </c>
      <c r="F20" s="7" t="s">
        <v>2</v>
      </c>
      <c r="G20" s="8"/>
    </row>
    <row r="21">
      <c r="A21" s="9" t="s">
        <v>18</v>
      </c>
      <c r="B21" s="25">
        <f>0.785-0.752</f>
        <v>0.033</v>
      </c>
      <c r="C21" s="10">
        <f>4.914-4.88</f>
        <v>0.034</v>
      </c>
      <c r="D21" s="10">
        <f>9.029-9.008</f>
        <v>0.021</v>
      </c>
      <c r="E21" s="10">
        <f>13.157-13.109</f>
        <v>0.048</v>
      </c>
      <c r="F21" s="10">
        <f>SUM(B21:E21)/4</f>
        <v>0.034</v>
      </c>
      <c r="G21" s="11">
        <f>F21*1000</f>
        <v>34</v>
      </c>
    </row>
    <row r="22">
      <c r="A22" s="12" t="s">
        <v>4</v>
      </c>
      <c r="B22" s="13">
        <f>(B21-F21)^2</f>
        <v>0.000001</v>
      </c>
      <c r="C22" s="13">
        <f>(C21-F21)^2</f>
        <v>0</v>
      </c>
      <c r="D22" s="13">
        <f>(D21-F21)^2</f>
        <v>0.000169</v>
      </c>
      <c r="E22" s="13">
        <f>(E21-F21)^2</f>
        <v>0.000196</v>
      </c>
      <c r="F22" s="13">
        <f>SQRT((B22+C22+D22+E22)/4)</f>
        <v>0.009565563235</v>
      </c>
    </row>
    <row r="23">
      <c r="A23" s="9" t="s">
        <v>19</v>
      </c>
      <c r="B23" s="26">
        <f>0.813-0.779</f>
        <v>0.034</v>
      </c>
      <c r="C23" s="15">
        <f>4.942-4.908</f>
        <v>0.034</v>
      </c>
      <c r="D23" s="15">
        <f>9.056-9.023</f>
        <v>0.033</v>
      </c>
      <c r="E23" s="15">
        <f>13.185-13.15</f>
        <v>0.035</v>
      </c>
      <c r="F23" s="15">
        <f>SUM(B23:E23)/4</f>
        <v>0.034</v>
      </c>
      <c r="G23" s="16">
        <f>F23*1000</f>
        <v>34</v>
      </c>
    </row>
    <row r="24">
      <c r="A24" s="12" t="s">
        <v>6</v>
      </c>
      <c r="B24" s="13">
        <f>(B23-F23)^2</f>
        <v>0</v>
      </c>
      <c r="C24" s="13">
        <f>(C23-F23)^2</f>
        <v>0</v>
      </c>
      <c r="D24" s="13">
        <f>(D23-F23)^2</f>
        <v>0.000001</v>
      </c>
      <c r="E24" s="13">
        <f>(E23-F23)^2</f>
        <v>0.000001</v>
      </c>
      <c r="F24" s="13">
        <f>SQRT((B24+C24+D24+E24)/4)</f>
        <v>0.0007071067812</v>
      </c>
    </row>
    <row r="25">
      <c r="A25" s="19" t="s">
        <v>7</v>
      </c>
      <c r="B25" s="19">
        <v>0.02366</v>
      </c>
      <c r="C25" s="19">
        <v>0.1637</v>
      </c>
      <c r="D25" s="19">
        <v>0.09366</v>
      </c>
      <c r="E25" s="19">
        <v>-0.1363</v>
      </c>
      <c r="F25">
        <f t="shared" ref="F25:F28" si="6">SUM(B25:E25)/4</f>
        <v>0.03618</v>
      </c>
    </row>
    <row r="26">
      <c r="A26" s="19" t="s">
        <v>8</v>
      </c>
      <c r="B26" s="19">
        <v>8.8984</v>
      </c>
      <c r="C26" s="19">
        <v>8.324</v>
      </c>
      <c r="D26" s="19">
        <v>6.444</v>
      </c>
      <c r="E26" s="19">
        <v>9.094</v>
      </c>
      <c r="F26">
        <f t="shared" si="6"/>
        <v>8.1901</v>
      </c>
    </row>
    <row r="27">
      <c r="A27" s="19" t="s">
        <v>9</v>
      </c>
      <c r="B27">
        <f>0.779-0.752</f>
        <v>0.027</v>
      </c>
      <c r="C27">
        <f>4.908-4.88</f>
        <v>0.028</v>
      </c>
      <c r="D27">
        <f>9.023-9.008</f>
        <v>0.015</v>
      </c>
      <c r="E27">
        <f>13.15-13.109</f>
        <v>0.041</v>
      </c>
      <c r="F27">
        <f t="shared" si="6"/>
        <v>0.02775</v>
      </c>
    </row>
    <row r="28">
      <c r="A28" s="19" t="s">
        <v>10</v>
      </c>
      <c r="B28">
        <f t="shared" ref="B28:E28" si="7">(B26-B25)/B27</f>
        <v>328.6940741</v>
      </c>
      <c r="C28">
        <f t="shared" si="7"/>
        <v>291.4392857</v>
      </c>
      <c r="D28">
        <f t="shared" si="7"/>
        <v>423.356</v>
      </c>
      <c r="E28">
        <f t="shared" si="7"/>
        <v>225.1292683</v>
      </c>
      <c r="F28">
        <f t="shared" si="6"/>
        <v>317.154657</v>
      </c>
    </row>
    <row r="29">
      <c r="A29" s="12" t="s">
        <v>20</v>
      </c>
      <c r="B29" s="13">
        <f>(B28-F28)^2</f>
        <v>133.1581459</v>
      </c>
      <c r="C29" s="13">
        <f>(C28-F28)^2</f>
        <v>661.2803214</v>
      </c>
      <c r="D29" s="13">
        <f>(D28-F28)^2</f>
        <v>11278.72525</v>
      </c>
      <c r="E29" s="13">
        <f>(E28-F28)^2</f>
        <v>8468.67217</v>
      </c>
      <c r="F29" s="13">
        <f>SUM(B29:E29)</f>
        <v>20541.83589</v>
      </c>
    </row>
    <row r="30">
      <c r="A30" s="19" t="s">
        <v>12</v>
      </c>
      <c r="B30" s="19">
        <v>0.007982</v>
      </c>
      <c r="C30" s="19">
        <v>0.218</v>
      </c>
      <c r="D30" s="19">
        <v>0.108</v>
      </c>
      <c r="E30" s="19">
        <v>0.04798</v>
      </c>
      <c r="F30">
        <f t="shared" ref="F30:F33" si="8">SUM(B30:E30)/4</f>
        <v>0.0954905</v>
      </c>
    </row>
    <row r="31">
      <c r="A31" s="19" t="s">
        <v>13</v>
      </c>
      <c r="B31" s="19">
        <v>7.308</v>
      </c>
      <c r="C31" s="19">
        <v>5.998</v>
      </c>
      <c r="D31" s="19">
        <v>6.748</v>
      </c>
      <c r="E31" s="19">
        <v>7.518</v>
      </c>
      <c r="F31">
        <f t="shared" si="8"/>
        <v>6.893</v>
      </c>
    </row>
    <row r="32">
      <c r="A32" s="20" t="s">
        <v>14</v>
      </c>
      <c r="B32">
        <f>0.813-0.785</f>
        <v>0.028</v>
      </c>
      <c r="C32">
        <f>4.942-4.914</f>
        <v>0.028</v>
      </c>
      <c r="D32">
        <f>9.056-9.029</f>
        <v>0.027</v>
      </c>
      <c r="E32">
        <f>13.185-13.157</f>
        <v>0.028</v>
      </c>
      <c r="F32">
        <f t="shared" si="8"/>
        <v>0.02775</v>
      </c>
    </row>
    <row r="33">
      <c r="A33" s="19" t="s">
        <v>15</v>
      </c>
      <c r="B33">
        <f t="shared" ref="B33:E33" si="9">(B31-B30)/B32</f>
        <v>260.7149286</v>
      </c>
      <c r="C33">
        <f t="shared" si="9"/>
        <v>206.4285714</v>
      </c>
      <c r="D33">
        <f t="shared" si="9"/>
        <v>245.9259259</v>
      </c>
      <c r="E33">
        <f t="shared" si="9"/>
        <v>266.7864286</v>
      </c>
      <c r="F33">
        <f t="shared" si="8"/>
        <v>244.9639636</v>
      </c>
    </row>
    <row r="34">
      <c r="A34" s="12" t="s">
        <v>4</v>
      </c>
      <c r="B34" s="13">
        <f>(B33-F33)^2</f>
        <v>248.0928968</v>
      </c>
      <c r="C34" s="13">
        <f>(C33-F33)^2</f>
        <v>1484.976452</v>
      </c>
      <c r="D34" s="13">
        <f>(D33-F33)^2</f>
        <v>0.9253714697</v>
      </c>
      <c r="E34" s="13">
        <f>(E33-F33)^2</f>
        <v>476.2199764</v>
      </c>
      <c r="F34" s="13">
        <f>SUM(B34:E34)</f>
        <v>2210.214696</v>
      </c>
    </row>
    <row r="37">
      <c r="A37" s="1"/>
      <c r="B37" s="2" t="s">
        <v>21</v>
      </c>
      <c r="C37" s="3"/>
      <c r="D37" s="3"/>
      <c r="E37" s="3"/>
      <c r="F37" s="3"/>
      <c r="G37" s="4"/>
      <c r="H37" s="5" t="s">
        <v>1</v>
      </c>
    </row>
    <row r="38">
      <c r="A38" s="6"/>
      <c r="B38" s="7">
        <v>1.0</v>
      </c>
      <c r="C38" s="7">
        <v>2.0</v>
      </c>
      <c r="D38" s="7">
        <v>3.0</v>
      </c>
      <c r="E38" s="7">
        <v>4.0</v>
      </c>
      <c r="F38" s="7">
        <v>5.0</v>
      </c>
      <c r="G38" s="7" t="s">
        <v>2</v>
      </c>
      <c r="H38" s="8"/>
    </row>
    <row r="39">
      <c r="A39" s="27" t="s">
        <v>18</v>
      </c>
      <c r="B39" s="6">
        <f>1.757-1.722</f>
        <v>0.035</v>
      </c>
      <c r="C39" s="6">
        <f>5.873-5.852</f>
        <v>0.021</v>
      </c>
      <c r="D39" s="6">
        <f>10.002-9.968</f>
        <v>0.034</v>
      </c>
      <c r="E39" s="6">
        <f>14.132-14.098</f>
        <v>0.034</v>
      </c>
      <c r="F39" s="6">
        <f>18.249-18.214</f>
        <v>0.035</v>
      </c>
      <c r="G39" s="6">
        <f>SUM(B39:F39)/5</f>
        <v>0.0318</v>
      </c>
      <c r="H39" s="11">
        <f>G39*1000</f>
        <v>31.8</v>
      </c>
    </row>
    <row r="40">
      <c r="A40" s="12" t="s">
        <v>4</v>
      </c>
      <c r="B40" s="13">
        <f>(B39-G39)^2</f>
        <v>0.00001024</v>
      </c>
      <c r="C40" s="13">
        <f>(C39-G39)^2</f>
        <v>0.00011664</v>
      </c>
      <c r="D40" s="13">
        <f>(D39-G39)^2</f>
        <v>0.00000484</v>
      </c>
      <c r="E40" s="13">
        <f>(E39-G39)^2</f>
        <v>0.00000484</v>
      </c>
      <c r="F40" s="13">
        <f>(F39-G39)^2</f>
        <v>0.00001024</v>
      </c>
      <c r="G40" s="13">
        <f>SQRT((B40+C40+D40+E40+F40)/5)</f>
        <v>0.005418486874</v>
      </c>
    </row>
    <row r="41">
      <c r="A41" s="28" t="s">
        <v>19</v>
      </c>
      <c r="B41" s="15">
        <f>1.784-1.75</f>
        <v>0.034</v>
      </c>
      <c r="C41" s="15">
        <f>5.914-5.88</f>
        <v>0.034</v>
      </c>
      <c r="D41" s="15">
        <f>10.029-9.995</f>
        <v>0.034</v>
      </c>
      <c r="E41" s="15">
        <f>14.16-14.125</f>
        <v>0.035</v>
      </c>
      <c r="F41" s="15">
        <f>18.275-18.242</f>
        <v>0.033</v>
      </c>
      <c r="G41" s="15">
        <f>SUM(B41:F41)/5</f>
        <v>0.034</v>
      </c>
      <c r="H41" s="16">
        <f>G41*1000</f>
        <v>34</v>
      </c>
    </row>
    <row r="42">
      <c r="A42" s="12" t="s">
        <v>6</v>
      </c>
      <c r="B42" s="13">
        <f>(B41-G41)^2</f>
        <v>0</v>
      </c>
      <c r="C42" s="13">
        <f>(C41-G41)^2</f>
        <v>0</v>
      </c>
      <c r="D42" s="13">
        <f>(D41-G41)^2</f>
        <v>0</v>
      </c>
      <c r="E42" s="13">
        <f>(E41-G41)^2</f>
        <v>0.000001</v>
      </c>
      <c r="F42" s="13">
        <f>(F41-G41)^2</f>
        <v>0.000001</v>
      </c>
      <c r="G42" s="13">
        <f>SQRT((B42+C42+D42+E42+F42)/5)</f>
        <v>0.000632455532</v>
      </c>
    </row>
    <row r="43">
      <c r="A43" s="19" t="s">
        <v>7</v>
      </c>
      <c r="B43" s="19">
        <v>0.03777</v>
      </c>
      <c r="C43" s="19">
        <v>0.08777</v>
      </c>
      <c r="D43" s="19">
        <v>-0.01223</v>
      </c>
      <c r="E43" s="19">
        <v>0.06777</v>
      </c>
      <c r="F43" s="19">
        <v>-0.04223</v>
      </c>
      <c r="G43">
        <f t="shared" ref="G43:G46" si="10">SUM(B43:F43)/5</f>
        <v>0.02777</v>
      </c>
    </row>
    <row r="44">
      <c r="A44" s="19" t="s">
        <v>8</v>
      </c>
      <c r="B44" s="19">
        <v>9.078</v>
      </c>
      <c r="C44" s="19">
        <v>7.038</v>
      </c>
      <c r="D44" s="19">
        <v>9.348</v>
      </c>
      <c r="E44" s="19">
        <v>9.248</v>
      </c>
      <c r="F44" s="19">
        <v>7.748</v>
      </c>
      <c r="G44">
        <f t="shared" si="10"/>
        <v>8.492</v>
      </c>
    </row>
    <row r="45">
      <c r="A45" s="19" t="s">
        <v>9</v>
      </c>
      <c r="B45">
        <f>1.75-1.722</f>
        <v>0.028</v>
      </c>
      <c r="C45">
        <f>5.88-5.852</f>
        <v>0.028</v>
      </c>
      <c r="D45">
        <f>9.995-9.968</f>
        <v>0.027</v>
      </c>
      <c r="E45">
        <f>14.125-14.098</f>
        <v>0.027</v>
      </c>
      <c r="F45">
        <f>18.242-18.214</f>
        <v>0.028</v>
      </c>
      <c r="G45">
        <f t="shared" si="10"/>
        <v>0.0276</v>
      </c>
    </row>
    <row r="46">
      <c r="A46" s="19" t="s">
        <v>10</v>
      </c>
      <c r="B46">
        <f t="shared" ref="B46:F46" si="11">(B44-B43)/B45</f>
        <v>322.8653571</v>
      </c>
      <c r="C46">
        <f t="shared" si="11"/>
        <v>248.2225</v>
      </c>
      <c r="D46">
        <f t="shared" si="11"/>
        <v>346.6751852</v>
      </c>
      <c r="E46">
        <f t="shared" si="11"/>
        <v>340.0085185</v>
      </c>
      <c r="F46">
        <f t="shared" si="11"/>
        <v>278.2225</v>
      </c>
      <c r="G46">
        <f t="shared" si="10"/>
        <v>307.1988122</v>
      </c>
    </row>
    <row r="47">
      <c r="A47" s="12" t="s">
        <v>22</v>
      </c>
      <c r="B47" s="13">
        <f>(B46-G46)^2</f>
        <v>245.4406314</v>
      </c>
      <c r="C47" s="13">
        <f>(C46-G46)^2</f>
        <v>3478.205397</v>
      </c>
      <c r="D47" s="13">
        <f>(D46-G46)^2</f>
        <v>1558.384026</v>
      </c>
      <c r="E47" s="13">
        <f>(E46-G46)^2</f>
        <v>1076.476831</v>
      </c>
      <c r="F47" s="13">
        <f>(F46-G46)^2</f>
        <v>839.6266669</v>
      </c>
      <c r="G47" s="13">
        <f>SUM(B47:F47)</f>
        <v>7198.133553</v>
      </c>
    </row>
    <row r="48">
      <c r="A48" s="19" t="s">
        <v>12</v>
      </c>
      <c r="B48" s="19">
        <v>0.08777</v>
      </c>
      <c r="C48" s="19">
        <v>0.0277</v>
      </c>
      <c r="D48" s="19">
        <v>0.007702</v>
      </c>
      <c r="E48" s="19">
        <v>0.1277</v>
      </c>
      <c r="F48" s="19">
        <v>0.0277</v>
      </c>
      <c r="G48">
        <f t="shared" ref="G48:G51" si="12">SUM(B48:F48)/5</f>
        <v>0.0557144</v>
      </c>
    </row>
    <row r="49">
      <c r="A49" s="19" t="s">
        <v>13</v>
      </c>
      <c r="B49" s="19">
        <v>7.428</v>
      </c>
      <c r="C49" s="19">
        <v>5.278</v>
      </c>
      <c r="D49" s="19">
        <v>7.338</v>
      </c>
      <c r="E49" s="19">
        <v>6.688</v>
      </c>
      <c r="F49" s="19">
        <v>6.988</v>
      </c>
      <c r="G49">
        <f t="shared" si="12"/>
        <v>6.744</v>
      </c>
    </row>
    <row r="50">
      <c r="A50" s="20" t="s">
        <v>14</v>
      </c>
      <c r="B50">
        <f>1.784-1.757</f>
        <v>0.027</v>
      </c>
      <c r="C50">
        <f>5.914-5.873</f>
        <v>0.041</v>
      </c>
      <c r="D50">
        <f>10.029-10.002</f>
        <v>0.027</v>
      </c>
      <c r="E50">
        <f>14.16-14.132</f>
        <v>0.028</v>
      </c>
      <c r="F50">
        <f>18.275-18.249</f>
        <v>0.026</v>
      </c>
      <c r="G50">
        <f t="shared" si="12"/>
        <v>0.0298</v>
      </c>
    </row>
    <row r="51">
      <c r="A51" s="19" t="s">
        <v>15</v>
      </c>
      <c r="B51">
        <f t="shared" ref="B51:F51" si="13">(B49-B48)/B50</f>
        <v>271.8603704</v>
      </c>
      <c r="C51">
        <f t="shared" si="13"/>
        <v>128.0560976</v>
      </c>
      <c r="D51">
        <f t="shared" si="13"/>
        <v>271.4925185</v>
      </c>
      <c r="E51">
        <f t="shared" si="13"/>
        <v>234.2964286</v>
      </c>
      <c r="F51">
        <f t="shared" si="13"/>
        <v>267.7038462</v>
      </c>
      <c r="G51">
        <f t="shared" si="12"/>
        <v>234.6818522</v>
      </c>
    </row>
    <row r="52">
      <c r="A52" s="12" t="s">
        <v>23</v>
      </c>
      <c r="B52" s="13">
        <f>(B51-G51)^2</f>
        <v>1382.242211</v>
      </c>
      <c r="C52" s="13">
        <f>(C51-G51)^2</f>
        <v>11369.05156</v>
      </c>
      <c r="D52" s="13">
        <f>(D51-G51)^2</f>
        <v>1355.025152</v>
      </c>
      <c r="E52" s="13">
        <f>(E51-G51)^2</f>
        <v>0.1485514005</v>
      </c>
      <c r="F52" s="13">
        <f>(F51-G51)^2</f>
        <v>1090.452082</v>
      </c>
      <c r="G52" s="13">
        <f>SUM(B52:E52)</f>
        <v>14106.46747</v>
      </c>
    </row>
    <row r="55">
      <c r="A55" s="1"/>
      <c r="B55" s="22" t="s">
        <v>24</v>
      </c>
      <c r="C55" s="23"/>
      <c r="D55" s="23"/>
      <c r="E55" s="23"/>
      <c r="F55" s="23"/>
      <c r="G55" s="24"/>
      <c r="H55" s="29" t="s">
        <v>1</v>
      </c>
    </row>
    <row r="56">
      <c r="A56" s="8"/>
      <c r="B56" s="7">
        <v>1.0</v>
      </c>
      <c r="C56" s="7">
        <v>2.0</v>
      </c>
      <c r="D56" s="7">
        <v>3.0</v>
      </c>
      <c r="E56" s="7">
        <v>4.0</v>
      </c>
      <c r="F56" s="7">
        <v>5.0</v>
      </c>
      <c r="G56" s="7" t="s">
        <v>2</v>
      </c>
      <c r="H56" s="8"/>
    </row>
    <row r="57">
      <c r="A57" s="9" t="s">
        <v>18</v>
      </c>
      <c r="B57" s="11">
        <f>1.211-1.19</f>
        <v>0.021</v>
      </c>
      <c r="C57" s="6">
        <f>5.339-5.319</f>
        <v>0.02</v>
      </c>
      <c r="D57" s="6">
        <f>9.469-9.435</f>
        <v>0.034</v>
      </c>
      <c r="E57" s="6">
        <f>13.584-13.564</f>
        <v>0.02</v>
      </c>
      <c r="F57" s="6">
        <f>17.714-17.694</f>
        <v>0.02</v>
      </c>
      <c r="G57" s="6">
        <f>SUM(B57:F57)/5</f>
        <v>0.023</v>
      </c>
      <c r="H57" s="6">
        <f>G57*1000</f>
        <v>23</v>
      </c>
      <c r="J57" s="30"/>
    </row>
    <row r="58">
      <c r="A58" s="12" t="s">
        <v>4</v>
      </c>
      <c r="B58" s="13">
        <f>(B57-G57)^2</f>
        <v>0.000004</v>
      </c>
      <c r="C58" s="13">
        <f>(C57-G57)^2</f>
        <v>0.000009</v>
      </c>
      <c r="D58" s="13">
        <f>(D57-G57)^2</f>
        <v>0.000121</v>
      </c>
      <c r="E58" s="13">
        <f>(E57-G57)^2</f>
        <v>0.000009</v>
      </c>
      <c r="F58" s="13">
        <f>(F57-G57)^2</f>
        <v>0.000009</v>
      </c>
      <c r="G58" s="13">
        <f>SQRT((B58+C58+D58+E58+F58)/5)</f>
        <v>0.005513619501</v>
      </c>
    </row>
    <row r="59">
      <c r="A59" s="9" t="s">
        <v>19</v>
      </c>
      <c r="B59" s="16">
        <f>1.251-1.218</f>
        <v>0.033</v>
      </c>
      <c r="C59" s="15">
        <f>5.38-5.346</f>
        <v>0.034</v>
      </c>
      <c r="D59" s="15">
        <f>9.497-9.462</f>
        <v>0.035</v>
      </c>
      <c r="E59" s="15">
        <f>13.625-13.592</f>
        <v>0.033</v>
      </c>
      <c r="F59" s="15">
        <f>17.742-17.721</f>
        <v>0.021</v>
      </c>
      <c r="G59" s="15">
        <f>SUM(B59:F59)/5</f>
        <v>0.0312</v>
      </c>
      <c r="H59" s="15">
        <f>G59*1000</f>
        <v>31.2</v>
      </c>
    </row>
    <row r="60">
      <c r="A60" s="12" t="s">
        <v>25</v>
      </c>
      <c r="B60" s="13">
        <f>(B59-G59)^2</f>
        <v>0.00000324</v>
      </c>
      <c r="C60" s="13">
        <f>(C59-G59)^2</f>
        <v>0.00000784</v>
      </c>
      <c r="D60" s="13">
        <f>(D59-G59)^2</f>
        <v>0.00001444</v>
      </c>
      <c r="E60" s="13">
        <f>(E59-G59)^2</f>
        <v>0.00000324</v>
      </c>
      <c r="F60" s="13">
        <f>(F59-G59)^2</f>
        <v>0.00010404</v>
      </c>
      <c r="G60" s="13">
        <f>SQRT((B60+C60+D60+E60+F60)/5)</f>
        <v>0.005153639491</v>
      </c>
    </row>
    <row r="61">
      <c r="A61" s="19" t="s">
        <v>7</v>
      </c>
      <c r="B61" s="19">
        <v>0.06093</v>
      </c>
      <c r="C61" s="19">
        <v>0.07093</v>
      </c>
      <c r="D61" s="19">
        <v>0.03093</v>
      </c>
      <c r="E61" s="19">
        <v>0.04093</v>
      </c>
      <c r="F61" s="19">
        <v>0.08093</v>
      </c>
      <c r="G61">
        <f t="shared" ref="G61:G64" si="14">SUM(B61:F61)/5</f>
        <v>0.05693</v>
      </c>
    </row>
    <row r="62">
      <c r="A62" s="19" t="s">
        <v>8</v>
      </c>
      <c r="B62" s="19">
        <v>8.081</v>
      </c>
      <c r="C62" s="19">
        <v>10.15</v>
      </c>
      <c r="D62" s="19">
        <v>6.471</v>
      </c>
      <c r="E62" s="19">
        <v>10.57</v>
      </c>
      <c r="F62" s="19">
        <v>6.661</v>
      </c>
      <c r="G62">
        <f t="shared" si="14"/>
        <v>8.3866</v>
      </c>
    </row>
    <row r="63">
      <c r="A63" s="19" t="s">
        <v>9</v>
      </c>
      <c r="B63">
        <f>1.218-1.19</f>
        <v>0.028</v>
      </c>
      <c r="C63">
        <f>5.346-5.319</f>
        <v>0.027</v>
      </c>
      <c r="D63">
        <f>9.462-9.435</f>
        <v>0.027</v>
      </c>
      <c r="E63">
        <f>13.592-13.564</f>
        <v>0.028</v>
      </c>
      <c r="F63">
        <f>17.721-17.694</f>
        <v>0.027</v>
      </c>
      <c r="G63">
        <f t="shared" si="14"/>
        <v>0.0274</v>
      </c>
    </row>
    <row r="64">
      <c r="A64" s="19" t="s">
        <v>10</v>
      </c>
      <c r="B64">
        <f t="shared" ref="B64:F64" si="15">(B62-B61)/B63</f>
        <v>286.4310714</v>
      </c>
      <c r="C64">
        <f t="shared" si="15"/>
        <v>373.2988889</v>
      </c>
      <c r="D64">
        <f t="shared" si="15"/>
        <v>238.5211111</v>
      </c>
      <c r="E64">
        <f t="shared" si="15"/>
        <v>376.0382143</v>
      </c>
      <c r="F64">
        <f t="shared" si="15"/>
        <v>243.7062963</v>
      </c>
      <c r="G64">
        <f t="shared" si="14"/>
        <v>303.5991164</v>
      </c>
    </row>
    <row r="65">
      <c r="A65" s="12" t="s">
        <v>22</v>
      </c>
      <c r="B65" s="13">
        <f>(B64-G64)^2</f>
        <v>294.7417682</v>
      </c>
      <c r="C65" s="13">
        <f>(C64-G64)^2</f>
        <v>4858.058285</v>
      </c>
      <c r="D65" s="13">
        <f>(D64-G64)^2</f>
        <v>4235.146773</v>
      </c>
      <c r="E65" s="13">
        <f>(E64-G64)^2</f>
        <v>5247.422902</v>
      </c>
      <c r="F65" s="13">
        <f>(F64-G64)^2</f>
        <v>3587.1499</v>
      </c>
      <c r="G65" s="13">
        <f>SUM(B65:F65)</f>
        <v>18222.51963</v>
      </c>
    </row>
    <row r="66">
      <c r="A66" s="19" t="s">
        <v>12</v>
      </c>
      <c r="B66" s="19">
        <v>0.04847</v>
      </c>
      <c r="C66" s="19">
        <v>0.05847</v>
      </c>
      <c r="D66" s="19">
        <v>0.03847</v>
      </c>
      <c r="E66" s="19">
        <v>0.01847</v>
      </c>
      <c r="F66" s="19">
        <v>0.07847</v>
      </c>
      <c r="G66">
        <f t="shared" ref="G66:G69" si="16">SUM(B66:F66)/5</f>
        <v>0.04847</v>
      </c>
    </row>
    <row r="67">
      <c r="A67" s="19" t="s">
        <v>13</v>
      </c>
      <c r="B67" s="19">
        <v>7.028</v>
      </c>
      <c r="C67" s="19">
        <v>7.098</v>
      </c>
      <c r="D67" s="19">
        <v>6.438</v>
      </c>
      <c r="E67" s="19">
        <v>7.848</v>
      </c>
      <c r="F67" s="19">
        <v>4.568</v>
      </c>
      <c r="G67">
        <f t="shared" si="16"/>
        <v>6.596</v>
      </c>
    </row>
    <row r="68">
      <c r="A68" s="20" t="s">
        <v>14</v>
      </c>
      <c r="B68">
        <f>1.251-1.211</f>
        <v>0.04</v>
      </c>
      <c r="C68">
        <f>5.38-5.339</f>
        <v>0.041</v>
      </c>
      <c r="D68">
        <f>9.497-9.469</f>
        <v>0.028</v>
      </c>
      <c r="E68">
        <f>13.625-13.584</f>
        <v>0.041</v>
      </c>
      <c r="F68">
        <f>17.742-17.714</f>
        <v>0.028</v>
      </c>
      <c r="G68">
        <f t="shared" si="16"/>
        <v>0.0356</v>
      </c>
    </row>
    <row r="69">
      <c r="A69" s="19" t="s">
        <v>15</v>
      </c>
      <c r="B69">
        <f t="shared" ref="B69:F69" si="17">(B67-B66)/B68</f>
        <v>174.48825</v>
      </c>
      <c r="C69">
        <f t="shared" si="17"/>
        <v>171.6958537</v>
      </c>
      <c r="D69">
        <f t="shared" si="17"/>
        <v>228.5546429</v>
      </c>
      <c r="E69">
        <f t="shared" si="17"/>
        <v>190.9641463</v>
      </c>
      <c r="F69">
        <f t="shared" si="17"/>
        <v>160.3403571</v>
      </c>
      <c r="G69">
        <f t="shared" si="16"/>
        <v>185.20865</v>
      </c>
    </row>
    <row r="70">
      <c r="A70" s="12" t="s">
        <v>26</v>
      </c>
      <c r="B70" s="13">
        <f>(B69-G69)^2</f>
        <v>114.9269762</v>
      </c>
      <c r="C70" s="13">
        <f>(C69-G69)^2</f>
        <v>182.595665</v>
      </c>
      <c r="D70" s="13">
        <f>(D69-G69)^2</f>
        <v>1878.875097</v>
      </c>
      <c r="E70" s="13">
        <f>(E69-G69)^2</f>
        <v>33.12573814</v>
      </c>
      <c r="F70" s="13">
        <f>(F69-G69)^2</f>
        <v>618.4319896</v>
      </c>
      <c r="G70" s="13">
        <f>SUM(B70:F70)</f>
        <v>2827.955466</v>
      </c>
    </row>
    <row r="73">
      <c r="E73" s="19" t="s">
        <v>27</v>
      </c>
      <c r="F73">
        <f>(SUM(B3:D3)+SUM(B21:E21)+SUM(B39:F39)+SUM(B57:F57))/17</f>
        <v>0.02929411765</v>
      </c>
      <c r="G73">
        <f t="shared" ref="G73:G74" si="18">F73*1000</f>
        <v>29.29411765</v>
      </c>
      <c r="H73" s="19" t="s">
        <v>28</v>
      </c>
    </row>
    <row r="74">
      <c r="E74" s="19" t="s">
        <v>29</v>
      </c>
      <c r="F74">
        <f>(SUM(B5:D5)+SUM(B23:E23)+SUM(B41:F41)+SUM(B59:F59))/17</f>
        <v>0.03323529412</v>
      </c>
      <c r="G74">
        <f t="shared" si="18"/>
        <v>33.23529412</v>
      </c>
      <c r="H74" s="19" t="s">
        <v>28</v>
      </c>
    </row>
    <row r="76">
      <c r="C76" s="31"/>
      <c r="D76" s="31"/>
      <c r="E76" s="31" t="s">
        <v>30</v>
      </c>
      <c r="F76" s="31">
        <f>(SUM(B10:D10)+SUM(B28:E28)+SUM(B46:F46)+SUM(B64:F64))/17</f>
        <v>317.5564175</v>
      </c>
      <c r="G76" s="19" t="s">
        <v>31</v>
      </c>
    </row>
    <row r="77">
      <c r="C77" s="31"/>
      <c r="D77" s="31"/>
      <c r="E77" s="31" t="s">
        <v>32</v>
      </c>
      <c r="F77" s="31">
        <f>(SUM(B15:D15)+SUM(B33:E33)+SUM(B51:F51)+SUM(B69:F69))/17</f>
        <v>223.1822106</v>
      </c>
      <c r="G77" s="19" t="s">
        <v>31</v>
      </c>
    </row>
    <row r="78">
      <c r="C78" s="31"/>
      <c r="D78" s="31"/>
      <c r="E78" s="31"/>
      <c r="F78" s="31"/>
    </row>
    <row r="79">
      <c r="C79" s="31"/>
      <c r="D79" s="31"/>
      <c r="E79" s="21" t="s">
        <v>33</v>
      </c>
      <c r="F79" s="31"/>
    </row>
    <row r="80">
      <c r="C80" s="31"/>
      <c r="D80" s="31"/>
      <c r="E80" s="21" t="s">
        <v>34</v>
      </c>
      <c r="F80" s="31"/>
    </row>
    <row r="81">
      <c r="C81" s="31"/>
      <c r="D81" s="31"/>
      <c r="E81" s="21" t="s">
        <v>35</v>
      </c>
      <c r="F81" s="31"/>
    </row>
    <row r="82">
      <c r="C82" s="31"/>
      <c r="D82" s="31"/>
      <c r="E82" s="21" t="s">
        <v>36</v>
      </c>
      <c r="F82" s="31"/>
    </row>
    <row r="85">
      <c r="A85" s="1"/>
      <c r="B85" s="22" t="s">
        <v>37</v>
      </c>
      <c r="C85" s="23"/>
      <c r="D85" s="23"/>
      <c r="E85" s="23"/>
      <c r="F85" s="23"/>
      <c r="G85" s="24"/>
      <c r="H85" s="29" t="s">
        <v>1</v>
      </c>
    </row>
    <row r="86">
      <c r="A86" s="8"/>
      <c r="B86" s="7">
        <v>1.0</v>
      </c>
      <c r="C86" s="7">
        <v>2.0</v>
      </c>
      <c r="D86" s="7">
        <v>3.0</v>
      </c>
      <c r="E86" s="7">
        <v>4.0</v>
      </c>
      <c r="F86" s="7">
        <v>5.0</v>
      </c>
      <c r="G86" s="7" t="s">
        <v>2</v>
      </c>
      <c r="H86" s="8"/>
    </row>
    <row r="87">
      <c r="A87" s="9" t="s">
        <v>18</v>
      </c>
      <c r="B87" s="11">
        <f>7.266-7.245</f>
        <v>0.021</v>
      </c>
      <c r="C87" s="6">
        <f>11.395-11.361</f>
        <v>0.034</v>
      </c>
      <c r="D87" s="32">
        <f>-15.49--15.524</f>
        <v>0.034</v>
      </c>
      <c r="E87" s="6">
        <f>19.654-19.606</f>
        <v>0.048</v>
      </c>
      <c r="F87" s="6">
        <f>23.756-23.722</f>
        <v>0.034</v>
      </c>
      <c r="G87" s="6">
        <f>SUM(B87:F87)/5</f>
        <v>0.0342</v>
      </c>
      <c r="H87" s="6">
        <f>G87*1000</f>
        <v>34.2</v>
      </c>
    </row>
    <row r="88">
      <c r="A88" s="12" t="s">
        <v>4</v>
      </c>
      <c r="B88" s="13">
        <f>(B87-G87)^2</f>
        <v>0.00017424</v>
      </c>
      <c r="C88" s="13">
        <f>(C87-G87)^2</f>
        <v>0.00000004</v>
      </c>
      <c r="D88" s="13">
        <f>(D87-G87)^2</f>
        <v>0.00000004</v>
      </c>
      <c r="E88" s="13">
        <f>(E87-G87)^2</f>
        <v>0.00019044</v>
      </c>
      <c r="F88" s="13">
        <f>(F87-G87)^2</f>
        <v>0.00000004</v>
      </c>
      <c r="G88" s="13">
        <f>SQRT((B88+C88+D88+E88+F88)/5)</f>
        <v>0.008541662602</v>
      </c>
    </row>
    <row r="89">
      <c r="A89" s="9" t="s">
        <v>19</v>
      </c>
      <c r="B89" s="16">
        <f>7.307-7.273</f>
        <v>0.034</v>
      </c>
      <c r="C89" s="15">
        <f>11.436-11.402</f>
        <v>0.034</v>
      </c>
      <c r="D89" s="28">
        <f>15.552-15.517</f>
        <v>0.035</v>
      </c>
      <c r="E89" s="15">
        <f>19.682-19.647</f>
        <v>0.035</v>
      </c>
      <c r="F89" s="15">
        <f>23.797-23.763</f>
        <v>0.034</v>
      </c>
      <c r="G89" s="15">
        <f>SUM(B89:F89)/5</f>
        <v>0.0344</v>
      </c>
      <c r="H89" s="15">
        <f>G89*1000</f>
        <v>34.4</v>
      </c>
    </row>
    <row r="90">
      <c r="A90" s="12" t="s">
        <v>6</v>
      </c>
      <c r="B90" s="13">
        <f>(B89-G89)^2</f>
        <v>0.00000016</v>
      </c>
      <c r="C90" s="13">
        <f>(C89-G89)^2</f>
        <v>0.00000016</v>
      </c>
      <c r="D90" s="13">
        <f>(D89-G89)^2</f>
        <v>0.00000036</v>
      </c>
      <c r="E90" s="13">
        <f>(E89-G89)^2</f>
        <v>0.00000036</v>
      </c>
      <c r="F90" s="13">
        <f>(F89-G89)^2</f>
        <v>0.00000016</v>
      </c>
      <c r="G90" s="13">
        <f>SQRT((B90+C90+D90+E90+F90)/5)</f>
        <v>0.0004898979486</v>
      </c>
    </row>
    <row r="91">
      <c r="A91" s="19" t="s">
        <v>7</v>
      </c>
      <c r="B91" s="19">
        <v>-0.08801</v>
      </c>
      <c r="C91" s="19">
        <v>0.132</v>
      </c>
      <c r="D91" s="19">
        <v>-0.08801</v>
      </c>
      <c r="E91" s="19">
        <v>-0.09801</v>
      </c>
      <c r="F91" s="19">
        <v>-0.158</v>
      </c>
      <c r="G91">
        <f t="shared" ref="G91:G94" si="19">SUM(B91:F91)/5</f>
        <v>-0.060006</v>
      </c>
    </row>
    <row r="92">
      <c r="A92" s="19" t="s">
        <v>8</v>
      </c>
      <c r="B92" s="19">
        <v>9.932</v>
      </c>
      <c r="C92" s="19">
        <v>6.772</v>
      </c>
      <c r="D92" s="19">
        <v>9.812</v>
      </c>
      <c r="E92" s="19">
        <v>11.55</v>
      </c>
      <c r="F92" s="19">
        <v>5.742</v>
      </c>
      <c r="G92">
        <f t="shared" si="19"/>
        <v>8.7616</v>
      </c>
    </row>
    <row r="93">
      <c r="A93" s="19" t="s">
        <v>9</v>
      </c>
      <c r="B93">
        <f>7.273-7.245</f>
        <v>0.028</v>
      </c>
      <c r="C93">
        <f>11.402-11.361</f>
        <v>0.041</v>
      </c>
      <c r="D93">
        <f>15.524-15.49</f>
        <v>0.034</v>
      </c>
      <c r="E93">
        <f>19.647-19.606</f>
        <v>0.041</v>
      </c>
      <c r="F93">
        <f>23.763-23.722</f>
        <v>0.041</v>
      </c>
      <c r="G93">
        <f t="shared" si="19"/>
        <v>0.037</v>
      </c>
    </row>
    <row r="94">
      <c r="A94" s="19" t="s">
        <v>10</v>
      </c>
      <c r="B94">
        <f t="shared" ref="B94:F94" si="20">(B92-B91)/B93</f>
        <v>357.8575</v>
      </c>
      <c r="C94">
        <f t="shared" si="20"/>
        <v>161.9512195</v>
      </c>
      <c r="D94">
        <f t="shared" si="20"/>
        <v>291.1767647</v>
      </c>
      <c r="E94">
        <f t="shared" si="20"/>
        <v>284.0978049</v>
      </c>
      <c r="F94">
        <f t="shared" si="20"/>
        <v>143.902439</v>
      </c>
      <c r="G94">
        <f t="shared" si="19"/>
        <v>247.7971456</v>
      </c>
    </row>
    <row r="95">
      <c r="A95" s="12" t="s">
        <v>22</v>
      </c>
      <c r="B95" s="13">
        <f>(B94-G94)^2</f>
        <v>12113.28161</v>
      </c>
      <c r="C95" s="13">
        <f>(C94-G94)^2</f>
        <v>7369.52303</v>
      </c>
      <c r="D95" s="13">
        <f>(D94-G94)^2</f>
        <v>1881.791352</v>
      </c>
      <c r="E95" s="13">
        <f>(E94-G94)^2</f>
        <v>1317.737862</v>
      </c>
      <c r="F95" s="13">
        <f>(F94-G94)^2</f>
        <v>10794.11006</v>
      </c>
      <c r="G95" s="13">
        <f>SUM(B95:F95)</f>
        <v>33476.44391</v>
      </c>
    </row>
    <row r="96">
      <c r="A96" s="19" t="s">
        <v>12</v>
      </c>
      <c r="B96" s="19">
        <v>-0.04871</v>
      </c>
      <c r="C96" s="19">
        <v>-0.1087</v>
      </c>
      <c r="D96" s="19">
        <v>-0.04871</v>
      </c>
      <c r="E96" s="19">
        <v>0.01129</v>
      </c>
      <c r="F96" s="19">
        <v>-0.09871</v>
      </c>
      <c r="G96">
        <f t="shared" ref="G96:G99" si="21">SUM(B96:F96)/5</f>
        <v>-0.058708</v>
      </c>
    </row>
    <row r="97">
      <c r="A97" s="19" t="s">
        <v>13</v>
      </c>
      <c r="B97" s="19">
        <v>8.131</v>
      </c>
      <c r="C97" s="19">
        <v>6.321</v>
      </c>
      <c r="D97" s="19">
        <v>7.821</v>
      </c>
      <c r="E97" s="19">
        <v>8.571</v>
      </c>
      <c r="F97" s="19">
        <v>5.961</v>
      </c>
      <c r="G97">
        <f t="shared" si="21"/>
        <v>7.361</v>
      </c>
    </row>
    <row r="98">
      <c r="A98" s="20" t="s">
        <v>14</v>
      </c>
      <c r="B98">
        <f>7.307-7.266</f>
        <v>0.041</v>
      </c>
      <c r="C98">
        <f>11.436-11.395</f>
        <v>0.041</v>
      </c>
      <c r="D98">
        <f>15.552-15.524</f>
        <v>0.028</v>
      </c>
      <c r="E98">
        <f>19.682-19.654</f>
        <v>0.028</v>
      </c>
      <c r="F98">
        <f>23.797-23.756</f>
        <v>0.041</v>
      </c>
      <c r="G98">
        <f t="shared" si="21"/>
        <v>0.0358</v>
      </c>
    </row>
    <row r="99">
      <c r="A99" s="19" t="s">
        <v>15</v>
      </c>
      <c r="B99">
        <f t="shared" ref="B99:F99" si="22">(B97-B96)/B98</f>
        <v>199.505122</v>
      </c>
      <c r="C99">
        <f t="shared" si="22"/>
        <v>156.8219512</v>
      </c>
      <c r="D99">
        <f t="shared" si="22"/>
        <v>281.0610714</v>
      </c>
      <c r="E99">
        <f t="shared" si="22"/>
        <v>305.7039286</v>
      </c>
      <c r="F99">
        <f t="shared" si="22"/>
        <v>147.7978049</v>
      </c>
      <c r="G99">
        <f t="shared" si="21"/>
        <v>218.1779756</v>
      </c>
    </row>
    <row r="100">
      <c r="A100" s="12" t="s">
        <v>38</v>
      </c>
      <c r="B100" s="13">
        <f>(B99-G99)^2</f>
        <v>348.6754638</v>
      </c>
      <c r="C100" s="13">
        <f>(C99-G99)^2</f>
        <v>3764.561729</v>
      </c>
      <c r="D100" s="13">
        <f>(D99-G99)^2</f>
        <v>3954.28374</v>
      </c>
      <c r="E100" s="13">
        <f>(E99-G99)^2</f>
        <v>7660.792442</v>
      </c>
      <c r="F100" s="13">
        <f>(F99-G99)^2</f>
        <v>4953.368432</v>
      </c>
      <c r="G100" s="13">
        <f>SUM(B100:F100)</f>
        <v>20681.68181</v>
      </c>
    </row>
    <row r="103">
      <c r="A103" s="1"/>
      <c r="B103" s="22" t="s">
        <v>39</v>
      </c>
      <c r="C103" s="23"/>
      <c r="D103" s="23"/>
      <c r="E103" s="23"/>
      <c r="F103" s="24"/>
      <c r="G103" s="5" t="s">
        <v>1</v>
      </c>
    </row>
    <row r="104">
      <c r="A104" s="6"/>
      <c r="B104" s="7">
        <v>1.0</v>
      </c>
      <c r="C104" s="5">
        <v>2.0</v>
      </c>
      <c r="D104" s="7">
        <v>3.0</v>
      </c>
      <c r="E104" s="7">
        <v>4.0</v>
      </c>
      <c r="F104" s="7" t="s">
        <v>2</v>
      </c>
      <c r="G104" s="8"/>
    </row>
    <row r="105">
      <c r="A105" s="9" t="s">
        <v>18</v>
      </c>
      <c r="B105" s="33">
        <f>0.485-0.438</f>
        <v>0.047</v>
      </c>
      <c r="C105" s="10">
        <f>4.614-4.58</f>
        <v>0.034</v>
      </c>
      <c r="D105" s="27">
        <f>8.743-8.709</f>
        <v>0.034</v>
      </c>
      <c r="E105" s="10">
        <f>12.858-12.824</f>
        <v>0.034</v>
      </c>
      <c r="F105" s="10">
        <f>SUM(B105:E105)/4</f>
        <v>0.03725</v>
      </c>
      <c r="G105" s="11">
        <f>F105*1000</f>
        <v>37.25</v>
      </c>
    </row>
    <row r="106">
      <c r="A106" s="12" t="s">
        <v>4</v>
      </c>
      <c r="B106" s="13">
        <f>(B105-F105)^2</f>
        <v>0.0000950625</v>
      </c>
      <c r="C106" s="13">
        <f>(C105-F105)^2</f>
        <v>0.0000105625</v>
      </c>
      <c r="D106" s="13">
        <f>(D105-F105)^2</f>
        <v>0.0000105625</v>
      </c>
      <c r="E106" s="13">
        <f>(E105-F105)^2</f>
        <v>0.0000105625</v>
      </c>
      <c r="F106" s="13">
        <f>SQRT((B106+C106+D106+E106)/4)</f>
        <v>0.005629165125</v>
      </c>
    </row>
    <row r="107">
      <c r="A107" s="9" t="s">
        <v>19</v>
      </c>
      <c r="B107" s="26">
        <f>0.513-0.492</f>
        <v>0.021</v>
      </c>
      <c r="C107" s="15">
        <f>4.641-4.608</f>
        <v>0.033</v>
      </c>
      <c r="D107" s="15">
        <f>8.77-8.736</f>
        <v>0.034</v>
      </c>
      <c r="E107" s="28">
        <f>12.886-12.852</f>
        <v>0.034</v>
      </c>
      <c r="F107" s="15">
        <f>SUM(B107:E107)/4</f>
        <v>0.0305</v>
      </c>
      <c r="G107" s="16">
        <f>F107*1000</f>
        <v>30.5</v>
      </c>
    </row>
    <row r="108">
      <c r="A108" s="12" t="s">
        <v>4</v>
      </c>
      <c r="B108" s="13">
        <f>(B107-F107)^2</f>
        <v>0.00009025</v>
      </c>
      <c r="C108" s="13">
        <f>(C107-F107)^2</f>
        <v>0.00000625</v>
      </c>
      <c r="D108" s="13">
        <f>(D107-F107)^2</f>
        <v>0.00001225</v>
      </c>
      <c r="E108" s="13">
        <f>(E107-F107)^2</f>
        <v>0.00001225</v>
      </c>
      <c r="F108" s="13">
        <f>SQRT((B108+C108+D108+E108)/4)</f>
        <v>0.0055</v>
      </c>
    </row>
    <row r="109">
      <c r="A109" s="19" t="s">
        <v>7</v>
      </c>
      <c r="B109" s="19">
        <v>-0.2485</v>
      </c>
      <c r="C109" s="19">
        <v>-0.06849</v>
      </c>
      <c r="D109" s="19">
        <v>-0.03849</v>
      </c>
      <c r="E109" s="19">
        <v>-0.08849</v>
      </c>
      <c r="F109">
        <f t="shared" ref="F109:F112" si="23">SUM(B109:E109)/4</f>
        <v>-0.1109925</v>
      </c>
    </row>
    <row r="110">
      <c r="A110" s="19" t="s">
        <v>8</v>
      </c>
      <c r="B110" s="19">
        <v>4.772</v>
      </c>
      <c r="C110" s="19">
        <v>9.992</v>
      </c>
      <c r="D110" s="19">
        <v>9.772</v>
      </c>
      <c r="E110" s="19">
        <v>7.672</v>
      </c>
      <c r="F110">
        <f t="shared" si="23"/>
        <v>8.052</v>
      </c>
    </row>
    <row r="111">
      <c r="A111" s="19" t="s">
        <v>9</v>
      </c>
      <c r="B111">
        <f>0.492-0.438</f>
        <v>0.054</v>
      </c>
      <c r="C111">
        <f>4.608-4.58</f>
        <v>0.028</v>
      </c>
      <c r="D111">
        <f>8.736-8.709</f>
        <v>0.027</v>
      </c>
      <c r="E111">
        <f>12.852-12.824</f>
        <v>0.028</v>
      </c>
      <c r="F111">
        <f t="shared" si="23"/>
        <v>0.03425</v>
      </c>
    </row>
    <row r="112">
      <c r="A112" s="19" t="s">
        <v>10</v>
      </c>
      <c r="B112">
        <f t="shared" ref="B112:E112" si="24">(B110-B109)/B111</f>
        <v>92.97222222</v>
      </c>
      <c r="C112">
        <f t="shared" si="24"/>
        <v>359.3032143</v>
      </c>
      <c r="D112">
        <f t="shared" si="24"/>
        <v>363.3514815</v>
      </c>
      <c r="E112">
        <f t="shared" si="24"/>
        <v>277.1603571</v>
      </c>
      <c r="F112">
        <f t="shared" si="23"/>
        <v>273.1968188</v>
      </c>
    </row>
    <row r="113">
      <c r="A113" s="12" t="s">
        <v>4</v>
      </c>
      <c r="B113" s="13">
        <f>(B112-F112)^2</f>
        <v>32480.90521</v>
      </c>
      <c r="C113" s="13">
        <f>(C112-F112)^2</f>
        <v>7414.311346</v>
      </c>
      <c r="D113" s="13">
        <f>(D112-F112)^2</f>
        <v>8127.863206</v>
      </c>
      <c r="E113" s="13">
        <f>(E112-F112)^2</f>
        <v>15.70963633</v>
      </c>
      <c r="F113" s="13">
        <f>SUM(B113:E113)</f>
        <v>48038.78939</v>
      </c>
    </row>
    <row r="114">
      <c r="A114" s="19" t="s">
        <v>12</v>
      </c>
      <c r="B114" s="19">
        <v>-0.1668</v>
      </c>
      <c r="C114" s="19">
        <v>-0.03678</v>
      </c>
      <c r="D114" s="19">
        <v>0.01322</v>
      </c>
      <c r="E114" s="19">
        <v>-0.05678</v>
      </c>
      <c r="F114">
        <f t="shared" ref="F114:F117" si="25">SUM(B114:E114)/4</f>
        <v>-0.061785</v>
      </c>
    </row>
    <row r="115">
      <c r="A115" s="19" t="s">
        <v>13</v>
      </c>
      <c r="B115" s="19">
        <v>5.313</v>
      </c>
      <c r="C115" s="19">
        <v>8.503</v>
      </c>
      <c r="D115" s="19">
        <v>7.293</v>
      </c>
      <c r="E115" s="19">
        <v>6.893</v>
      </c>
      <c r="F115">
        <f t="shared" si="25"/>
        <v>7.0005</v>
      </c>
    </row>
    <row r="116">
      <c r="A116" s="20" t="s">
        <v>14</v>
      </c>
      <c r="B116">
        <f>0.513-0.485</f>
        <v>0.028</v>
      </c>
      <c r="C116">
        <f>4.641-4.614</f>
        <v>0.027</v>
      </c>
      <c r="D116">
        <f>8.77-8.743</f>
        <v>0.027</v>
      </c>
      <c r="E116">
        <f>12.886-12.858</f>
        <v>0.028</v>
      </c>
      <c r="F116">
        <f t="shared" si="25"/>
        <v>0.0275</v>
      </c>
    </row>
    <row r="117">
      <c r="A117" s="19" t="s">
        <v>15</v>
      </c>
      <c r="B117">
        <f t="shared" ref="B117:E117" si="26">(B115-B114)/B116</f>
        <v>195.7071429</v>
      </c>
      <c r="C117">
        <f t="shared" si="26"/>
        <v>316.2881481</v>
      </c>
      <c r="D117">
        <f t="shared" si="26"/>
        <v>269.6214815</v>
      </c>
      <c r="E117">
        <f t="shared" si="26"/>
        <v>248.2064286</v>
      </c>
      <c r="F117">
        <f t="shared" si="25"/>
        <v>257.4558003</v>
      </c>
    </row>
    <row r="118">
      <c r="A118" s="12" t="s">
        <v>4</v>
      </c>
      <c r="B118" s="13">
        <f>(B117-F117)^2</f>
        <v>3812.896692</v>
      </c>
      <c r="C118" s="13">
        <f>(C117-F117)^2</f>
        <v>3461.245157</v>
      </c>
      <c r="D118" s="13">
        <f>(D117-F117)^2</f>
        <v>148.0037995</v>
      </c>
      <c r="E118" s="13">
        <f>(E117-F117)^2</f>
        <v>85.55087672</v>
      </c>
      <c r="F118" s="13">
        <f>SUM(B118:E118)</f>
        <v>7507.696525</v>
      </c>
    </row>
    <row r="121">
      <c r="A121" s="1"/>
      <c r="B121" s="22" t="s">
        <v>40</v>
      </c>
      <c r="C121" s="23"/>
      <c r="D121" s="23"/>
      <c r="E121" s="23"/>
      <c r="F121" s="23"/>
      <c r="G121" s="24"/>
      <c r="H121" s="29" t="s">
        <v>1</v>
      </c>
    </row>
    <row r="122">
      <c r="A122" s="8"/>
      <c r="B122" s="7">
        <v>1.0</v>
      </c>
      <c r="C122" s="7">
        <v>2.0</v>
      </c>
      <c r="D122" s="7">
        <v>3.0</v>
      </c>
      <c r="E122" s="7">
        <v>4.0</v>
      </c>
      <c r="F122" s="7">
        <v>5.0</v>
      </c>
      <c r="G122" s="7" t="s">
        <v>2</v>
      </c>
      <c r="H122" s="8"/>
    </row>
    <row r="123">
      <c r="A123" s="9" t="s">
        <v>18</v>
      </c>
      <c r="B123" s="11">
        <f>0.663-0.628</f>
        <v>0.035</v>
      </c>
      <c r="C123" s="6">
        <f>4.778-4.757</f>
        <v>0.021</v>
      </c>
      <c r="D123" s="32">
        <f>8.905-8.872</f>
        <v>0.033</v>
      </c>
      <c r="E123" s="6">
        <f>13.034-12.999</f>
        <v>0.035</v>
      </c>
      <c r="F123" s="6">
        <f>17.149-17.128</f>
        <v>0.021</v>
      </c>
      <c r="G123" s="6">
        <f>SUM(B123:F123)/5</f>
        <v>0.029</v>
      </c>
      <c r="H123" s="6">
        <f>G123*1000</f>
        <v>29</v>
      </c>
      <c r="J123" s="30"/>
    </row>
    <row r="124">
      <c r="A124" s="12" t="s">
        <v>4</v>
      </c>
      <c r="B124" s="13">
        <f>(B123-G123)^2</f>
        <v>0.000036</v>
      </c>
      <c r="C124" s="13">
        <f>(C123-G123)^2</f>
        <v>0.000064</v>
      </c>
      <c r="D124" s="13">
        <f>(D123-G123)^2</f>
        <v>0.000016</v>
      </c>
      <c r="E124" s="13">
        <f>(E123-G123)^2</f>
        <v>0.000036</v>
      </c>
      <c r="F124" s="13">
        <f>(F123-G123)^2</f>
        <v>0.000064</v>
      </c>
      <c r="G124" s="13">
        <f>SQRT((B124+C124+D124+E124+F124)/5)</f>
        <v>0.00657267069</v>
      </c>
    </row>
    <row r="125">
      <c r="A125" s="9" t="s">
        <v>19</v>
      </c>
      <c r="B125" s="16">
        <f>0.69-0.656</f>
        <v>0.034</v>
      </c>
      <c r="C125" s="15">
        <f>4.804-4.77</f>
        <v>0.034</v>
      </c>
      <c r="D125" s="28">
        <f>8.933-8.898</f>
        <v>0.035</v>
      </c>
      <c r="E125" s="15">
        <f>13.061-13.027</f>
        <v>0.034</v>
      </c>
      <c r="F125" s="15">
        <f>17.176-17.142</f>
        <v>0.034</v>
      </c>
      <c r="G125" s="15">
        <f>SUM(B125:F125)/5</f>
        <v>0.0342</v>
      </c>
      <c r="H125" s="15">
        <f>G125*1000</f>
        <v>34.2</v>
      </c>
    </row>
    <row r="126">
      <c r="A126" s="12" t="s">
        <v>6</v>
      </c>
      <c r="B126" s="13">
        <f>(B125-G125)^2</f>
        <v>0.00000004</v>
      </c>
      <c r="C126" s="13">
        <f>(C125-G125)^2</f>
        <v>0.00000004</v>
      </c>
      <c r="D126" s="13">
        <f>(D125-G125)^2</f>
        <v>0.00000064</v>
      </c>
      <c r="E126" s="13">
        <f>(E125-G125)^2</f>
        <v>0.00000004</v>
      </c>
      <c r="F126" s="13">
        <f>(F125-G125)^2</f>
        <v>0.00000004</v>
      </c>
      <c r="G126" s="13">
        <f>SQRT((B126+C126+D126+E126+F126)/5)</f>
        <v>0.0004</v>
      </c>
    </row>
    <row r="127">
      <c r="A127" s="19" t="s">
        <v>7</v>
      </c>
      <c r="B127" s="19">
        <v>-0.1209</v>
      </c>
      <c r="C127" s="19">
        <v>-0.0109</v>
      </c>
      <c r="D127" s="19">
        <v>-0.0809</v>
      </c>
      <c r="E127" s="19">
        <v>-9.002E-4</v>
      </c>
      <c r="F127" s="19">
        <v>0.0291</v>
      </c>
      <c r="G127">
        <f t="shared" ref="G127:G130" si="27">SUM(B127:F127)/5</f>
        <v>-0.03690004</v>
      </c>
    </row>
    <row r="128">
      <c r="A128" s="19" t="s">
        <v>8</v>
      </c>
      <c r="B128" s="19">
        <v>8.879</v>
      </c>
      <c r="C128" s="19">
        <v>9.869</v>
      </c>
      <c r="D128" s="19">
        <v>11.69</v>
      </c>
      <c r="E128" s="19">
        <v>6.389</v>
      </c>
      <c r="F128" s="19">
        <v>9.859</v>
      </c>
      <c r="G128">
        <f t="shared" si="27"/>
        <v>9.3372</v>
      </c>
    </row>
    <row r="129">
      <c r="A129" s="19" t="s">
        <v>9</v>
      </c>
      <c r="B129">
        <f>0.656-0.628</f>
        <v>0.028</v>
      </c>
      <c r="C129">
        <f>4.77-4.757</f>
        <v>0.013</v>
      </c>
      <c r="D129">
        <f>8.898-8.872</f>
        <v>0.026</v>
      </c>
      <c r="E129">
        <f>13.027-12.999</f>
        <v>0.028</v>
      </c>
      <c r="F129">
        <f>17.142-17.128</f>
        <v>0.014</v>
      </c>
      <c r="G129">
        <f t="shared" si="27"/>
        <v>0.0218</v>
      </c>
    </row>
    <row r="130">
      <c r="A130" s="19" t="s">
        <v>10</v>
      </c>
      <c r="B130">
        <f t="shared" ref="B130:F130" si="28">(B128-B127)/B129</f>
        <v>321.425</v>
      </c>
      <c r="C130">
        <f t="shared" si="28"/>
        <v>759.9923077</v>
      </c>
      <c r="D130">
        <f t="shared" si="28"/>
        <v>452.7269231</v>
      </c>
      <c r="E130">
        <f t="shared" si="28"/>
        <v>228.2107214</v>
      </c>
      <c r="F130">
        <f t="shared" si="28"/>
        <v>702.1357143</v>
      </c>
      <c r="G130">
        <f t="shared" si="27"/>
        <v>492.8981333</v>
      </c>
    </row>
    <row r="131">
      <c r="A131" s="12" t="s">
        <v>22</v>
      </c>
      <c r="B131" s="13">
        <f>(B130-G130)^2</f>
        <v>29403.03544</v>
      </c>
      <c r="C131" s="13">
        <f>(C130-G130)^2</f>
        <v>71339.298</v>
      </c>
      <c r="D131" s="13">
        <f>(D130-G130)^2</f>
        <v>1613.726131</v>
      </c>
      <c r="E131" s="13">
        <f>(E130-G130)^2</f>
        <v>70059.426</v>
      </c>
      <c r="F131" s="13">
        <f>(F130-G130)^2</f>
        <v>43780.3653</v>
      </c>
      <c r="G131" s="13">
        <f>SUM(B131:F131)</f>
        <v>216195.8509</v>
      </c>
    </row>
    <row r="132">
      <c r="A132" s="19" t="s">
        <v>12</v>
      </c>
      <c r="B132" s="19">
        <v>0.04632</v>
      </c>
      <c r="C132" s="19">
        <v>-0.01368</v>
      </c>
      <c r="D132" s="19">
        <v>-0.02368</v>
      </c>
      <c r="E132" s="19">
        <v>0.07632</v>
      </c>
      <c r="F132" s="19">
        <v>-0.03368</v>
      </c>
      <c r="G132">
        <f t="shared" ref="G132:G135" si="29">SUM(B132:F132)/5</f>
        <v>0.01032</v>
      </c>
    </row>
    <row r="133">
      <c r="A133" s="19" t="s">
        <v>13</v>
      </c>
      <c r="B133" s="19">
        <v>6.946</v>
      </c>
      <c r="C133" s="19">
        <v>8.276</v>
      </c>
      <c r="D133" s="19">
        <v>8.986</v>
      </c>
      <c r="E133" s="19">
        <v>5.946</v>
      </c>
      <c r="F133" s="19">
        <v>8.476</v>
      </c>
      <c r="G133">
        <f t="shared" si="29"/>
        <v>7.726</v>
      </c>
    </row>
    <row r="134">
      <c r="A134" s="20" t="s">
        <v>14</v>
      </c>
      <c r="B134">
        <f>0.69-0.663</f>
        <v>0.027</v>
      </c>
      <c r="C134">
        <f>4.804-4.778</f>
        <v>0.026</v>
      </c>
      <c r="D134">
        <f>8.933-8.905</f>
        <v>0.028</v>
      </c>
      <c r="E134">
        <f>13.061-13.027</f>
        <v>0.034</v>
      </c>
      <c r="F134">
        <f>17.176-17.149</f>
        <v>0.027</v>
      </c>
      <c r="G134">
        <f t="shared" si="29"/>
        <v>0.0284</v>
      </c>
    </row>
    <row r="135">
      <c r="A135" s="19" t="s">
        <v>15</v>
      </c>
      <c r="B135">
        <f t="shared" ref="B135:F135" si="30">(B133-B132)/B134</f>
        <v>255.5437037</v>
      </c>
      <c r="C135">
        <f t="shared" si="30"/>
        <v>318.8338462</v>
      </c>
      <c r="D135">
        <f t="shared" si="30"/>
        <v>321.7742857</v>
      </c>
      <c r="E135">
        <f t="shared" si="30"/>
        <v>172.6376471</v>
      </c>
      <c r="F135">
        <f t="shared" si="30"/>
        <v>315.1733333</v>
      </c>
      <c r="G135">
        <f t="shared" si="29"/>
        <v>276.7925632</v>
      </c>
    </row>
    <row r="136">
      <c r="A136" s="12" t="s">
        <v>38</v>
      </c>
      <c r="B136" s="13">
        <f>(B135-G135)^2</f>
        <v>451.5140296</v>
      </c>
      <c r="C136" s="13">
        <f>(C135-G135)^2</f>
        <v>1767.469473</v>
      </c>
      <c r="D136" s="13">
        <f>(D135-G135)^2</f>
        <v>2023.355361</v>
      </c>
      <c r="E136" s="13">
        <f>(E135-G135)^2</f>
        <v>10848.24655</v>
      </c>
      <c r="F136" s="13">
        <f>(F135-G135)^2</f>
        <v>1473.083517</v>
      </c>
      <c r="G136" s="13">
        <f>SUM(B136:F136)</f>
        <v>16563.66894</v>
      </c>
    </row>
    <row r="139">
      <c r="A139" s="1"/>
      <c r="B139" s="22" t="s">
        <v>41</v>
      </c>
      <c r="C139" s="23"/>
      <c r="D139" s="23"/>
      <c r="E139" s="23"/>
      <c r="F139" s="23"/>
      <c r="G139" s="24"/>
      <c r="H139" s="29" t="s">
        <v>1</v>
      </c>
    </row>
    <row r="140">
      <c r="A140" s="8"/>
      <c r="B140" s="7">
        <v>1.0</v>
      </c>
      <c r="C140" s="7">
        <v>2.0</v>
      </c>
      <c r="D140" s="7">
        <v>3.0</v>
      </c>
      <c r="E140" s="7">
        <v>4.0</v>
      </c>
      <c r="F140" s="7">
        <v>5.0</v>
      </c>
      <c r="G140" s="7" t="s">
        <v>2</v>
      </c>
      <c r="H140" s="8"/>
    </row>
    <row r="141">
      <c r="A141" s="9" t="s">
        <v>18</v>
      </c>
      <c r="B141" s="11">
        <f>0.623-0.588</f>
        <v>0.035</v>
      </c>
      <c r="C141" s="6">
        <f>4.738-4.704</f>
        <v>0.034</v>
      </c>
      <c r="D141" s="32">
        <f>8.867-8.832</f>
        <v>0.035</v>
      </c>
      <c r="E141" s="6">
        <f>12.996-12.948</f>
        <v>0.048</v>
      </c>
      <c r="F141" s="6">
        <f>17.085-17.064</f>
        <v>0.021</v>
      </c>
      <c r="G141" s="6">
        <f>SUM(B141:F141)/5</f>
        <v>0.0346</v>
      </c>
      <c r="H141" s="6">
        <f>G141*1000</f>
        <v>34.6</v>
      </c>
    </row>
    <row r="142">
      <c r="A142" s="12" t="s">
        <v>4</v>
      </c>
      <c r="B142" s="13">
        <f>(B141-G141)^2</f>
        <v>0.00000016</v>
      </c>
      <c r="C142" s="13">
        <f>(C141-G141)^2</f>
        <v>0.00000036</v>
      </c>
      <c r="D142" s="13">
        <f>(D141-G141)^2</f>
        <v>0.00000016</v>
      </c>
      <c r="E142" s="13">
        <f>(E141-G141)^2</f>
        <v>0.00017956</v>
      </c>
      <c r="F142" s="13">
        <f>(F141-G141)^2</f>
        <v>0.00018496</v>
      </c>
      <c r="G142" s="13">
        <f>SQRT((B142+C142+D142+E142+F142)/5)</f>
        <v>0.008546344248</v>
      </c>
    </row>
    <row r="143">
      <c r="A143" s="9" t="s">
        <v>19</v>
      </c>
      <c r="B143" s="16">
        <f>0.65-0.616</f>
        <v>0.034</v>
      </c>
      <c r="C143" s="15">
        <f>4.765-4.731</f>
        <v>0.034</v>
      </c>
      <c r="D143" s="28">
        <f>8.894-8.86</f>
        <v>0.034</v>
      </c>
      <c r="E143" s="15">
        <f>13.024-12.99</f>
        <v>0.034</v>
      </c>
      <c r="F143" s="15">
        <f>17.126-17.091</f>
        <v>0.035</v>
      </c>
      <c r="G143" s="15">
        <f>SUM(B143:F143)/5</f>
        <v>0.0342</v>
      </c>
      <c r="H143" s="15">
        <f>G143*1000</f>
        <v>34.2</v>
      </c>
    </row>
    <row r="144">
      <c r="A144" s="12" t="s">
        <v>6</v>
      </c>
      <c r="B144" s="13">
        <f>(B143-G143)^2</f>
        <v>0.00000004</v>
      </c>
      <c r="C144" s="13">
        <f>(C143-G143)^2</f>
        <v>0.00000004</v>
      </c>
      <c r="D144" s="13">
        <f>(D143-G143)^2</f>
        <v>0.00000004</v>
      </c>
      <c r="E144" s="13">
        <f>(E143-G143)^2</f>
        <v>0.00000004</v>
      </c>
      <c r="F144" s="13">
        <f>(F143-G143)^2</f>
        <v>0.00000064</v>
      </c>
      <c r="G144" s="13">
        <f>SQRT((B144+C144+D144+E144+F144)/5)</f>
        <v>0.0004</v>
      </c>
    </row>
    <row r="145">
      <c r="A145" s="19" t="s">
        <v>7</v>
      </c>
      <c r="B145" s="19">
        <v>-0.02421</v>
      </c>
      <c r="C145" s="19">
        <v>-0.04421</v>
      </c>
      <c r="D145" s="19">
        <v>0.02579</v>
      </c>
      <c r="E145" s="19">
        <v>-0.05421</v>
      </c>
      <c r="F145" s="19">
        <v>-0.09421</v>
      </c>
      <c r="G145">
        <f t="shared" ref="G145:G148" si="31">SUM(B145:F145)/5</f>
        <v>-0.03821</v>
      </c>
    </row>
    <row r="146">
      <c r="A146" s="19" t="s">
        <v>8</v>
      </c>
      <c r="B146" s="19">
        <v>9.646</v>
      </c>
      <c r="C146" s="19">
        <v>7.706</v>
      </c>
      <c r="D146" s="19">
        <v>11.09</v>
      </c>
      <c r="E146" s="19">
        <v>5.676</v>
      </c>
      <c r="F146" s="19">
        <v>9.766</v>
      </c>
      <c r="G146">
        <f t="shared" si="31"/>
        <v>8.7768</v>
      </c>
    </row>
    <row r="147">
      <c r="A147" s="19" t="s">
        <v>9</v>
      </c>
      <c r="B147">
        <f>0.616-0.588</f>
        <v>0.028</v>
      </c>
      <c r="C147">
        <f>4.731-4.704</f>
        <v>0.027</v>
      </c>
      <c r="D147">
        <f>8.86-8.832</f>
        <v>0.028</v>
      </c>
      <c r="E147">
        <f>12.99-12.948</f>
        <v>0.042</v>
      </c>
      <c r="F147">
        <f>17.091-17.064</f>
        <v>0.027</v>
      </c>
      <c r="G147">
        <f t="shared" si="31"/>
        <v>0.0304</v>
      </c>
    </row>
    <row r="148">
      <c r="A148" s="19" t="s">
        <v>10</v>
      </c>
      <c r="B148">
        <f t="shared" ref="B148:F148" si="32">(B146-B145)/B147</f>
        <v>345.3646429</v>
      </c>
      <c r="C148">
        <f t="shared" si="32"/>
        <v>287.0448148</v>
      </c>
      <c r="D148">
        <f t="shared" si="32"/>
        <v>395.1503571</v>
      </c>
      <c r="E148">
        <f t="shared" si="32"/>
        <v>136.4335714</v>
      </c>
      <c r="F148">
        <f t="shared" si="32"/>
        <v>365.192963</v>
      </c>
      <c r="G148">
        <f t="shared" si="31"/>
        <v>305.8372698</v>
      </c>
    </row>
    <row r="149">
      <c r="A149" s="12" t="s">
        <v>22</v>
      </c>
      <c r="B149" s="13">
        <f>(B148-G148)^2</f>
        <v>1562.413218</v>
      </c>
      <c r="C149" s="13">
        <f>(C148-G148)^2</f>
        <v>353.1563659</v>
      </c>
      <c r="D149" s="13">
        <f>(D148-G148)^2</f>
        <v>7976.827563</v>
      </c>
      <c r="E149" s="13">
        <f>(E148-G148)^2</f>
        <v>28697.61304</v>
      </c>
      <c r="F149" s="13">
        <f>(F148-G148)^2</f>
        <v>3523.098306</v>
      </c>
      <c r="G149" s="13">
        <f>SUM(B149:F149)</f>
        <v>42113.10849</v>
      </c>
    </row>
    <row r="150">
      <c r="A150" s="19" t="s">
        <v>12</v>
      </c>
      <c r="B150" s="19">
        <v>0.623</v>
      </c>
      <c r="C150" s="19">
        <v>-0.1377</v>
      </c>
      <c r="D150" s="19">
        <v>-0.05772</v>
      </c>
      <c r="E150" s="19">
        <v>0.1223</v>
      </c>
      <c r="F150" s="19">
        <v>-0.08772</v>
      </c>
      <c r="G150">
        <f t="shared" ref="G150:G153" si="33">SUM(B150:F150)/5</f>
        <v>0.092432</v>
      </c>
    </row>
    <row r="151">
      <c r="A151" s="19" t="s">
        <v>13</v>
      </c>
      <c r="B151" s="19">
        <v>7.402</v>
      </c>
      <c r="C151" s="19">
        <v>7.002</v>
      </c>
      <c r="D151" s="19">
        <v>8.902</v>
      </c>
      <c r="E151" s="19">
        <v>5.412</v>
      </c>
      <c r="F151" s="19">
        <v>7.472</v>
      </c>
      <c r="G151">
        <f t="shared" si="33"/>
        <v>7.238</v>
      </c>
    </row>
    <row r="152">
      <c r="A152" s="20" t="s">
        <v>14</v>
      </c>
      <c r="B152">
        <f>0.65-0.623</f>
        <v>0.027</v>
      </c>
      <c r="C152">
        <f>4.765-4.738</f>
        <v>0.027</v>
      </c>
      <c r="D152">
        <f>8.894-8.867</f>
        <v>0.027</v>
      </c>
      <c r="E152">
        <f>13.024-12.996</f>
        <v>0.028</v>
      </c>
      <c r="F152">
        <f>17.126-17.085</f>
        <v>0.041</v>
      </c>
      <c r="G152">
        <f t="shared" si="33"/>
        <v>0.03</v>
      </c>
    </row>
    <row r="153">
      <c r="A153" s="19" t="s">
        <v>15</v>
      </c>
      <c r="B153">
        <f t="shared" ref="B153:F153" si="34">(B151-B150)/B152</f>
        <v>251.0740741</v>
      </c>
      <c r="C153">
        <f t="shared" si="34"/>
        <v>264.4333333</v>
      </c>
      <c r="D153">
        <f t="shared" si="34"/>
        <v>331.8414815</v>
      </c>
      <c r="E153">
        <f t="shared" si="34"/>
        <v>188.9178571</v>
      </c>
      <c r="F153">
        <f t="shared" si="34"/>
        <v>184.3834146</v>
      </c>
      <c r="G153">
        <f t="shared" si="33"/>
        <v>244.1300321</v>
      </c>
    </row>
    <row r="154">
      <c r="A154" s="12" t="s">
        <v>26</v>
      </c>
      <c r="B154" s="13">
        <f>(B153-G153)^2</f>
        <v>48.21971848</v>
      </c>
      <c r="C154" s="13">
        <f>(C153-G153)^2</f>
        <v>412.2240396</v>
      </c>
      <c r="D154" s="13">
        <f>(D153-G153)^2</f>
        <v>7693.298347</v>
      </c>
      <c r="E154" s="13">
        <f>(E153-G153)^2</f>
        <v>3048.384267</v>
      </c>
      <c r="F154" s="13">
        <f>(F153-G153)^2</f>
        <v>3569.658303</v>
      </c>
      <c r="G154" s="13">
        <f>SUM(B154:F154)</f>
        <v>14771.78467</v>
      </c>
    </row>
    <row r="159">
      <c r="F159" s="19" t="s">
        <v>42</v>
      </c>
      <c r="G159">
        <f>(SUM(B87:F87)+SUM(B105:E105)+SUM(B123:F123)+SUM(B141:F141))/19</f>
        <v>0.03357894737</v>
      </c>
      <c r="H159">
        <f t="shared" ref="H159:H160" si="35">G159*1000</f>
        <v>33.57894737</v>
      </c>
    </row>
    <row r="160">
      <c r="F160" s="19" t="s">
        <v>43</v>
      </c>
      <c r="G160">
        <f>(SUM(B89:F89)+SUM(B107:F107)+SUM(B125:F125)+SUM(B143:F143))/19</f>
        <v>0.03507894737</v>
      </c>
      <c r="H160">
        <f t="shared" si="35"/>
        <v>35.07894737</v>
      </c>
    </row>
    <row r="161">
      <c r="F161" s="19" t="s">
        <v>30</v>
      </c>
      <c r="G161">
        <f>(SUM(B94:F94)+SUM(B112:E112)+SUM(B130:F130)+SUM(B148:F148))/19</f>
        <v>332.918422</v>
      </c>
    </row>
    <row r="162">
      <c r="F162" s="19" t="s">
        <v>32</v>
      </c>
      <c r="G162">
        <f>(SUM(B99:F99)+SUM(B117:E117)+SUM(B135:F135)+SUM(B153:F153))/19</f>
        <v>248.7013714</v>
      </c>
    </row>
    <row r="164">
      <c r="F164" s="19" t="s">
        <v>44</v>
      </c>
    </row>
    <row r="168">
      <c r="A168" s="34"/>
      <c r="B168" s="9" t="s">
        <v>45</v>
      </c>
      <c r="C168" s="9" t="s">
        <v>46</v>
      </c>
      <c r="D168" s="9" t="s">
        <v>47</v>
      </c>
      <c r="E168" s="9" t="s">
        <v>48</v>
      </c>
      <c r="F168" s="9" t="s">
        <v>49</v>
      </c>
      <c r="G168" s="9" t="s">
        <v>50</v>
      </c>
    </row>
    <row r="169">
      <c r="A169" s="9" t="s">
        <v>51</v>
      </c>
      <c r="B169" s="35">
        <v>29.29</v>
      </c>
      <c r="C169" s="36">
        <v>43.33</v>
      </c>
      <c r="D169" s="36">
        <v>33.24</v>
      </c>
      <c r="E169" s="36">
        <v>38.18</v>
      </c>
      <c r="F169" s="36">
        <v>317.56</v>
      </c>
      <c r="G169" s="37">
        <v>223.18</v>
      </c>
    </row>
    <row r="170">
      <c r="A170" s="9" t="s">
        <v>52</v>
      </c>
      <c r="B170" s="35">
        <f>SQRT((SUM(B4:D4+B22:E22+B40:F40+B58:F58))/17)</f>
        <v>0.002453702018</v>
      </c>
      <c r="C170" s="38"/>
      <c r="D170" s="36">
        <f>SQRT((SUM(B6:D6+B24:E24+B42:F42+B60:F60))/17)</f>
        <v>0.0009666328594</v>
      </c>
      <c r="E170" s="38"/>
      <c r="F170" s="36">
        <f>SQRT((SUM(E11+F29+G47+G65))/17)</f>
        <v>53.5262809</v>
      </c>
      <c r="G170" s="37">
        <f>SQRT((SUM(E16+F34+G52+G70))/17)</f>
        <v>40.83484108</v>
      </c>
    </row>
    <row r="171">
      <c r="A171" s="9" t="s">
        <v>53</v>
      </c>
      <c r="B171" s="39">
        <v>33.58</v>
      </c>
      <c r="C171" s="40">
        <v>37.79</v>
      </c>
      <c r="D171" s="40">
        <v>35.08</v>
      </c>
      <c r="E171" s="40">
        <v>36.17</v>
      </c>
      <c r="F171" s="40">
        <v>332.92</v>
      </c>
      <c r="G171" s="41">
        <v>248.7</v>
      </c>
    </row>
    <row r="172">
      <c r="A172" s="9" t="s">
        <v>52</v>
      </c>
      <c r="B172" s="42">
        <f>SQRT((SUM(B88:F88+B106:E106+B124:F124+B142:F142))/19)</f>
        <v>0.004009610166</v>
      </c>
      <c r="C172" s="43"/>
      <c r="D172" s="42">
        <f>SQRT((SUM(B90:F90+B108:E108+B126:F126+B144:F144))/19)</f>
        <v>0.0008363454335</v>
      </c>
      <c r="E172" s="43"/>
      <c r="F172" s="42">
        <f>SQRT((SUM(G95+F113+G131+G149))/19)</f>
        <v>133.7366211</v>
      </c>
      <c r="G172" s="44">
        <f>SQRT((SUM(G100+F118+G136+G154))/19)</f>
        <v>55.97218856</v>
      </c>
    </row>
    <row r="173">
      <c r="A173" s="9" t="s">
        <v>54</v>
      </c>
      <c r="B173" s="45">
        <f t="shared" ref="B173:G173" si="36">-B169+B171</f>
        <v>4.29</v>
      </c>
      <c r="C173" s="45">
        <f t="shared" si="36"/>
        <v>-5.54</v>
      </c>
      <c r="D173" s="45">
        <f t="shared" si="36"/>
        <v>1.84</v>
      </c>
      <c r="E173" s="45">
        <f t="shared" si="36"/>
        <v>-2.01</v>
      </c>
      <c r="F173" s="45">
        <f t="shared" si="36"/>
        <v>15.36</v>
      </c>
      <c r="G173" s="16">
        <f t="shared" si="36"/>
        <v>25.52</v>
      </c>
    </row>
    <row r="174">
      <c r="A174" s="19" t="s">
        <v>55</v>
      </c>
    </row>
    <row r="176">
      <c r="B176" s="19">
        <f>SQRT((6.5^2)+(6.5^2))</f>
        <v>9.192388155</v>
      </c>
      <c r="C176" s="19">
        <f>SQRT(((SQRT((6.5^2)+(6.5^2))/40)^2)+(0.0005/1.269)^2)</f>
        <v>0.2298100417</v>
      </c>
      <c r="D176" s="19">
        <f>SQRT((6.5^2)+(6.5^2))</f>
        <v>9.192388155</v>
      </c>
      <c r="E176" s="46">
        <f>SQRT(((SQRT((6.5^2)+(6.5^2))/40)^2)+(0.0005/1.269)^2)</f>
        <v>0.2298100417</v>
      </c>
      <c r="F176">
        <f t="shared" ref="F176:G176" si="37">SQRT(((0.0005/10)^2)+((SQRT((6.5^2)+(6.5^2)))^2/30))</f>
        <v>1.678292784</v>
      </c>
      <c r="G176">
        <f t="shared" si="37"/>
        <v>1.678292784</v>
      </c>
    </row>
    <row r="177">
      <c r="C177" s="19" t="s">
        <v>56</v>
      </c>
    </row>
    <row r="180">
      <c r="A180" s="34"/>
      <c r="B180" s="9" t="s">
        <v>45</v>
      </c>
      <c r="C180" s="9" t="s">
        <v>46</v>
      </c>
      <c r="D180" s="9" t="s">
        <v>47</v>
      </c>
      <c r="E180" s="9" t="s">
        <v>48</v>
      </c>
      <c r="F180" s="9" t="s">
        <v>49</v>
      </c>
      <c r="G180" s="9" t="s">
        <v>50</v>
      </c>
    </row>
    <row r="181">
      <c r="A181" s="9" t="s">
        <v>57</v>
      </c>
      <c r="B181" s="35" t="s">
        <v>58</v>
      </c>
      <c r="C181" s="36" t="s">
        <v>59</v>
      </c>
      <c r="D181" s="36" t="s">
        <v>60</v>
      </c>
      <c r="E181" s="36" t="s">
        <v>61</v>
      </c>
      <c r="F181" s="36" t="s">
        <v>62</v>
      </c>
      <c r="G181" s="37" t="s">
        <v>63</v>
      </c>
    </row>
    <row r="182">
      <c r="A182" s="9" t="s">
        <v>64</v>
      </c>
      <c r="B182" s="39" t="s">
        <v>65</v>
      </c>
      <c r="C182" s="40" t="s">
        <v>66</v>
      </c>
      <c r="D182" s="40" t="s">
        <v>67</v>
      </c>
      <c r="E182" s="40" t="s">
        <v>68</v>
      </c>
      <c r="F182" s="40" t="s">
        <v>69</v>
      </c>
      <c r="G182" s="41" t="s">
        <v>70</v>
      </c>
    </row>
    <row r="183">
      <c r="A183" s="9" t="s">
        <v>54</v>
      </c>
      <c r="B183" s="47">
        <v>4.29</v>
      </c>
      <c r="C183" s="47">
        <v>-5.54</v>
      </c>
      <c r="D183" s="47">
        <v>1.84</v>
      </c>
      <c r="E183" s="47">
        <v>-2.01</v>
      </c>
      <c r="F183" s="47">
        <v>15.36</v>
      </c>
      <c r="G183" s="48">
        <v>25.52</v>
      </c>
    </row>
    <row r="186">
      <c r="B186" s="19">
        <v>1.269</v>
      </c>
      <c r="C186" s="19">
        <v>1.269</v>
      </c>
      <c r="D186" s="19">
        <v>1.269</v>
      </c>
    </row>
    <row r="187">
      <c r="B187" s="19">
        <v>29.29</v>
      </c>
      <c r="C187" s="19">
        <f>B187+3</f>
        <v>32.29</v>
      </c>
      <c r="D187" s="19">
        <f>B187-3</f>
        <v>26.29</v>
      </c>
    </row>
    <row r="188">
      <c r="B188">
        <f>(B187-B187)^2</f>
        <v>0</v>
      </c>
      <c r="C188">
        <f>(C187-B187)^2</f>
        <v>9</v>
      </c>
      <c r="D188">
        <f>(D187-B187)^2</f>
        <v>9</v>
      </c>
      <c r="E188">
        <f>SQRT((SUM(B188:D188))/3)</f>
        <v>2.449489743</v>
      </c>
    </row>
    <row r="190">
      <c r="B190">
        <f t="shared" ref="B190:D190" si="38">B186/(B187/1000)</f>
        <v>43.32536702</v>
      </c>
      <c r="C190">
        <f t="shared" si="38"/>
        <v>39.30009291</v>
      </c>
      <c r="D190">
        <f t="shared" si="38"/>
        <v>48.26930392</v>
      </c>
      <c r="E190">
        <f>SUM(B190:D190)/3</f>
        <v>43.63158795</v>
      </c>
    </row>
    <row r="191">
      <c r="B191">
        <f>(B190-B190)^2</f>
        <v>0</v>
      </c>
      <c r="C191">
        <f>(C190-B190)^2</f>
        <v>16.20283167</v>
      </c>
      <c r="D191">
        <f>(D190-B190)^2</f>
        <v>24.44251206</v>
      </c>
      <c r="E191">
        <f>SQRT((SUM(B191:D191))/3)</f>
        <v>3.680821635</v>
      </c>
    </row>
  </sheetData>
  <mergeCells count="24">
    <mergeCell ref="A121:A122"/>
    <mergeCell ref="B121:G121"/>
    <mergeCell ref="A139:A140"/>
    <mergeCell ref="B139:G139"/>
    <mergeCell ref="H139:H140"/>
    <mergeCell ref="H55:H56"/>
    <mergeCell ref="A55:A56"/>
    <mergeCell ref="B55:G55"/>
    <mergeCell ref="B103:F103"/>
    <mergeCell ref="A103:A104"/>
    <mergeCell ref="A85:A86"/>
    <mergeCell ref="H85:H86"/>
    <mergeCell ref="B85:G85"/>
    <mergeCell ref="G103:G104"/>
    <mergeCell ref="H121:H122"/>
    <mergeCell ref="B37:G37"/>
    <mergeCell ref="H37:H38"/>
    <mergeCell ref="A19:A20"/>
    <mergeCell ref="A1:A2"/>
    <mergeCell ref="B1:E1"/>
    <mergeCell ref="F1:F2"/>
    <mergeCell ref="B19:F19"/>
    <mergeCell ref="G19:G20"/>
    <mergeCell ref="A37:A38"/>
  </mergeCells>
  <drawing r:id="rId1"/>
</worksheet>
</file>