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5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6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6.xml" ContentType="application/vnd.openxmlformats-officedocument.drawing+xml"/>
  <Override PartName="/xl/charts/chart17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엑셀\Apr-25\"/>
    </mc:Choice>
  </mc:AlternateContent>
  <xr:revisionPtr revIDLastSave="0" documentId="13_ncr:1_{4892ED66-17B4-40C6-B460-3D6A119203E0}" xr6:coauthVersionLast="36" xr6:coauthVersionMax="36" xr10:uidLastSave="{00000000-0000-0000-0000-000000000000}"/>
  <bookViews>
    <workbookView xWindow="0" yWindow="0" windowWidth="21570" windowHeight="6525" activeTab="4" xr2:uid="{ECA2ADC7-3C4E-4E00-BB07-6A5400B3D2EF}"/>
  </bookViews>
  <sheets>
    <sheet name="시계열 이탈 첫구매" sheetId="2" r:id="rId1"/>
    <sheet name="마진계산기" sheetId="12" r:id="rId2"/>
    <sheet name="정책 시뮬레이션" sheetId="27" r:id="rId3"/>
    <sheet name="재산코호트-25년가입자" sheetId="11" r:id="rId4"/>
    <sheet name="첫구매-리워드횟수" sheetId="13" r:id="rId5"/>
    <sheet name="재구매 통계" sheetId="15" r:id="rId6"/>
    <sheet name="수익타겟" sheetId="21" r:id="rId7"/>
    <sheet name="수익타겟r" sheetId="23" r:id="rId8"/>
    <sheet name="재산코호트-25년전체" sheetId="10" state="hidden" r:id="rId9"/>
    <sheet name="0426기준 재산현황" sheetId="24" r:id="rId10"/>
    <sheet name="쿼리" sheetId="8" r:id="rId11"/>
  </sheets>
  <definedNames>
    <definedName name="_xlchart.v1.0" hidden="1">'정책 시뮬레이션'!$J$42:$J$1441</definedName>
    <definedName name="_xlchart.v1.1" hidden="1">'정책 시뮬레이션'!$J$42:$J$241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2" i="13" l="1"/>
  <c r="AQ46" i="13"/>
  <c r="AQ27" i="13"/>
  <c r="AQ5" i="13"/>
  <c r="AP46" i="13"/>
  <c r="AP27" i="13"/>
  <c r="AP5" i="13"/>
  <c r="AO46" i="13"/>
  <c r="AN46" i="13"/>
  <c r="AM46" i="13"/>
  <c r="AL46" i="13"/>
  <c r="AK46" i="13"/>
  <c r="AN27" i="13"/>
  <c r="AO27" i="13"/>
  <c r="AM27" i="13"/>
  <c r="AL27" i="13"/>
  <c r="AK27" i="13"/>
  <c r="AN5" i="13"/>
  <c r="AM5" i="13"/>
  <c r="AO5" i="13"/>
  <c r="AL5" i="13"/>
  <c r="AK5" i="13"/>
  <c r="K2" i="13"/>
  <c r="J80" i="13"/>
  <c r="J79" i="13"/>
  <c r="J78" i="13"/>
  <c r="A2" i="13"/>
  <c r="N100" i="12"/>
  <c r="T18" i="12"/>
  <c r="Y69" i="27"/>
  <c r="Y68" i="27"/>
  <c r="Y67" i="27"/>
  <c r="Y66" i="27"/>
  <c r="Y65" i="27"/>
  <c r="Y64" i="27"/>
  <c r="Y63" i="27"/>
  <c r="Y62" i="27"/>
  <c r="Y61" i="27"/>
  <c r="Y60" i="27"/>
  <c r="Y59" i="27"/>
  <c r="Y58" i="27"/>
  <c r="Y57" i="27"/>
  <c r="Y56" i="27"/>
  <c r="Y55" i="27"/>
  <c r="Y54" i="27"/>
  <c r="Y53" i="27"/>
  <c r="Y52" i="27"/>
  <c r="Y51" i="27"/>
  <c r="Y50" i="27"/>
  <c r="Y49" i="27"/>
  <c r="Y48" i="27"/>
  <c r="Y47" i="27"/>
  <c r="Y46" i="27"/>
  <c r="Y45" i="27"/>
  <c r="Y44" i="27"/>
  <c r="Y43" i="27"/>
  <c r="Y42" i="27"/>
  <c r="X69" i="27"/>
  <c r="X68" i="27"/>
  <c r="X67" i="27"/>
  <c r="X66" i="27"/>
  <c r="X65" i="27"/>
  <c r="X64" i="27"/>
  <c r="X63" i="27"/>
  <c r="X62" i="27"/>
  <c r="X61" i="27"/>
  <c r="X60" i="27"/>
  <c r="X59" i="27"/>
  <c r="X58" i="27"/>
  <c r="X57" i="27"/>
  <c r="X56" i="27"/>
  <c r="X55" i="27"/>
  <c r="X54" i="27"/>
  <c r="X53" i="27"/>
  <c r="X52" i="27"/>
  <c r="X51" i="27"/>
  <c r="X50" i="27"/>
  <c r="X49" i="27"/>
  <c r="X48" i="27"/>
  <c r="X47" i="27"/>
  <c r="X46" i="27"/>
  <c r="X45" i="27"/>
  <c r="X44" i="27"/>
  <c r="X43" i="27"/>
  <c r="X42" i="27"/>
  <c r="D241" i="27"/>
  <c r="D240" i="27"/>
  <c r="D239" i="27"/>
  <c r="D238" i="27"/>
  <c r="D237" i="27"/>
  <c r="D236" i="27"/>
  <c r="D235" i="27"/>
  <c r="D234" i="27"/>
  <c r="D233" i="27"/>
  <c r="D232" i="27"/>
  <c r="D231" i="27"/>
  <c r="D230" i="27"/>
  <c r="D229" i="27"/>
  <c r="D228" i="27"/>
  <c r="D227" i="27"/>
  <c r="D226" i="27"/>
  <c r="D225" i="27"/>
  <c r="D224" i="27"/>
  <c r="D223" i="27"/>
  <c r="D222" i="27"/>
  <c r="D221" i="27"/>
  <c r="D220" i="27"/>
  <c r="D219" i="27"/>
  <c r="D218" i="27"/>
  <c r="D217" i="27"/>
  <c r="D216" i="27"/>
  <c r="D215" i="27"/>
  <c r="D214" i="27"/>
  <c r="D213" i="27"/>
  <c r="D212" i="27"/>
  <c r="D211" i="27"/>
  <c r="D210" i="27"/>
  <c r="D209" i="27"/>
  <c r="D208" i="27"/>
  <c r="D207" i="27"/>
  <c r="D206" i="27"/>
  <c r="D205" i="27"/>
  <c r="D204" i="27"/>
  <c r="D203" i="27"/>
  <c r="D202" i="27"/>
  <c r="D201" i="27"/>
  <c r="D200" i="27"/>
  <c r="D199" i="27"/>
  <c r="D198" i="27"/>
  <c r="D197" i="27"/>
  <c r="D196" i="27"/>
  <c r="D195" i="27"/>
  <c r="D194" i="27"/>
  <c r="D193" i="27"/>
  <c r="D192" i="27"/>
  <c r="D191" i="27"/>
  <c r="D190" i="27"/>
  <c r="D189" i="27"/>
  <c r="D188" i="27"/>
  <c r="D187" i="27"/>
  <c r="D186" i="27"/>
  <c r="D185" i="27"/>
  <c r="D184" i="27"/>
  <c r="D183" i="27"/>
  <c r="D182" i="27"/>
  <c r="D181" i="27"/>
  <c r="D180" i="27"/>
  <c r="D179" i="27"/>
  <c r="D178" i="27"/>
  <c r="D177" i="27"/>
  <c r="D176" i="27"/>
  <c r="D175" i="27"/>
  <c r="D174" i="27"/>
  <c r="D173" i="27"/>
  <c r="D172" i="27"/>
  <c r="D171" i="27"/>
  <c r="D170" i="27"/>
  <c r="D169" i="27"/>
  <c r="D168" i="27"/>
  <c r="D167" i="27"/>
  <c r="D166" i="27"/>
  <c r="D165" i="27"/>
  <c r="D164" i="27"/>
  <c r="D163" i="27"/>
  <c r="D162" i="27"/>
  <c r="D161" i="27"/>
  <c r="D160" i="27"/>
  <c r="D159" i="27"/>
  <c r="D158" i="27"/>
  <c r="D157" i="27"/>
  <c r="D156" i="27"/>
  <c r="D155" i="27"/>
  <c r="D154" i="27"/>
  <c r="D153" i="27"/>
  <c r="D152" i="27"/>
  <c r="D151" i="27"/>
  <c r="D150" i="27"/>
  <c r="D149" i="27"/>
  <c r="D148" i="27"/>
  <c r="D147" i="27"/>
  <c r="D146" i="27"/>
  <c r="D145" i="27"/>
  <c r="D144" i="27"/>
  <c r="D143" i="27"/>
  <c r="D142" i="27"/>
  <c r="D141" i="27"/>
  <c r="D140" i="27"/>
  <c r="D139" i="27"/>
  <c r="D138" i="27"/>
  <c r="D137" i="27"/>
  <c r="D136" i="27"/>
  <c r="D135" i="27"/>
  <c r="D134" i="27"/>
  <c r="D133" i="27"/>
  <c r="D132" i="27"/>
  <c r="D131" i="27"/>
  <c r="D130" i="27"/>
  <c r="D129" i="27"/>
  <c r="D128" i="27"/>
  <c r="D127" i="27"/>
  <c r="D126" i="27"/>
  <c r="D125" i="27"/>
  <c r="D124" i="27"/>
  <c r="D123" i="27"/>
  <c r="D122" i="27"/>
  <c r="D121" i="27"/>
  <c r="D120" i="27"/>
  <c r="D119" i="27"/>
  <c r="D118" i="27"/>
  <c r="D117" i="27"/>
  <c r="D116" i="27"/>
  <c r="D115" i="27"/>
  <c r="D114" i="27"/>
  <c r="D113" i="27"/>
  <c r="D112" i="27"/>
  <c r="D111" i="27"/>
  <c r="D110" i="27"/>
  <c r="D109" i="27"/>
  <c r="D108" i="27"/>
  <c r="D107" i="27"/>
  <c r="D106" i="27"/>
  <c r="D105" i="27"/>
  <c r="D104" i="27"/>
  <c r="D103" i="27"/>
  <c r="D102" i="27"/>
  <c r="D101" i="27"/>
  <c r="D100" i="27"/>
  <c r="D99" i="27"/>
  <c r="D98" i="27"/>
  <c r="D97" i="27"/>
  <c r="D96" i="27"/>
  <c r="D95" i="27"/>
  <c r="D94" i="27"/>
  <c r="D93" i="27"/>
  <c r="D92" i="27"/>
  <c r="D91" i="27"/>
  <c r="D90" i="27"/>
  <c r="D89" i="27"/>
  <c r="D88" i="27"/>
  <c r="D87" i="27"/>
  <c r="D86" i="27"/>
  <c r="D85" i="27"/>
  <c r="D84" i="27"/>
  <c r="D83" i="27"/>
  <c r="D82" i="27"/>
  <c r="D81" i="27"/>
  <c r="D80" i="27"/>
  <c r="D79" i="27"/>
  <c r="D78" i="27"/>
  <c r="D77" i="27"/>
  <c r="D76" i="27"/>
  <c r="D75" i="27"/>
  <c r="D74" i="27"/>
  <c r="D73" i="27"/>
  <c r="D72" i="27"/>
  <c r="D71" i="27"/>
  <c r="D70" i="27"/>
  <c r="D69" i="27"/>
  <c r="D68" i="27"/>
  <c r="D67" i="27"/>
  <c r="D66" i="27"/>
  <c r="D65" i="27"/>
  <c r="D64" i="27"/>
  <c r="D63" i="27"/>
  <c r="D62" i="27"/>
  <c r="D61" i="27"/>
  <c r="D60" i="27"/>
  <c r="D59" i="27"/>
  <c r="D58" i="27"/>
  <c r="D57" i="27"/>
  <c r="D56" i="27"/>
  <c r="D55" i="27"/>
  <c r="D54" i="27"/>
  <c r="D53" i="27"/>
  <c r="D52" i="27"/>
  <c r="D51" i="27"/>
  <c r="D50" i="27"/>
  <c r="D49" i="27"/>
  <c r="D48" i="27"/>
  <c r="D47" i="27"/>
  <c r="D46" i="27"/>
  <c r="D45" i="27"/>
  <c r="D44" i="27"/>
  <c r="D43" i="27"/>
  <c r="D42" i="27"/>
  <c r="S69" i="27"/>
  <c r="S68" i="27"/>
  <c r="S67" i="27"/>
  <c r="S66" i="27"/>
  <c r="S65" i="27"/>
  <c r="S64" i="27"/>
  <c r="S63" i="27"/>
  <c r="S62" i="27"/>
  <c r="S61" i="27"/>
  <c r="S60" i="27"/>
  <c r="S59" i="27"/>
  <c r="S58" i="27"/>
  <c r="S57" i="27"/>
  <c r="S56" i="27"/>
  <c r="S55" i="27"/>
  <c r="S54" i="27"/>
  <c r="S53" i="27"/>
  <c r="S52" i="27"/>
  <c r="S51" i="27"/>
  <c r="S50" i="27"/>
  <c r="S49" i="27"/>
  <c r="S48" i="27"/>
  <c r="S47" i="27"/>
  <c r="S46" i="27"/>
  <c r="S45" i="27"/>
  <c r="S44" i="27"/>
  <c r="S43" i="27"/>
  <c r="B241" i="27"/>
  <c r="B240" i="27"/>
  <c r="B239" i="27"/>
  <c r="B238" i="27"/>
  <c r="B237" i="27"/>
  <c r="B236" i="27"/>
  <c r="B235" i="27"/>
  <c r="B234" i="27"/>
  <c r="B233" i="27"/>
  <c r="B232" i="27"/>
  <c r="B231" i="27"/>
  <c r="B230" i="27"/>
  <c r="B229" i="27"/>
  <c r="B228" i="27"/>
  <c r="B227" i="27"/>
  <c r="B226" i="27"/>
  <c r="B225" i="27"/>
  <c r="B224" i="27"/>
  <c r="B223" i="27"/>
  <c r="B222" i="27"/>
  <c r="B221" i="27"/>
  <c r="B220" i="27"/>
  <c r="B219" i="27"/>
  <c r="B218" i="27"/>
  <c r="B217" i="27"/>
  <c r="B216" i="27"/>
  <c r="B215" i="27"/>
  <c r="B214" i="27"/>
  <c r="B213" i="27"/>
  <c r="B212" i="27"/>
  <c r="B211" i="27"/>
  <c r="B210" i="27"/>
  <c r="B209" i="27"/>
  <c r="B208" i="27"/>
  <c r="B207" i="27"/>
  <c r="B206" i="27"/>
  <c r="B205" i="27"/>
  <c r="B204" i="27"/>
  <c r="B203" i="27"/>
  <c r="B202" i="27"/>
  <c r="B201" i="27"/>
  <c r="B200" i="27"/>
  <c r="B199" i="27"/>
  <c r="B198" i="27"/>
  <c r="B197" i="27"/>
  <c r="B196" i="27"/>
  <c r="B195" i="27"/>
  <c r="B194" i="27"/>
  <c r="B193" i="27"/>
  <c r="B192" i="27"/>
  <c r="B191" i="27"/>
  <c r="B190" i="27"/>
  <c r="B189" i="27"/>
  <c r="B188" i="27"/>
  <c r="B187" i="27"/>
  <c r="B186" i="27"/>
  <c r="B185" i="27"/>
  <c r="B184" i="27"/>
  <c r="B183" i="27"/>
  <c r="B182" i="27"/>
  <c r="B181" i="27"/>
  <c r="B180" i="27"/>
  <c r="B179" i="27"/>
  <c r="B178" i="27"/>
  <c r="B177" i="27"/>
  <c r="B176" i="27"/>
  <c r="B175" i="27"/>
  <c r="B174" i="27"/>
  <c r="B173" i="27"/>
  <c r="B172" i="27"/>
  <c r="B171" i="27"/>
  <c r="B170" i="27"/>
  <c r="B169" i="27"/>
  <c r="B168" i="27"/>
  <c r="B167" i="27"/>
  <c r="B166" i="27"/>
  <c r="B165" i="27"/>
  <c r="B164" i="27"/>
  <c r="B163" i="27"/>
  <c r="B162" i="27"/>
  <c r="B161" i="27"/>
  <c r="B160" i="27"/>
  <c r="B159" i="27"/>
  <c r="B158" i="27"/>
  <c r="B157" i="27"/>
  <c r="B156" i="27"/>
  <c r="B155" i="27"/>
  <c r="B154" i="27"/>
  <c r="B153" i="27"/>
  <c r="B152" i="27"/>
  <c r="B151" i="27"/>
  <c r="B150" i="27"/>
  <c r="B149" i="27"/>
  <c r="B148" i="27"/>
  <c r="B147" i="27"/>
  <c r="B146" i="27"/>
  <c r="B145" i="27"/>
  <c r="B144" i="27"/>
  <c r="B143" i="27"/>
  <c r="B142" i="27"/>
  <c r="B141" i="27"/>
  <c r="B140" i="27"/>
  <c r="B139" i="27"/>
  <c r="B138" i="27"/>
  <c r="B137" i="27"/>
  <c r="B136" i="27"/>
  <c r="B135" i="27"/>
  <c r="B134" i="27"/>
  <c r="B133" i="27"/>
  <c r="B132" i="27"/>
  <c r="B131" i="27"/>
  <c r="B130" i="27"/>
  <c r="B129" i="27"/>
  <c r="B128" i="27"/>
  <c r="B127" i="27"/>
  <c r="B126" i="27"/>
  <c r="B125" i="27"/>
  <c r="B124" i="27"/>
  <c r="B123" i="27"/>
  <c r="B122" i="27"/>
  <c r="B121" i="27"/>
  <c r="B120" i="27"/>
  <c r="B119" i="27"/>
  <c r="B118" i="27"/>
  <c r="B117" i="27"/>
  <c r="B116" i="27"/>
  <c r="B115" i="27"/>
  <c r="B114" i="27"/>
  <c r="B113" i="27"/>
  <c r="B112" i="27"/>
  <c r="B111" i="27"/>
  <c r="B110" i="27"/>
  <c r="B109" i="27"/>
  <c r="B108" i="27"/>
  <c r="B107" i="27"/>
  <c r="B106" i="27"/>
  <c r="B105" i="27"/>
  <c r="B104" i="27"/>
  <c r="B103" i="27"/>
  <c r="B102" i="27"/>
  <c r="B101" i="27"/>
  <c r="B100" i="27"/>
  <c r="B99" i="27"/>
  <c r="B98" i="27"/>
  <c r="B97" i="27"/>
  <c r="B96" i="27"/>
  <c r="B95" i="27"/>
  <c r="B94" i="27"/>
  <c r="B93" i="27"/>
  <c r="B92" i="27"/>
  <c r="B91" i="27"/>
  <c r="B90" i="27"/>
  <c r="B89" i="27"/>
  <c r="B88" i="27"/>
  <c r="B87" i="27"/>
  <c r="B86" i="27"/>
  <c r="B85" i="27"/>
  <c r="B84" i="27"/>
  <c r="B83" i="27"/>
  <c r="B82" i="27"/>
  <c r="B81" i="27"/>
  <c r="B80" i="27"/>
  <c r="B79" i="27"/>
  <c r="B78" i="27"/>
  <c r="B77" i="27"/>
  <c r="B76" i="27"/>
  <c r="B75" i="27"/>
  <c r="B74" i="27"/>
  <c r="B73" i="27"/>
  <c r="B72" i="27"/>
  <c r="B71" i="27"/>
  <c r="B70" i="27"/>
  <c r="B69" i="27"/>
  <c r="B68" i="27"/>
  <c r="B67" i="27"/>
  <c r="B66" i="27"/>
  <c r="B65" i="27"/>
  <c r="B64" i="27"/>
  <c r="B63" i="27"/>
  <c r="B62" i="27"/>
  <c r="B61" i="27"/>
  <c r="B60" i="27"/>
  <c r="B59" i="27"/>
  <c r="B58" i="27"/>
  <c r="B57" i="27"/>
  <c r="B56" i="27"/>
  <c r="B55" i="27"/>
  <c r="B54" i="27"/>
  <c r="B53" i="27"/>
  <c r="B52" i="27"/>
  <c r="B51" i="27"/>
  <c r="B50" i="27"/>
  <c r="B49" i="27"/>
  <c r="B48" i="27"/>
  <c r="B47" i="27"/>
  <c r="B46" i="27"/>
  <c r="B45" i="27"/>
  <c r="B44" i="27"/>
  <c r="B43" i="27"/>
  <c r="B42" i="27"/>
  <c r="U69" i="27"/>
  <c r="U68" i="27"/>
  <c r="U67" i="27"/>
  <c r="U66" i="27"/>
  <c r="U65" i="27"/>
  <c r="U64" i="27"/>
  <c r="U63" i="27"/>
  <c r="U62" i="27"/>
  <c r="U61" i="27"/>
  <c r="U60" i="27"/>
  <c r="U59" i="27"/>
  <c r="U58" i="27"/>
  <c r="U57" i="27"/>
  <c r="U56" i="27"/>
  <c r="U55" i="27"/>
  <c r="U54" i="27"/>
  <c r="U53" i="27"/>
  <c r="U52" i="27"/>
  <c r="U51" i="27"/>
  <c r="U50" i="27"/>
  <c r="U49" i="27"/>
  <c r="U48" i="27"/>
  <c r="U47" i="27"/>
  <c r="U46" i="27"/>
  <c r="U45" i="27"/>
  <c r="U44" i="27"/>
  <c r="U43" i="27"/>
  <c r="U42" i="27"/>
  <c r="J238" i="27"/>
  <c r="J239" i="27"/>
  <c r="J240" i="27"/>
  <c r="J241" i="27"/>
  <c r="J233" i="27"/>
  <c r="J234" i="27"/>
  <c r="J235" i="27"/>
  <c r="J236" i="27"/>
  <c r="J237" i="27"/>
  <c r="J61" i="27"/>
  <c r="J62" i="27"/>
  <c r="J63" i="27"/>
  <c r="J64" i="27"/>
  <c r="J65" i="27"/>
  <c r="J66" i="27"/>
  <c r="J67" i="27"/>
  <c r="J68" i="27"/>
  <c r="J69" i="27"/>
  <c r="J70" i="27"/>
  <c r="J71" i="27"/>
  <c r="J72" i="27"/>
  <c r="J73" i="27"/>
  <c r="J74" i="27"/>
  <c r="J75" i="27"/>
  <c r="J76" i="27"/>
  <c r="J77" i="27"/>
  <c r="J78" i="27"/>
  <c r="J79" i="27"/>
  <c r="J80" i="27"/>
  <c r="J81" i="27"/>
  <c r="J82" i="27"/>
  <c r="J83" i="27"/>
  <c r="J84" i="27"/>
  <c r="J85" i="27"/>
  <c r="J86" i="27"/>
  <c r="J87" i="27"/>
  <c r="J88" i="27"/>
  <c r="J89" i="27"/>
  <c r="J90" i="27"/>
  <c r="J91" i="27"/>
  <c r="J92" i="27"/>
  <c r="J93" i="27"/>
  <c r="J94" i="27"/>
  <c r="J95" i="27"/>
  <c r="J96" i="27"/>
  <c r="J97" i="27"/>
  <c r="J98" i="27"/>
  <c r="J99" i="27"/>
  <c r="J100" i="27"/>
  <c r="J101" i="27"/>
  <c r="J102" i="27"/>
  <c r="J103" i="27"/>
  <c r="J104" i="27"/>
  <c r="J105" i="27"/>
  <c r="J106" i="27"/>
  <c r="J107" i="27"/>
  <c r="J108" i="27"/>
  <c r="J109" i="27"/>
  <c r="J110" i="27"/>
  <c r="J111" i="27"/>
  <c r="J112" i="27"/>
  <c r="J113" i="27"/>
  <c r="J114" i="27"/>
  <c r="J115" i="27"/>
  <c r="J116" i="27"/>
  <c r="J117" i="27"/>
  <c r="J118" i="27"/>
  <c r="J119" i="27"/>
  <c r="J120" i="27"/>
  <c r="J121" i="27"/>
  <c r="J122" i="27"/>
  <c r="J123" i="27"/>
  <c r="J124" i="27"/>
  <c r="J125" i="27"/>
  <c r="J126" i="27"/>
  <c r="J127" i="27"/>
  <c r="J128" i="27"/>
  <c r="J129" i="27"/>
  <c r="J130" i="27"/>
  <c r="J131" i="27"/>
  <c r="J132" i="27"/>
  <c r="J133" i="27"/>
  <c r="J134" i="27"/>
  <c r="J135" i="27"/>
  <c r="J136" i="27"/>
  <c r="J137" i="27"/>
  <c r="J138" i="27"/>
  <c r="J139" i="27"/>
  <c r="J140" i="27"/>
  <c r="J141" i="27"/>
  <c r="J142" i="27"/>
  <c r="J143" i="27"/>
  <c r="J144" i="27"/>
  <c r="J145" i="27"/>
  <c r="J146" i="27"/>
  <c r="J147" i="27"/>
  <c r="J148" i="27"/>
  <c r="J149" i="27"/>
  <c r="J150" i="27"/>
  <c r="J151" i="27"/>
  <c r="J152" i="27"/>
  <c r="J153" i="27"/>
  <c r="J154" i="27"/>
  <c r="J155" i="27"/>
  <c r="J156" i="27"/>
  <c r="J157" i="27"/>
  <c r="J158" i="27"/>
  <c r="J159" i="27"/>
  <c r="J160" i="27"/>
  <c r="J161" i="27"/>
  <c r="J162" i="27"/>
  <c r="J163" i="27"/>
  <c r="J164" i="27"/>
  <c r="J165" i="27"/>
  <c r="J166" i="27"/>
  <c r="J167" i="27"/>
  <c r="J168" i="27"/>
  <c r="J169" i="27"/>
  <c r="J170" i="27"/>
  <c r="J171" i="27"/>
  <c r="J172" i="27"/>
  <c r="J173" i="27"/>
  <c r="J174" i="27"/>
  <c r="J175" i="27"/>
  <c r="J176" i="27"/>
  <c r="J177" i="27"/>
  <c r="J178" i="27"/>
  <c r="J179" i="27"/>
  <c r="J180" i="27"/>
  <c r="J181" i="27"/>
  <c r="J182" i="27"/>
  <c r="J183" i="27"/>
  <c r="J184" i="27"/>
  <c r="J185" i="27"/>
  <c r="J186" i="27"/>
  <c r="J187" i="27"/>
  <c r="J188" i="27"/>
  <c r="J189" i="27"/>
  <c r="J190" i="27"/>
  <c r="J191" i="27"/>
  <c r="J192" i="27"/>
  <c r="J193" i="27"/>
  <c r="J194" i="27"/>
  <c r="J195" i="27"/>
  <c r="J196" i="27"/>
  <c r="J197" i="27"/>
  <c r="J198" i="27"/>
  <c r="J199" i="27"/>
  <c r="J200" i="27"/>
  <c r="J201" i="27"/>
  <c r="J202" i="27"/>
  <c r="J203" i="27"/>
  <c r="J204" i="27"/>
  <c r="J205" i="27"/>
  <c r="J206" i="27"/>
  <c r="J207" i="27"/>
  <c r="J208" i="27"/>
  <c r="J209" i="27"/>
  <c r="J210" i="27"/>
  <c r="J211" i="27"/>
  <c r="J212" i="27"/>
  <c r="J213" i="27"/>
  <c r="J214" i="27"/>
  <c r="J215" i="27"/>
  <c r="J216" i="27"/>
  <c r="J217" i="27"/>
  <c r="J218" i="27"/>
  <c r="J219" i="27"/>
  <c r="J220" i="27"/>
  <c r="J221" i="27"/>
  <c r="J222" i="27"/>
  <c r="J223" i="27"/>
  <c r="J224" i="27"/>
  <c r="J225" i="27"/>
  <c r="J226" i="27"/>
  <c r="J227" i="27"/>
  <c r="J228" i="27"/>
  <c r="J229" i="27"/>
  <c r="J230" i="27"/>
  <c r="J231" i="27"/>
  <c r="J232" i="27"/>
  <c r="J42" i="27"/>
  <c r="C171" i="27" l="1"/>
  <c r="C211" i="27"/>
  <c r="C169" i="27"/>
  <c r="C90" i="27"/>
  <c r="C170" i="27"/>
  <c r="C49" i="27"/>
  <c r="O62" i="27" s="1"/>
  <c r="C189" i="27"/>
  <c r="Q189" i="27" s="1"/>
  <c r="C149" i="27"/>
  <c r="C129" i="27"/>
  <c r="C89" i="27"/>
  <c r="C209" i="27"/>
  <c r="C69" i="27"/>
  <c r="C109" i="27"/>
  <c r="C229" i="27"/>
  <c r="Q229" i="27" s="1"/>
  <c r="C210" i="27"/>
  <c r="C190" i="27"/>
  <c r="C91" i="27"/>
  <c r="C70" i="27"/>
  <c r="C111" i="27"/>
  <c r="C50" i="27"/>
  <c r="F63" i="27" s="1"/>
  <c r="C230" i="27"/>
  <c r="Q230" i="27" s="1"/>
  <c r="C71" i="27"/>
  <c r="C131" i="27"/>
  <c r="C191" i="27"/>
  <c r="C150" i="27"/>
  <c r="C151" i="27"/>
  <c r="C130" i="27"/>
  <c r="C110" i="27"/>
  <c r="C52" i="27"/>
  <c r="F65" i="27" s="1"/>
  <c r="C72" i="27"/>
  <c r="C92" i="27"/>
  <c r="C112" i="27"/>
  <c r="C132" i="27"/>
  <c r="C152" i="27"/>
  <c r="C172" i="27"/>
  <c r="C192" i="27"/>
  <c r="C212" i="27"/>
  <c r="C232" i="27"/>
  <c r="C53" i="27"/>
  <c r="F66" i="27" s="1"/>
  <c r="C73" i="27"/>
  <c r="C93" i="27"/>
  <c r="C113" i="27"/>
  <c r="C133" i="27"/>
  <c r="C153" i="27"/>
  <c r="C173" i="27"/>
  <c r="C193" i="27"/>
  <c r="C213" i="27"/>
  <c r="C233" i="27"/>
  <c r="C54" i="27"/>
  <c r="F67" i="27" s="1"/>
  <c r="C74" i="27"/>
  <c r="C94" i="27"/>
  <c r="C114" i="27"/>
  <c r="C154" i="27"/>
  <c r="C214" i="27"/>
  <c r="C234" i="27"/>
  <c r="C134" i="27"/>
  <c r="C231" i="27"/>
  <c r="Q231" i="27" s="1"/>
  <c r="C51" i="27"/>
  <c r="O64" i="27" s="1"/>
  <c r="C235" i="27"/>
  <c r="E235" i="27" s="1"/>
  <c r="C175" i="27"/>
  <c r="C56" i="27"/>
  <c r="F69" i="27" s="1"/>
  <c r="C76" i="27"/>
  <c r="C96" i="27"/>
  <c r="C116" i="27"/>
  <c r="C136" i="27"/>
  <c r="C156" i="27"/>
  <c r="C176" i="27"/>
  <c r="C196" i="27"/>
  <c r="C216" i="27"/>
  <c r="C236" i="27"/>
  <c r="C57" i="27"/>
  <c r="O70" i="27" s="1"/>
  <c r="C77" i="27"/>
  <c r="C97" i="27"/>
  <c r="C117" i="27"/>
  <c r="C137" i="27"/>
  <c r="C157" i="27"/>
  <c r="C177" i="27"/>
  <c r="C197" i="27"/>
  <c r="C217" i="27"/>
  <c r="C237" i="27"/>
  <c r="C95" i="27"/>
  <c r="C138" i="27"/>
  <c r="C55" i="27"/>
  <c r="O68" i="27" s="1"/>
  <c r="C98" i="27"/>
  <c r="C199" i="27"/>
  <c r="C200" i="27"/>
  <c r="C202" i="27"/>
  <c r="O215" i="27" s="1"/>
  <c r="C174" i="27"/>
  <c r="F187" i="27" s="1"/>
  <c r="C195" i="27"/>
  <c r="C118" i="27"/>
  <c r="C198" i="27"/>
  <c r="C59" i="27"/>
  <c r="O72" i="27" s="1"/>
  <c r="C119" i="27"/>
  <c r="C239" i="27"/>
  <c r="E239" i="27" s="1"/>
  <c r="C60" i="27"/>
  <c r="O73" i="27" s="1"/>
  <c r="C80" i="27"/>
  <c r="C120" i="27"/>
  <c r="C240" i="27"/>
  <c r="E240" i="27" s="1"/>
  <c r="C81" i="27"/>
  <c r="C101" i="27"/>
  <c r="C141" i="27"/>
  <c r="C201" i="27"/>
  <c r="C62" i="27"/>
  <c r="F75" i="27" s="1"/>
  <c r="C82" i="27"/>
  <c r="F95" i="27" s="1"/>
  <c r="C102" i="27"/>
  <c r="O115" i="27" s="1"/>
  <c r="C162" i="27"/>
  <c r="F175" i="27" s="1"/>
  <c r="C182" i="27"/>
  <c r="O195" i="27" s="1"/>
  <c r="C43" i="27"/>
  <c r="F56" i="27" s="1"/>
  <c r="C63" i="27"/>
  <c r="O76" i="27" s="1"/>
  <c r="C83" i="27"/>
  <c r="F96" i="27" s="1"/>
  <c r="C103" i="27"/>
  <c r="F116" i="27" s="1"/>
  <c r="C123" i="27"/>
  <c r="O136" i="27" s="1"/>
  <c r="C143" i="27"/>
  <c r="O156" i="27" s="1"/>
  <c r="C163" i="27"/>
  <c r="O176" i="27" s="1"/>
  <c r="C183" i="27"/>
  <c r="F196" i="27" s="1"/>
  <c r="C203" i="27"/>
  <c r="F216" i="27" s="1"/>
  <c r="C223" i="27"/>
  <c r="F236" i="27" s="1"/>
  <c r="C115" i="27"/>
  <c r="C158" i="27"/>
  <c r="C159" i="27"/>
  <c r="C160" i="27"/>
  <c r="C181" i="27"/>
  <c r="C42" i="27"/>
  <c r="C122" i="27"/>
  <c r="O135" i="27" s="1"/>
  <c r="C222" i="27"/>
  <c r="O235" i="27" s="1"/>
  <c r="C44" i="27"/>
  <c r="O57" i="27" s="1"/>
  <c r="C64" i="27"/>
  <c r="O77" i="27" s="1"/>
  <c r="C84" i="27"/>
  <c r="O97" i="27" s="1"/>
  <c r="C104" i="27"/>
  <c r="O117" i="27" s="1"/>
  <c r="C124" i="27"/>
  <c r="F137" i="27" s="1"/>
  <c r="C144" i="27"/>
  <c r="F157" i="27" s="1"/>
  <c r="C164" i="27"/>
  <c r="O177" i="27" s="1"/>
  <c r="C184" i="27"/>
  <c r="O197" i="27" s="1"/>
  <c r="C204" i="27"/>
  <c r="O217" i="27" s="1"/>
  <c r="C224" i="27"/>
  <c r="O237" i="27" s="1"/>
  <c r="C75" i="27"/>
  <c r="C178" i="27"/>
  <c r="C139" i="27"/>
  <c r="C140" i="27"/>
  <c r="C161" i="27"/>
  <c r="C142" i="27"/>
  <c r="C45" i="27"/>
  <c r="C65" i="27"/>
  <c r="O78" i="27" s="1"/>
  <c r="C85" i="27"/>
  <c r="F98" i="27" s="1"/>
  <c r="C105" i="27"/>
  <c r="O118" i="27" s="1"/>
  <c r="C125" i="27"/>
  <c r="O138" i="27" s="1"/>
  <c r="C145" i="27"/>
  <c r="F158" i="27" s="1"/>
  <c r="C165" i="27"/>
  <c r="F178" i="27" s="1"/>
  <c r="C185" i="27"/>
  <c r="F198" i="27" s="1"/>
  <c r="C205" i="27"/>
  <c r="O218" i="27" s="1"/>
  <c r="C225" i="27"/>
  <c r="F238" i="27" s="1"/>
  <c r="C155" i="27"/>
  <c r="C238" i="27"/>
  <c r="E238" i="27" s="1"/>
  <c r="C79" i="27"/>
  <c r="C100" i="27"/>
  <c r="C61" i="27"/>
  <c r="C121" i="27"/>
  <c r="C241" i="27"/>
  <c r="C46" i="27"/>
  <c r="C66" i="27"/>
  <c r="O79" i="27" s="1"/>
  <c r="C86" i="27"/>
  <c r="O99" i="27" s="1"/>
  <c r="C106" i="27"/>
  <c r="O119" i="27" s="1"/>
  <c r="C126" i="27"/>
  <c r="O139" i="27" s="1"/>
  <c r="C146" i="27"/>
  <c r="O159" i="27" s="1"/>
  <c r="C166" i="27"/>
  <c r="O179" i="27" s="1"/>
  <c r="C186" i="27"/>
  <c r="O199" i="27" s="1"/>
  <c r="C206" i="27"/>
  <c r="F219" i="27" s="1"/>
  <c r="C226" i="27"/>
  <c r="O239" i="27" s="1"/>
  <c r="C135" i="27"/>
  <c r="C78" i="27"/>
  <c r="C179" i="27"/>
  <c r="C180" i="27"/>
  <c r="C221" i="27"/>
  <c r="C47" i="27"/>
  <c r="C67" i="27"/>
  <c r="F80" i="27" s="1"/>
  <c r="C87" i="27"/>
  <c r="O100" i="27" s="1"/>
  <c r="C107" i="27"/>
  <c r="O120" i="27" s="1"/>
  <c r="C127" i="27"/>
  <c r="F140" i="27" s="1"/>
  <c r="C147" i="27"/>
  <c r="F160" i="27" s="1"/>
  <c r="C167" i="27"/>
  <c r="O180" i="27" s="1"/>
  <c r="C187" i="27"/>
  <c r="O200" i="27" s="1"/>
  <c r="C207" i="27"/>
  <c r="O220" i="27" s="1"/>
  <c r="C227" i="27"/>
  <c r="O240" i="27" s="1"/>
  <c r="C194" i="27"/>
  <c r="F207" i="27" s="1"/>
  <c r="C215" i="27"/>
  <c r="C58" i="27"/>
  <c r="F71" i="27" s="1"/>
  <c r="C218" i="27"/>
  <c r="C99" i="27"/>
  <c r="C219" i="27"/>
  <c r="C220" i="27"/>
  <c r="C48" i="27"/>
  <c r="F61" i="27" s="1"/>
  <c r="C68" i="27"/>
  <c r="C88" i="27"/>
  <c r="C108" i="27"/>
  <c r="C128" i="27"/>
  <c r="C148" i="27"/>
  <c r="C168" i="27"/>
  <c r="C188" i="27"/>
  <c r="C208" i="27"/>
  <c r="C228" i="27"/>
  <c r="O155" i="27"/>
  <c r="F78" i="27"/>
  <c r="F155" i="27"/>
  <c r="F79" i="27"/>
  <c r="O69" i="27"/>
  <c r="F220" i="27"/>
  <c r="F200" i="27"/>
  <c r="F99" i="27"/>
  <c r="J60" i="27"/>
  <c r="J59" i="27"/>
  <c r="J58" i="27"/>
  <c r="J57" i="27"/>
  <c r="J56" i="27"/>
  <c r="J55" i="27"/>
  <c r="J54" i="27"/>
  <c r="F54" i="27"/>
  <c r="J53" i="27"/>
  <c r="F53" i="27"/>
  <c r="J52" i="27"/>
  <c r="F52" i="27"/>
  <c r="J51" i="27"/>
  <c r="J50" i="27"/>
  <c r="F50" i="27"/>
  <c r="J49" i="27"/>
  <c r="O49" i="27"/>
  <c r="J48" i="27"/>
  <c r="J47" i="27"/>
  <c r="J46" i="27"/>
  <c r="O46" i="27"/>
  <c r="J45" i="27"/>
  <c r="F45" i="27"/>
  <c r="J44" i="27"/>
  <c r="O44" i="27"/>
  <c r="J43" i="27"/>
  <c r="O43" i="27"/>
  <c r="F42" i="27"/>
  <c r="F240" i="27" l="1"/>
  <c r="H240" i="27" s="1"/>
  <c r="F135" i="27"/>
  <c r="O98" i="27"/>
  <c r="F68" i="27"/>
  <c r="O75" i="27"/>
  <c r="F70" i="27"/>
  <c r="F235" i="27"/>
  <c r="H235" i="27" s="1"/>
  <c r="F180" i="27"/>
  <c r="O95" i="27"/>
  <c r="F195" i="27"/>
  <c r="F139" i="27"/>
  <c r="O157" i="27"/>
  <c r="O219" i="27"/>
  <c r="F62" i="27"/>
  <c r="F159" i="27"/>
  <c r="F215" i="27"/>
  <c r="F136" i="27"/>
  <c r="O116" i="27"/>
  <c r="F218" i="27"/>
  <c r="F179" i="27"/>
  <c r="O178" i="27"/>
  <c r="O65" i="27"/>
  <c r="F237" i="27"/>
  <c r="F117" i="27"/>
  <c r="F199" i="27"/>
  <c r="O187" i="27"/>
  <c r="F97" i="27"/>
  <c r="F76" i="27"/>
  <c r="F118" i="27"/>
  <c r="O196" i="27"/>
  <c r="O198" i="27"/>
  <c r="O236" i="27"/>
  <c r="O216" i="27"/>
  <c r="O71" i="27"/>
  <c r="F119" i="27"/>
  <c r="F239" i="27"/>
  <c r="H239" i="27" s="1"/>
  <c r="O175" i="27"/>
  <c r="E221" i="27"/>
  <c r="E158" i="27"/>
  <c r="G158" i="27" s="1"/>
  <c r="E171" i="27"/>
  <c r="E201" i="27"/>
  <c r="E139" i="27"/>
  <c r="E152" i="27"/>
  <c r="E61" i="27"/>
  <c r="G61" i="27" s="1"/>
  <c r="E74" i="27"/>
  <c r="Q212" i="27"/>
  <c r="Q192" i="27"/>
  <c r="E205" i="27"/>
  <c r="E165" i="27"/>
  <c r="E155" i="27"/>
  <c r="G155" i="27" s="1"/>
  <c r="E168" i="27"/>
  <c r="Q109" i="27"/>
  <c r="E122" i="27"/>
  <c r="O140" i="27"/>
  <c r="E78" i="27"/>
  <c r="H78" i="27" s="1"/>
  <c r="E91" i="27"/>
  <c r="E118" i="27"/>
  <c r="E131" i="27"/>
  <c r="O66" i="27"/>
  <c r="F176" i="27"/>
  <c r="O61" i="27"/>
  <c r="E219" i="27"/>
  <c r="I219" i="27" s="1"/>
  <c r="E232" i="27"/>
  <c r="E135" i="27"/>
  <c r="E148" i="27"/>
  <c r="E195" i="27"/>
  <c r="E216" i="27"/>
  <c r="H216" i="27" s="1"/>
  <c r="E229" i="27"/>
  <c r="Q74" i="27"/>
  <c r="E87" i="27"/>
  <c r="Q72" i="27"/>
  <c r="Q89" i="27"/>
  <c r="E102" i="27"/>
  <c r="O80" i="27"/>
  <c r="F77" i="27"/>
  <c r="E99" i="27"/>
  <c r="G99" i="27" s="1"/>
  <c r="E196" i="27"/>
  <c r="H196" i="27" s="1"/>
  <c r="Q129" i="27"/>
  <c r="E142" i="27"/>
  <c r="E80" i="27"/>
  <c r="H80" i="27" s="1"/>
  <c r="E93" i="27"/>
  <c r="E181" i="27"/>
  <c r="E217" i="27"/>
  <c r="E230" i="27"/>
  <c r="E178" i="27"/>
  <c r="G178" i="27" s="1"/>
  <c r="E191" i="27"/>
  <c r="E177" i="27"/>
  <c r="E75" i="27"/>
  <c r="H75" i="27" s="1"/>
  <c r="E157" i="27"/>
  <c r="H157" i="27" s="1"/>
  <c r="E170" i="27"/>
  <c r="E141" i="27"/>
  <c r="E79" i="27"/>
  <c r="H79" i="27" s="1"/>
  <c r="E92" i="27"/>
  <c r="Q210" i="27"/>
  <c r="E223" i="27"/>
  <c r="E227" i="27"/>
  <c r="Q154" i="27"/>
  <c r="E167" i="27"/>
  <c r="E179" i="27"/>
  <c r="E192" i="27"/>
  <c r="E69" i="27"/>
  <c r="H69" i="27" s="1"/>
  <c r="E82" i="27"/>
  <c r="Q92" i="27"/>
  <c r="E105" i="27"/>
  <c r="E200" i="27"/>
  <c r="H200" i="27" s="1"/>
  <c r="E213" i="27"/>
  <c r="Q213" i="27"/>
  <c r="E226" i="27"/>
  <c r="F72" i="27"/>
  <c r="E199" i="27"/>
  <c r="E212" i="27"/>
  <c r="Q193" i="27"/>
  <c r="E206" i="27"/>
  <c r="O158" i="27"/>
  <c r="Q173" i="27"/>
  <c r="E186" i="27"/>
  <c r="O137" i="27"/>
  <c r="F197" i="27"/>
  <c r="O63" i="27"/>
  <c r="O67" i="27"/>
  <c r="Q42" i="27"/>
  <c r="E55" i="27"/>
  <c r="E96" i="27"/>
  <c r="G96" i="27" s="1"/>
  <c r="Q191" i="27"/>
  <c r="E103" i="27"/>
  <c r="E115" i="27"/>
  <c r="E128" i="27"/>
  <c r="E197" i="27"/>
  <c r="E210" i="27"/>
  <c r="E203" i="27"/>
  <c r="E119" i="27"/>
  <c r="E132" i="27"/>
  <c r="E180" i="27"/>
  <c r="Q132" i="27"/>
  <c r="E145" i="27"/>
  <c r="F156" i="27"/>
  <c r="E198" i="27"/>
  <c r="G198" i="27" s="1"/>
  <c r="O160" i="27"/>
  <c r="F120" i="27"/>
  <c r="F177" i="27"/>
  <c r="O238" i="27"/>
  <c r="E202" i="27"/>
  <c r="Q151" i="27"/>
  <c r="E164" i="27"/>
  <c r="E163" i="27"/>
  <c r="F115" i="27"/>
  <c r="O207" i="27"/>
  <c r="E194" i="27"/>
  <c r="E214" i="27"/>
  <c r="E138" i="27"/>
  <c r="E151" i="27"/>
  <c r="E76" i="27"/>
  <c r="Q131" i="27"/>
  <c r="E144" i="27"/>
  <c r="Q169" i="27"/>
  <c r="E182" i="27"/>
  <c r="E140" i="27"/>
  <c r="I140" i="27" s="1"/>
  <c r="E153" i="27"/>
  <c r="Q73" i="27"/>
  <c r="E86" i="27"/>
  <c r="Q70" i="27"/>
  <c r="E83" i="27"/>
  <c r="Q134" i="27"/>
  <c r="E121" i="27"/>
  <c r="E117" i="27"/>
  <c r="E77" i="27"/>
  <c r="E90" i="27"/>
  <c r="Q114" i="27"/>
  <c r="E236" i="27"/>
  <c r="G236" i="27" s="1"/>
  <c r="E218" i="27"/>
  <c r="E231" i="27"/>
  <c r="E123" i="27"/>
  <c r="Q130" i="27"/>
  <c r="E143" i="27"/>
  <c r="O96" i="27"/>
  <c r="E215" i="27"/>
  <c r="E136" i="27"/>
  <c r="E149" i="27"/>
  <c r="F138" i="27"/>
  <c r="E98" i="27"/>
  <c r="H98" i="27" s="1"/>
  <c r="E111" i="27"/>
  <c r="E116" i="27"/>
  <c r="H116" i="27" s="1"/>
  <c r="E160" i="27"/>
  <c r="G160" i="27" s="1"/>
  <c r="E173" i="27"/>
  <c r="E154" i="27"/>
  <c r="E95" i="27"/>
  <c r="H95" i="27" s="1"/>
  <c r="E108" i="27"/>
  <c r="Q113" i="27"/>
  <c r="E126" i="27"/>
  <c r="E71" i="27"/>
  <c r="G71" i="27" s="1"/>
  <c r="E84" i="27"/>
  <c r="Q211" i="27"/>
  <c r="E224" i="27"/>
  <c r="E94" i="27"/>
  <c r="Q111" i="27"/>
  <c r="E124" i="27"/>
  <c r="E120" i="27"/>
  <c r="E133" i="27"/>
  <c r="E100" i="27"/>
  <c r="E113" i="27"/>
  <c r="E137" i="27"/>
  <c r="I137" i="27" s="1"/>
  <c r="E150" i="27"/>
  <c r="F64" i="27"/>
  <c r="E101" i="27"/>
  <c r="E97" i="27"/>
  <c r="E68" i="27"/>
  <c r="E81" i="27"/>
  <c r="E220" i="27"/>
  <c r="H220" i="27" s="1"/>
  <c r="E222" i="27"/>
  <c r="E176" i="27"/>
  <c r="E189" i="27"/>
  <c r="E156" i="27"/>
  <c r="E169" i="27"/>
  <c r="Q170" i="27"/>
  <c r="E183" i="27"/>
  <c r="F73" i="27"/>
  <c r="F217" i="27"/>
  <c r="F100" i="27"/>
  <c r="E241" i="27"/>
  <c r="E174" i="27"/>
  <c r="E159" i="27"/>
  <c r="E172" i="27"/>
  <c r="E114" i="27"/>
  <c r="E237" i="27"/>
  <c r="E175" i="27"/>
  <c r="H175" i="27" s="1"/>
  <c r="Q93" i="27"/>
  <c r="E106" i="27"/>
  <c r="Q171" i="27"/>
  <c r="Q149" i="27"/>
  <c r="Q209" i="27"/>
  <c r="Q49" i="27"/>
  <c r="Q69" i="27"/>
  <c r="Q90" i="27"/>
  <c r="H22" i="27"/>
  <c r="G22" i="27"/>
  <c r="Q233" i="27"/>
  <c r="Q214" i="27"/>
  <c r="Q150" i="27"/>
  <c r="E72" i="27"/>
  <c r="Q133" i="27"/>
  <c r="Q112" i="27"/>
  <c r="Q54" i="27"/>
  <c r="E70" i="27"/>
  <c r="Q190" i="27"/>
  <c r="Q50" i="27"/>
  <c r="Q110" i="27"/>
  <c r="Q71" i="27"/>
  <c r="Q91" i="27"/>
  <c r="Q94" i="27"/>
  <c r="Q153" i="27"/>
  <c r="Q52" i="27"/>
  <c r="Q172" i="27"/>
  <c r="Q234" i="27"/>
  <c r="Q152" i="27"/>
  <c r="Q53" i="27"/>
  <c r="Q232" i="27"/>
  <c r="E73" i="27"/>
  <c r="Q51" i="27"/>
  <c r="Q45" i="27"/>
  <c r="Q46" i="27"/>
  <c r="Q121" i="27"/>
  <c r="Q59" i="27"/>
  <c r="Q141" i="27"/>
  <c r="Q177" i="27"/>
  <c r="Q240" i="27"/>
  <c r="Q148" i="27"/>
  <c r="Q161" i="27"/>
  <c r="Q241" i="27"/>
  <c r="Q235" i="27"/>
  <c r="Q157" i="27"/>
  <c r="Q56" i="27"/>
  <c r="Q75" i="27"/>
  <c r="Q81" i="27"/>
  <c r="Q101" i="27"/>
  <c r="Q236" i="27"/>
  <c r="Q77" i="27"/>
  <c r="Q218" i="27"/>
  <c r="Q55" i="27"/>
  <c r="Q135" i="27"/>
  <c r="Q175" i="27"/>
  <c r="Q221" i="27"/>
  <c r="Q88" i="27"/>
  <c r="Q78" i="27"/>
  <c r="Q196" i="27"/>
  <c r="Q219" i="27"/>
  <c r="Q220" i="27"/>
  <c r="Q47" i="27"/>
  <c r="Q176" i="27"/>
  <c r="Q156" i="27"/>
  <c r="Q198" i="27"/>
  <c r="Q43" i="27"/>
  <c r="Q118" i="27"/>
  <c r="Q239" i="27"/>
  <c r="Q44" i="27"/>
  <c r="Q97" i="27"/>
  <c r="Q57" i="27"/>
  <c r="Q195" i="27"/>
  <c r="Q108" i="27"/>
  <c r="Q48" i="27"/>
  <c r="Q58" i="27"/>
  <c r="Q216" i="27"/>
  <c r="Q117" i="27"/>
  <c r="E62" i="27"/>
  <c r="Q62" i="27"/>
  <c r="Q127" i="27"/>
  <c r="Q146" i="27"/>
  <c r="Q126" i="27"/>
  <c r="E207" i="27"/>
  <c r="G207" i="27" s="1"/>
  <c r="Q207" i="27"/>
  <c r="Q223" i="27"/>
  <c r="E67" i="27"/>
  <c r="G67" i="27" s="1"/>
  <c r="Q67" i="27"/>
  <c r="Q82" i="27"/>
  <c r="E65" i="27"/>
  <c r="H65" i="27" s="1"/>
  <c r="Q65" i="27"/>
  <c r="Q142" i="27"/>
  <c r="Q168" i="27"/>
  <c r="Q188" i="27"/>
  <c r="Q139" i="27"/>
  <c r="Q238" i="27"/>
  <c r="Q159" i="27"/>
  <c r="Q166" i="27"/>
  <c r="Q106" i="27"/>
  <c r="Q86" i="27"/>
  <c r="Q181" i="27"/>
  <c r="Q147" i="27"/>
  <c r="Q87" i="27"/>
  <c r="Q163" i="27"/>
  <c r="Q197" i="27"/>
  <c r="Q164" i="27"/>
  <c r="Q79" i="27"/>
  <c r="Q225" i="27"/>
  <c r="Q124" i="27"/>
  <c r="Q185" i="27"/>
  <c r="Q104" i="27"/>
  <c r="E63" i="27"/>
  <c r="I63" i="27" s="1"/>
  <c r="Q63" i="27"/>
  <c r="Q99" i="27"/>
  <c r="Q199" i="27"/>
  <c r="Q115" i="27"/>
  <c r="Q80" i="27"/>
  <c r="Q102" i="27"/>
  <c r="Q122" i="27"/>
  <c r="Q227" i="27"/>
  <c r="Q98" i="27"/>
  <c r="E66" i="27"/>
  <c r="H66" i="27" s="1"/>
  <c r="Q66" i="27"/>
  <c r="Q201" i="27"/>
  <c r="Q107" i="27"/>
  <c r="Q76" i="27"/>
  <c r="Q224" i="27"/>
  <c r="Q137" i="27"/>
  <c r="Q184" i="27"/>
  <c r="Q103" i="27"/>
  <c r="Q208" i="27"/>
  <c r="Q83" i="27"/>
  <c r="Q226" i="27"/>
  <c r="Q165" i="27"/>
  <c r="Q84" i="27"/>
  <c r="Q174" i="27"/>
  <c r="Q179" i="27"/>
  <c r="Q100" i="27"/>
  <c r="Q155" i="27"/>
  <c r="Q120" i="27"/>
  <c r="Q105" i="27"/>
  <c r="Q194" i="27"/>
  <c r="Q167" i="27"/>
  <c r="Q203" i="27"/>
  <c r="Q217" i="27"/>
  <c r="Q158" i="27"/>
  <c r="Q138" i="27"/>
  <c r="Q178" i="27"/>
  <c r="Q119" i="27"/>
  <c r="Q205" i="27"/>
  <c r="Q206" i="27"/>
  <c r="Q145" i="27"/>
  <c r="E64" i="27"/>
  <c r="Q64" i="27"/>
  <c r="Q182" i="27"/>
  <c r="Q202" i="27"/>
  <c r="Q237" i="27"/>
  <c r="Q140" i="27"/>
  <c r="Q215" i="27"/>
  <c r="Q160" i="27"/>
  <c r="Q222" i="27"/>
  <c r="Q85" i="27"/>
  <c r="E187" i="27"/>
  <c r="G187" i="27" s="1"/>
  <c r="Q187" i="27"/>
  <c r="Q95" i="27"/>
  <c r="Q96" i="27"/>
  <c r="Q183" i="27"/>
  <c r="Q136" i="27"/>
  <c r="Q204" i="27"/>
  <c r="Q60" i="27"/>
  <c r="Q143" i="27"/>
  <c r="Q228" i="27"/>
  <c r="Q123" i="27"/>
  <c r="Q68" i="27"/>
  <c r="Q144" i="27"/>
  <c r="Q128" i="27"/>
  <c r="Q186" i="27"/>
  <c r="Q125" i="27"/>
  <c r="Q162" i="27"/>
  <c r="Q61" i="27"/>
  <c r="Q180" i="27"/>
  <c r="Q116" i="27"/>
  <c r="Q200" i="27"/>
  <c r="E58" i="27"/>
  <c r="E60" i="27"/>
  <c r="E48" i="27"/>
  <c r="E59" i="27"/>
  <c r="E47" i="27"/>
  <c r="G238" i="27"/>
  <c r="E51" i="27"/>
  <c r="I238" i="27"/>
  <c r="H238" i="27"/>
  <c r="O54" i="27"/>
  <c r="E56" i="27"/>
  <c r="H56" i="27" s="1"/>
  <c r="O51" i="27"/>
  <c r="O59" i="27"/>
  <c r="O50" i="27"/>
  <c r="F59" i="27"/>
  <c r="O45" i="27"/>
  <c r="F47" i="27"/>
  <c r="O47" i="27"/>
  <c r="O48" i="27"/>
  <c r="E44" i="27"/>
  <c r="O56" i="27"/>
  <c r="F44" i="27"/>
  <c r="O53" i="27"/>
  <c r="F58" i="27"/>
  <c r="E49" i="27"/>
  <c r="E43" i="27"/>
  <c r="O58" i="27"/>
  <c r="E45" i="27"/>
  <c r="I45" i="27" s="1"/>
  <c r="F48" i="27"/>
  <c r="O55" i="27"/>
  <c r="E52" i="27"/>
  <c r="F43" i="27"/>
  <c r="E57" i="27"/>
  <c r="F57" i="27"/>
  <c r="F51" i="27"/>
  <c r="O52" i="27"/>
  <c r="F49" i="27"/>
  <c r="E46" i="27"/>
  <c r="F60" i="27"/>
  <c r="E53" i="27"/>
  <c r="E50" i="27"/>
  <c r="O60" i="27"/>
  <c r="F46" i="27"/>
  <c r="E54" i="27"/>
  <c r="O42" i="27"/>
  <c r="E42" i="27"/>
  <c r="I42" i="27" s="1"/>
  <c r="W22" i="12"/>
  <c r="W26" i="12"/>
  <c r="W23" i="12"/>
  <c r="AA17" i="12"/>
  <c r="AB16" i="12"/>
  <c r="Y17" i="12"/>
  <c r="Y14" i="12"/>
  <c r="Y16" i="12" s="1"/>
  <c r="AB8" i="12"/>
  <c r="AA8" i="12"/>
  <c r="Z8" i="12"/>
  <c r="X8" i="12"/>
  <c r="V7" i="12"/>
  <c r="V6" i="12"/>
  <c r="T10" i="12"/>
  <c r="U10" i="12"/>
  <c r="O20" i="12"/>
  <c r="P20" i="12"/>
  <c r="N20" i="12"/>
  <c r="N14" i="12"/>
  <c r="N12" i="12"/>
  <c r="D10" i="12"/>
  <c r="N9" i="12"/>
  <c r="N8" i="12"/>
  <c r="K4" i="24"/>
  <c r="J4" i="24"/>
  <c r="F32" i="24"/>
  <c r="E32" i="24"/>
  <c r="F31" i="24"/>
  <c r="E31" i="24"/>
  <c r="F30" i="24"/>
  <c r="E30" i="24"/>
  <c r="F29" i="24"/>
  <c r="E29" i="24"/>
  <c r="F28" i="24"/>
  <c r="E28" i="24"/>
  <c r="F27" i="24"/>
  <c r="E27" i="24"/>
  <c r="F26" i="24"/>
  <c r="E26" i="24"/>
  <c r="F25" i="24"/>
  <c r="E25" i="24"/>
  <c r="F24" i="24"/>
  <c r="E24" i="24"/>
  <c r="F23" i="24"/>
  <c r="E23" i="24"/>
  <c r="F22" i="24"/>
  <c r="E22" i="24"/>
  <c r="F21" i="24"/>
  <c r="E21" i="24"/>
  <c r="F20" i="24"/>
  <c r="E20" i="24"/>
  <c r="F19" i="24"/>
  <c r="E19" i="24"/>
  <c r="F18" i="24"/>
  <c r="E18" i="24"/>
  <c r="F17" i="24"/>
  <c r="E17" i="24"/>
  <c r="F16" i="24"/>
  <c r="E16" i="24"/>
  <c r="F15" i="24"/>
  <c r="E15" i="24"/>
  <c r="F14" i="24"/>
  <c r="E14" i="24"/>
  <c r="F13" i="24"/>
  <c r="E13" i="24"/>
  <c r="F12" i="24"/>
  <c r="E12" i="24"/>
  <c r="F11" i="24"/>
  <c r="E11" i="24"/>
  <c r="F10" i="24"/>
  <c r="E10" i="24"/>
  <c r="F9" i="24"/>
  <c r="E9" i="24"/>
  <c r="F8" i="24"/>
  <c r="E8" i="24"/>
  <c r="F7" i="24"/>
  <c r="E7" i="24"/>
  <c r="F6" i="24"/>
  <c r="E6" i="24"/>
  <c r="F5" i="24"/>
  <c r="E5" i="24"/>
  <c r="B4" i="24"/>
  <c r="G235" i="27" l="1"/>
  <c r="G135" i="27"/>
  <c r="I68" i="27"/>
  <c r="G240" i="27"/>
  <c r="I240" i="27"/>
  <c r="I180" i="27"/>
  <c r="H236" i="27"/>
  <c r="G68" i="27"/>
  <c r="G62" i="27"/>
  <c r="G216" i="27"/>
  <c r="I235" i="27"/>
  <c r="I70" i="27"/>
  <c r="H195" i="27"/>
  <c r="G118" i="27"/>
  <c r="H68" i="27"/>
  <c r="G136" i="27"/>
  <c r="H139" i="27"/>
  <c r="I95" i="27"/>
  <c r="H158" i="27"/>
  <c r="H217" i="27"/>
  <c r="H117" i="27"/>
  <c r="H138" i="27"/>
  <c r="I220" i="27"/>
  <c r="I158" i="27"/>
  <c r="K158" i="27" s="1"/>
  <c r="L158" i="27" s="1"/>
  <c r="M158" i="27" s="1"/>
  <c r="I159" i="27"/>
  <c r="I236" i="27"/>
  <c r="K236" i="27" s="1"/>
  <c r="L236" i="27" s="1"/>
  <c r="M236" i="27" s="1"/>
  <c r="G77" i="27"/>
  <c r="G215" i="27"/>
  <c r="H61" i="27"/>
  <c r="I118" i="27"/>
  <c r="H118" i="27"/>
  <c r="H136" i="27"/>
  <c r="H99" i="27"/>
  <c r="G179" i="27"/>
  <c r="G79" i="27"/>
  <c r="I61" i="27"/>
  <c r="K61" i="27" s="1"/>
  <c r="L61" i="27" s="1"/>
  <c r="M61" i="27" s="1"/>
  <c r="H219" i="27"/>
  <c r="G157" i="27"/>
  <c r="I196" i="27"/>
  <c r="I237" i="27"/>
  <c r="G100" i="27"/>
  <c r="I72" i="27"/>
  <c r="I99" i="27"/>
  <c r="K99" i="27" s="1"/>
  <c r="L99" i="27" s="1"/>
  <c r="M99" i="27" s="1"/>
  <c r="G196" i="27"/>
  <c r="I71" i="27"/>
  <c r="K71" i="27" s="1"/>
  <c r="L71" i="27" s="1"/>
  <c r="M71" i="27" s="1"/>
  <c r="I136" i="27"/>
  <c r="H176" i="27"/>
  <c r="I157" i="27"/>
  <c r="G97" i="27"/>
  <c r="H71" i="27"/>
  <c r="I79" i="27"/>
  <c r="H180" i="27"/>
  <c r="G175" i="27"/>
  <c r="G76" i="27"/>
  <c r="H237" i="27"/>
  <c r="H218" i="27"/>
  <c r="I239" i="27"/>
  <c r="G217" i="27"/>
  <c r="I179" i="27"/>
  <c r="G95" i="27"/>
  <c r="H179" i="27"/>
  <c r="G75" i="27"/>
  <c r="G78" i="27"/>
  <c r="I75" i="27"/>
  <c r="G159" i="27"/>
  <c r="I217" i="27"/>
  <c r="G64" i="27"/>
  <c r="G119" i="27"/>
  <c r="I199" i="27"/>
  <c r="H159" i="27"/>
  <c r="I97" i="27"/>
  <c r="G218" i="27"/>
  <c r="H198" i="27"/>
  <c r="I218" i="27"/>
  <c r="G140" i="27"/>
  <c r="K140" i="27" s="1"/>
  <c r="L140" i="27" s="1"/>
  <c r="M140" i="27" s="1"/>
  <c r="I78" i="27"/>
  <c r="G180" i="27"/>
  <c r="I178" i="27"/>
  <c r="K178" i="27" s="1"/>
  <c r="L178" i="27" s="1"/>
  <c r="M178" i="27" s="1"/>
  <c r="G138" i="27"/>
  <c r="H119" i="27"/>
  <c r="G69" i="27"/>
  <c r="I155" i="27"/>
  <c r="K155" i="27" s="1"/>
  <c r="L155" i="27" s="1"/>
  <c r="M155" i="27" s="1"/>
  <c r="I215" i="27"/>
  <c r="H155" i="27"/>
  <c r="I119" i="27"/>
  <c r="I76" i="27"/>
  <c r="H215" i="27"/>
  <c r="G239" i="27"/>
  <c r="H197" i="27"/>
  <c r="H97" i="27"/>
  <c r="H178" i="27"/>
  <c r="G177" i="27"/>
  <c r="H115" i="27"/>
  <c r="G199" i="27"/>
  <c r="I120" i="27"/>
  <c r="H156" i="27"/>
  <c r="I69" i="27"/>
  <c r="F55" i="27"/>
  <c r="I55" i="27" s="1"/>
  <c r="I216" i="27"/>
  <c r="G98" i="27"/>
  <c r="I198" i="27"/>
  <c r="K198" i="27" s="1"/>
  <c r="G139" i="27"/>
  <c r="I98" i="27"/>
  <c r="H135" i="27"/>
  <c r="H140" i="27"/>
  <c r="I100" i="27"/>
  <c r="F127" i="27"/>
  <c r="O127" i="27"/>
  <c r="O144" i="27"/>
  <c r="F144" i="27"/>
  <c r="G144" i="27" s="1"/>
  <c r="O129" i="27"/>
  <c r="F129" i="27"/>
  <c r="G219" i="27"/>
  <c r="K219" i="27" s="1"/>
  <c r="H100" i="27"/>
  <c r="G115" i="27"/>
  <c r="F121" i="27"/>
  <c r="O121" i="27"/>
  <c r="O204" i="27"/>
  <c r="F204" i="27"/>
  <c r="F226" i="27"/>
  <c r="H226" i="27" s="1"/>
  <c r="O226" i="27"/>
  <c r="F104" i="27"/>
  <c r="O104" i="27"/>
  <c r="O103" i="27"/>
  <c r="F103" i="27"/>
  <c r="I103" i="27" s="1"/>
  <c r="F107" i="27"/>
  <c r="O107" i="27"/>
  <c r="F147" i="27"/>
  <c r="O147" i="27"/>
  <c r="E204" i="27"/>
  <c r="O94" i="27"/>
  <c r="F94" i="27"/>
  <c r="I94" i="27" s="1"/>
  <c r="F214" i="27"/>
  <c r="I214" i="27" s="1"/>
  <c r="O214" i="27"/>
  <c r="E211" i="27"/>
  <c r="O211" i="27"/>
  <c r="F211" i="27"/>
  <c r="O88" i="27"/>
  <c r="F88" i="27"/>
  <c r="O74" i="27"/>
  <c r="F74" i="27"/>
  <c r="H74" i="27" s="1"/>
  <c r="O234" i="27"/>
  <c r="F234" i="27"/>
  <c r="F185" i="27"/>
  <c r="O185" i="27"/>
  <c r="O141" i="27"/>
  <c r="F141" i="27"/>
  <c r="G141" i="27" s="1"/>
  <c r="I195" i="27"/>
  <c r="O188" i="27"/>
  <c r="F188" i="27"/>
  <c r="I160" i="27"/>
  <c r="K160" i="27" s="1"/>
  <c r="I156" i="27"/>
  <c r="G197" i="27"/>
  <c r="O233" i="27"/>
  <c r="F233" i="27"/>
  <c r="G200" i="27"/>
  <c r="H160" i="27"/>
  <c r="I139" i="27"/>
  <c r="H76" i="27"/>
  <c r="I77" i="27"/>
  <c r="O114" i="27"/>
  <c r="F114" i="27"/>
  <c r="H114" i="27" s="1"/>
  <c r="F228" i="27"/>
  <c r="O228" i="27"/>
  <c r="F161" i="27"/>
  <c r="O161" i="27"/>
  <c r="O109" i="27"/>
  <c r="F109" i="27"/>
  <c r="E233" i="27"/>
  <c r="O91" i="27"/>
  <c r="F91" i="27"/>
  <c r="H91" i="27" s="1"/>
  <c r="I200" i="27"/>
  <c r="G117" i="27"/>
  <c r="I197" i="27"/>
  <c r="O81" i="27"/>
  <c r="F81" i="27"/>
  <c r="O224" i="27"/>
  <c r="F224" i="27"/>
  <c r="G224" i="27" s="1"/>
  <c r="O194" i="27"/>
  <c r="F194" i="27"/>
  <c r="G194" i="27" s="1"/>
  <c r="O105" i="27"/>
  <c r="F105" i="27"/>
  <c r="G105" i="27" s="1"/>
  <c r="F190" i="27"/>
  <c r="O190" i="27"/>
  <c r="F102" i="27"/>
  <c r="H102" i="27" s="1"/>
  <c r="O102" i="27"/>
  <c r="O162" i="27"/>
  <c r="F162" i="27"/>
  <c r="I138" i="27"/>
  <c r="I116" i="27"/>
  <c r="G220" i="27"/>
  <c r="H77" i="27"/>
  <c r="I176" i="27"/>
  <c r="E104" i="27"/>
  <c r="O172" i="27"/>
  <c r="F172" i="27"/>
  <c r="H172" i="27" s="1"/>
  <c r="F83" i="27"/>
  <c r="H83" i="27" s="1"/>
  <c r="O83" i="27"/>
  <c r="O145" i="27"/>
  <c r="F145" i="27"/>
  <c r="H145" i="27" s="1"/>
  <c r="F152" i="27"/>
  <c r="H152" i="27" s="1"/>
  <c r="O152" i="27"/>
  <c r="O128" i="27"/>
  <c r="F128" i="27"/>
  <c r="H128" i="27" s="1"/>
  <c r="G156" i="27"/>
  <c r="G120" i="27"/>
  <c r="O110" i="27"/>
  <c r="F110" i="27"/>
  <c r="O82" i="27"/>
  <c r="F82" i="27"/>
  <c r="H82" i="27" s="1"/>
  <c r="F191" i="27"/>
  <c r="I191" i="27" s="1"/>
  <c r="O191" i="27"/>
  <c r="O85" i="27"/>
  <c r="F85" i="27"/>
  <c r="F125" i="27"/>
  <c r="O125" i="27"/>
  <c r="O173" i="27"/>
  <c r="F173" i="27"/>
  <c r="I173" i="27" s="1"/>
  <c r="O130" i="27"/>
  <c r="F130" i="27"/>
  <c r="O89" i="27"/>
  <c r="F89" i="27"/>
  <c r="O151" i="27"/>
  <c r="F151" i="27"/>
  <c r="G151" i="27" s="1"/>
  <c r="O166" i="27"/>
  <c r="F166" i="27"/>
  <c r="F193" i="27"/>
  <c r="O193" i="27"/>
  <c r="O210" i="27"/>
  <c r="F210" i="27"/>
  <c r="I210" i="27" s="1"/>
  <c r="O146" i="27"/>
  <c r="F146" i="27"/>
  <c r="F111" i="27"/>
  <c r="I111" i="27" s="1"/>
  <c r="O111" i="27"/>
  <c r="F149" i="27"/>
  <c r="I149" i="27" s="1"/>
  <c r="O149" i="27"/>
  <c r="F183" i="27"/>
  <c r="I183" i="27" s="1"/>
  <c r="O183" i="27"/>
  <c r="F223" i="27"/>
  <c r="G223" i="27" s="1"/>
  <c r="O223" i="27"/>
  <c r="F142" i="27"/>
  <c r="I142" i="27" s="1"/>
  <c r="O142" i="27"/>
  <c r="I177" i="27"/>
  <c r="F106" i="27"/>
  <c r="I106" i="27" s="1"/>
  <c r="O106" i="27"/>
  <c r="O222" i="27"/>
  <c r="F222" i="27"/>
  <c r="G222" i="27" s="1"/>
  <c r="O225" i="27"/>
  <c r="F225" i="27"/>
  <c r="H177" i="27"/>
  <c r="E162" i="27"/>
  <c r="E185" i="27"/>
  <c r="E125" i="27"/>
  <c r="E161" i="27"/>
  <c r="O163" i="27"/>
  <c r="F163" i="27"/>
  <c r="G163" i="27" s="1"/>
  <c r="E188" i="27"/>
  <c r="I117" i="27"/>
  <c r="E146" i="27"/>
  <c r="E89" i="27"/>
  <c r="F241" i="27"/>
  <c r="O241" i="27"/>
  <c r="E88" i="27"/>
  <c r="E110" i="27"/>
  <c r="O132" i="27"/>
  <c r="F132" i="27"/>
  <c r="I132" i="27" s="1"/>
  <c r="O171" i="27"/>
  <c r="F171" i="27"/>
  <c r="I171" i="27" s="1"/>
  <c r="O134" i="27"/>
  <c r="F134" i="27"/>
  <c r="O90" i="27"/>
  <c r="F90" i="27"/>
  <c r="I90" i="27" s="1"/>
  <c r="O169" i="27"/>
  <c r="F169" i="27"/>
  <c r="H169" i="27" s="1"/>
  <c r="F212" i="27"/>
  <c r="H212" i="27" s="1"/>
  <c r="O212" i="27"/>
  <c r="G195" i="27"/>
  <c r="O133" i="27"/>
  <c r="F133" i="27"/>
  <c r="G133" i="27" s="1"/>
  <c r="G73" i="27"/>
  <c r="I175" i="27"/>
  <c r="I80" i="27"/>
  <c r="O201" i="27"/>
  <c r="F201" i="27"/>
  <c r="H201" i="27" s="1"/>
  <c r="G137" i="27"/>
  <c r="K137" i="27" s="1"/>
  <c r="E166" i="27"/>
  <c r="F126" i="27"/>
  <c r="H126" i="27" s="1"/>
  <c r="O126" i="27"/>
  <c r="O122" i="27"/>
  <c r="F122" i="27"/>
  <c r="H122" i="27" s="1"/>
  <c r="G116" i="27"/>
  <c r="G80" i="27"/>
  <c r="I115" i="27"/>
  <c r="H199" i="27"/>
  <c r="E109" i="27"/>
  <c r="E228" i="27"/>
  <c r="E234" i="27"/>
  <c r="O108" i="27"/>
  <c r="F108" i="27"/>
  <c r="G108" i="27" s="1"/>
  <c r="O231" i="27"/>
  <c r="F231" i="27"/>
  <c r="H231" i="27" s="1"/>
  <c r="F153" i="27"/>
  <c r="O153" i="27"/>
  <c r="F164" i="27"/>
  <c r="I164" i="27" s="1"/>
  <c r="O164" i="27"/>
  <c r="O167" i="27"/>
  <c r="F167" i="27"/>
  <c r="I167" i="27" s="1"/>
  <c r="O181" i="27"/>
  <c r="F181" i="27"/>
  <c r="O229" i="27"/>
  <c r="F229" i="27"/>
  <c r="I229" i="27" s="1"/>
  <c r="O168" i="27"/>
  <c r="F168" i="27"/>
  <c r="O148" i="27"/>
  <c r="F148" i="27"/>
  <c r="H148" i="27" s="1"/>
  <c r="F184" i="27"/>
  <c r="O184" i="27"/>
  <c r="F92" i="27"/>
  <c r="G92" i="27" s="1"/>
  <c r="O92" i="27"/>
  <c r="E134" i="27"/>
  <c r="O189" i="27"/>
  <c r="F189" i="27"/>
  <c r="I189" i="27" s="1"/>
  <c r="F209" i="27"/>
  <c r="O209" i="27"/>
  <c r="O124" i="27"/>
  <c r="F124" i="27"/>
  <c r="G124" i="27" s="1"/>
  <c r="F170" i="27"/>
  <c r="I170" i="27" s="1"/>
  <c r="O170" i="27"/>
  <c r="E147" i="27"/>
  <c r="E130" i="27"/>
  <c r="O131" i="27"/>
  <c r="F131" i="27"/>
  <c r="H131" i="27" s="1"/>
  <c r="I135" i="27"/>
  <c r="F143" i="27"/>
  <c r="G143" i="27" s="1"/>
  <c r="O143" i="27"/>
  <c r="G237" i="27"/>
  <c r="F123" i="27"/>
  <c r="I123" i="27" s="1"/>
  <c r="O123" i="27"/>
  <c r="F87" i="27"/>
  <c r="H87" i="27" s="1"/>
  <c r="O87" i="27"/>
  <c r="H120" i="27"/>
  <c r="H96" i="27"/>
  <c r="E85" i="27"/>
  <c r="E225" i="27"/>
  <c r="E127" i="27"/>
  <c r="E129" i="27"/>
  <c r="F203" i="27"/>
  <c r="H203" i="27" s="1"/>
  <c r="O203" i="27"/>
  <c r="F186" i="27"/>
  <c r="G186" i="27" s="1"/>
  <c r="O186" i="27"/>
  <c r="F221" i="27"/>
  <c r="I221" i="27" s="1"/>
  <c r="O221" i="27"/>
  <c r="F113" i="27"/>
  <c r="H113" i="27" s="1"/>
  <c r="O113" i="27"/>
  <c r="O206" i="27"/>
  <c r="F206" i="27"/>
  <c r="H206" i="27" s="1"/>
  <c r="F232" i="27"/>
  <c r="H232" i="27" s="1"/>
  <c r="O232" i="27"/>
  <c r="O205" i="27"/>
  <c r="F205" i="27"/>
  <c r="I205" i="27" s="1"/>
  <c r="O112" i="27"/>
  <c r="F112" i="27"/>
  <c r="E184" i="27"/>
  <c r="E209" i="27"/>
  <c r="F213" i="27"/>
  <c r="H213" i="27" s="1"/>
  <c r="O213" i="27"/>
  <c r="H137" i="27"/>
  <c r="G176" i="27"/>
  <c r="O84" i="27"/>
  <c r="F84" i="27"/>
  <c r="G84" i="27" s="1"/>
  <c r="E107" i="27"/>
  <c r="O174" i="27"/>
  <c r="F174" i="27"/>
  <c r="G174" i="27" s="1"/>
  <c r="E112" i="27"/>
  <c r="O101" i="27"/>
  <c r="F101" i="27"/>
  <c r="I101" i="27" s="1"/>
  <c r="O86" i="27"/>
  <c r="F86" i="27"/>
  <c r="H86" i="27" s="1"/>
  <c r="O192" i="27"/>
  <c r="F192" i="27"/>
  <c r="H192" i="27" s="1"/>
  <c r="F230" i="27"/>
  <c r="G230" i="27" s="1"/>
  <c r="O230" i="27"/>
  <c r="I96" i="27"/>
  <c r="K96" i="27" s="1"/>
  <c r="L96" i="27" s="1"/>
  <c r="M96" i="27" s="1"/>
  <c r="E193" i="27"/>
  <c r="O150" i="27"/>
  <c r="F150" i="27"/>
  <c r="H150" i="27" s="1"/>
  <c r="O154" i="27"/>
  <c r="F154" i="27"/>
  <c r="I154" i="27" s="1"/>
  <c r="O182" i="27"/>
  <c r="F182" i="27"/>
  <c r="G182" i="27" s="1"/>
  <c r="F202" i="27"/>
  <c r="G202" i="27" s="1"/>
  <c r="O202" i="27"/>
  <c r="E190" i="27"/>
  <c r="F227" i="27"/>
  <c r="H227" i="27" s="1"/>
  <c r="O227" i="27"/>
  <c r="O93" i="27"/>
  <c r="F93" i="27"/>
  <c r="H93" i="27" s="1"/>
  <c r="F208" i="27"/>
  <c r="O208" i="27"/>
  <c r="F165" i="27"/>
  <c r="G165" i="27" s="1"/>
  <c r="O165" i="27"/>
  <c r="E208" i="27"/>
  <c r="Q244" i="27"/>
  <c r="Q243" i="27"/>
  <c r="Q242" i="27"/>
  <c r="H15" i="27"/>
  <c r="H17" i="27" s="1"/>
  <c r="H16" i="27"/>
  <c r="H18" i="27"/>
  <c r="H19" i="27"/>
  <c r="H23" i="27"/>
  <c r="G72" i="27"/>
  <c r="H70" i="27"/>
  <c r="H72" i="27"/>
  <c r="G70" i="27"/>
  <c r="I73" i="27"/>
  <c r="H73" i="27"/>
  <c r="I22" i="27"/>
  <c r="H62" i="27"/>
  <c r="H64" i="27"/>
  <c r="H63" i="27"/>
  <c r="I65" i="27"/>
  <c r="I67" i="27"/>
  <c r="K67" i="27" s="1"/>
  <c r="H67" i="27"/>
  <c r="I64" i="27"/>
  <c r="G66" i="27"/>
  <c r="I66" i="27"/>
  <c r="I62" i="27"/>
  <c r="H207" i="27"/>
  <c r="G63" i="27"/>
  <c r="K63" i="27" s="1"/>
  <c r="H187" i="27"/>
  <c r="I207" i="27"/>
  <c r="K207" i="27" s="1"/>
  <c r="L207" i="27" s="1"/>
  <c r="M207" i="27" s="1"/>
  <c r="G65" i="27"/>
  <c r="I187" i="27"/>
  <c r="K187" i="27" s="1"/>
  <c r="I59" i="27"/>
  <c r="I47" i="27"/>
  <c r="G58" i="27"/>
  <c r="G48" i="27"/>
  <c r="G60" i="27"/>
  <c r="K238" i="27"/>
  <c r="L238" i="27" s="1"/>
  <c r="M238" i="27" s="1"/>
  <c r="I51" i="27"/>
  <c r="G56" i="27"/>
  <c r="H48" i="27"/>
  <c r="I48" i="27"/>
  <c r="H47" i="27"/>
  <c r="I56" i="27"/>
  <c r="G47" i="27"/>
  <c r="G59" i="27"/>
  <c r="I60" i="27"/>
  <c r="H60" i="27"/>
  <c r="G51" i="27"/>
  <c r="H51" i="27"/>
  <c r="G44" i="27"/>
  <c r="I44" i="27"/>
  <c r="H59" i="27"/>
  <c r="H44" i="27"/>
  <c r="H50" i="27"/>
  <c r="G50" i="27"/>
  <c r="I50" i="27"/>
  <c r="H46" i="27"/>
  <c r="G46" i="27"/>
  <c r="I46" i="27"/>
  <c r="H58" i="27"/>
  <c r="I52" i="27"/>
  <c r="H52" i="27"/>
  <c r="G52" i="27"/>
  <c r="I49" i="27"/>
  <c r="H49" i="27"/>
  <c r="G49" i="27"/>
  <c r="I43" i="27"/>
  <c r="H43" i="27"/>
  <c r="G43" i="27"/>
  <c r="G53" i="27"/>
  <c r="I53" i="27"/>
  <c r="H53" i="27"/>
  <c r="I58" i="27"/>
  <c r="G54" i="27"/>
  <c r="I54" i="27"/>
  <c r="H54" i="27"/>
  <c r="G45" i="27"/>
  <c r="H45" i="27"/>
  <c r="G57" i="27"/>
  <c r="I57" i="27"/>
  <c r="H57" i="27"/>
  <c r="G42" i="27"/>
  <c r="K42" i="27" s="1"/>
  <c r="H42" i="27"/>
  <c r="AA3" i="11"/>
  <c r="W6" i="23"/>
  <c r="K180" i="27" l="1"/>
  <c r="L180" i="27" s="1"/>
  <c r="M180" i="27" s="1"/>
  <c r="K135" i="27"/>
  <c r="L135" i="27" s="1"/>
  <c r="M135" i="27" s="1"/>
  <c r="K235" i="27"/>
  <c r="L235" i="27" s="1"/>
  <c r="M235" i="27" s="1"/>
  <c r="K136" i="27"/>
  <c r="L136" i="27" s="1"/>
  <c r="M136" i="27" s="1"/>
  <c r="K68" i="27"/>
  <c r="L68" i="27" s="1"/>
  <c r="M68" i="27" s="1"/>
  <c r="K240" i="27"/>
  <c r="L240" i="27" s="1"/>
  <c r="M240" i="27" s="1"/>
  <c r="K116" i="27"/>
  <c r="L116" i="27" s="1"/>
  <c r="M116" i="27" s="1"/>
  <c r="K196" i="27"/>
  <c r="L196" i="27" s="1"/>
  <c r="M196" i="27" s="1"/>
  <c r="I147" i="27"/>
  <c r="K159" i="27"/>
  <c r="L159" i="27" s="1"/>
  <c r="M159" i="27" s="1"/>
  <c r="K80" i="27"/>
  <c r="L80" i="27" s="1"/>
  <c r="M80" i="27" s="1"/>
  <c r="K75" i="27"/>
  <c r="L75" i="27" s="1"/>
  <c r="M75" i="27" s="1"/>
  <c r="K115" i="27"/>
  <c r="L115" i="27" s="1"/>
  <c r="M115" i="27" s="1"/>
  <c r="K70" i="27"/>
  <c r="L70" i="27" s="1"/>
  <c r="M70" i="27" s="1"/>
  <c r="K215" i="27"/>
  <c r="L215" i="27" s="1"/>
  <c r="M215" i="27" s="1"/>
  <c r="K220" i="27"/>
  <c r="L220" i="27" s="1"/>
  <c r="M220" i="27" s="1"/>
  <c r="K200" i="27"/>
  <c r="L200" i="27" s="1"/>
  <c r="M200" i="27" s="1"/>
  <c r="K62" i="27"/>
  <c r="L62" i="27" s="1"/>
  <c r="M62" i="27" s="1"/>
  <c r="K118" i="27"/>
  <c r="L118" i="27" s="1"/>
  <c r="M118" i="27" s="1"/>
  <c r="I166" i="27"/>
  <c r="K216" i="27"/>
  <c r="L216" i="27" s="1"/>
  <c r="M216" i="27" s="1"/>
  <c r="K95" i="27"/>
  <c r="L95" i="27" s="1"/>
  <c r="M95" i="27" s="1"/>
  <c r="K179" i="27"/>
  <c r="L179" i="27" s="1"/>
  <c r="M179" i="27" s="1"/>
  <c r="G132" i="27"/>
  <c r="K132" i="27" s="1"/>
  <c r="L132" i="27" s="1"/>
  <c r="M132" i="27" s="1"/>
  <c r="I222" i="27"/>
  <c r="K222" i="27" s="1"/>
  <c r="L222" i="27" s="1"/>
  <c r="M222" i="27" s="1"/>
  <c r="H132" i="27"/>
  <c r="K120" i="27"/>
  <c r="L120" i="27" s="1"/>
  <c r="M120" i="27" s="1"/>
  <c r="K119" i="27"/>
  <c r="L119" i="27" s="1"/>
  <c r="M119" i="27" s="1"/>
  <c r="K157" i="27"/>
  <c r="L157" i="27" s="1"/>
  <c r="M157" i="27" s="1"/>
  <c r="H222" i="27"/>
  <c r="G109" i="27"/>
  <c r="K197" i="27"/>
  <c r="L197" i="27" s="1"/>
  <c r="M197" i="27" s="1"/>
  <c r="K139" i="27"/>
  <c r="L139" i="27" s="1"/>
  <c r="M139" i="27" s="1"/>
  <c r="H103" i="27"/>
  <c r="H191" i="27"/>
  <c r="K97" i="27"/>
  <c r="L97" i="27" s="1"/>
  <c r="M97" i="27" s="1"/>
  <c r="H127" i="27"/>
  <c r="K69" i="27"/>
  <c r="L69" i="27" s="1"/>
  <c r="M69" i="27" s="1"/>
  <c r="K77" i="27"/>
  <c r="L77" i="27" s="1"/>
  <c r="N77" i="27" s="1"/>
  <c r="K218" i="27"/>
  <c r="L218" i="27" s="1"/>
  <c r="M218" i="27" s="1"/>
  <c r="K138" i="27"/>
  <c r="L138" i="27" s="1"/>
  <c r="N138" i="27" s="1"/>
  <c r="I150" i="27"/>
  <c r="K239" i="27"/>
  <c r="L239" i="27" s="1"/>
  <c r="M239" i="27" s="1"/>
  <c r="G55" i="27"/>
  <c r="K55" i="27" s="1"/>
  <c r="G210" i="27"/>
  <c r="K210" i="27" s="1"/>
  <c r="L210" i="27" s="1"/>
  <c r="M210" i="27" s="1"/>
  <c r="K100" i="27"/>
  <c r="L100" i="27" s="1"/>
  <c r="M100" i="27" s="1"/>
  <c r="K76" i="27"/>
  <c r="L76" i="27" s="1"/>
  <c r="M76" i="27" s="1"/>
  <c r="K217" i="27"/>
  <c r="L217" i="27" s="1"/>
  <c r="M217" i="27" s="1"/>
  <c r="H55" i="27"/>
  <c r="G106" i="27"/>
  <c r="K106" i="27" s="1"/>
  <c r="L106" i="27" s="1"/>
  <c r="M106" i="27" s="1"/>
  <c r="G89" i="27"/>
  <c r="K237" i="27"/>
  <c r="L237" i="27" s="1"/>
  <c r="M237" i="27" s="1"/>
  <c r="H106" i="27"/>
  <c r="K98" i="27"/>
  <c r="L98" i="27" s="1"/>
  <c r="M98" i="27" s="1"/>
  <c r="K78" i="27"/>
  <c r="L78" i="27" s="1"/>
  <c r="M78" i="27" s="1"/>
  <c r="N140" i="27"/>
  <c r="P140" i="27" s="1"/>
  <c r="H146" i="27"/>
  <c r="G125" i="27"/>
  <c r="K72" i="27"/>
  <c r="L72" i="27" s="1"/>
  <c r="M72" i="27" s="1"/>
  <c r="K175" i="27"/>
  <c r="L175" i="27" s="1"/>
  <c r="M175" i="27" s="1"/>
  <c r="H92" i="27"/>
  <c r="K79" i="27"/>
  <c r="L79" i="27" s="1"/>
  <c r="M79" i="27" s="1"/>
  <c r="K64" i="27"/>
  <c r="L64" i="27" s="1"/>
  <c r="M64" i="27" s="1"/>
  <c r="I131" i="27"/>
  <c r="G103" i="27"/>
  <c r="K103" i="27" s="1"/>
  <c r="L103" i="27" s="1"/>
  <c r="M103" i="27" s="1"/>
  <c r="I128" i="27"/>
  <c r="G205" i="27"/>
  <c r="K205" i="27" s="1"/>
  <c r="L205" i="27" s="1"/>
  <c r="M205" i="27" s="1"/>
  <c r="I92" i="27"/>
  <c r="K92" i="27" s="1"/>
  <c r="L92" i="27" s="1"/>
  <c r="M92" i="27" s="1"/>
  <c r="G192" i="27"/>
  <c r="I165" i="27"/>
  <c r="K165" i="27" s="1"/>
  <c r="L165" i="27" s="1"/>
  <c r="M165" i="27" s="1"/>
  <c r="H185" i="27"/>
  <c r="H205" i="27"/>
  <c r="G123" i="27"/>
  <c r="K123" i="27" s="1"/>
  <c r="L123" i="27" s="1"/>
  <c r="M123" i="27" s="1"/>
  <c r="H133" i="27"/>
  <c r="G93" i="27"/>
  <c r="I93" i="27"/>
  <c r="H170" i="27"/>
  <c r="I212" i="27"/>
  <c r="K73" i="27"/>
  <c r="L73" i="27" s="1"/>
  <c r="M73" i="27" s="1"/>
  <c r="G94" i="27"/>
  <c r="K94" i="27" s="1"/>
  <c r="L94" i="27" s="1"/>
  <c r="M94" i="27" s="1"/>
  <c r="H105" i="27"/>
  <c r="G191" i="27"/>
  <c r="K191" i="27" s="1"/>
  <c r="L191" i="27" s="1"/>
  <c r="M191" i="27" s="1"/>
  <c r="K156" i="27"/>
  <c r="L156" i="27" s="1"/>
  <c r="M156" i="27" s="1"/>
  <c r="G86" i="27"/>
  <c r="K199" i="27"/>
  <c r="L199" i="27" s="1"/>
  <c r="M199" i="27" s="1"/>
  <c r="H174" i="27"/>
  <c r="H194" i="27"/>
  <c r="K176" i="27"/>
  <c r="L176" i="27" s="1"/>
  <c r="M176" i="27" s="1"/>
  <c r="H210" i="27"/>
  <c r="H109" i="27"/>
  <c r="I124" i="27"/>
  <c r="K124" i="27" s="1"/>
  <c r="L124" i="27" s="1"/>
  <c r="M124" i="27" s="1"/>
  <c r="G170" i="27"/>
  <c r="K170" i="27" s="1"/>
  <c r="L170" i="27" s="1"/>
  <c r="M170" i="27" s="1"/>
  <c r="H229" i="27"/>
  <c r="H214" i="27"/>
  <c r="I146" i="27"/>
  <c r="G149" i="27"/>
  <c r="K149" i="27" s="1"/>
  <c r="L149" i="27" s="1"/>
  <c r="M149" i="27" s="1"/>
  <c r="H124" i="27"/>
  <c r="G131" i="27"/>
  <c r="I129" i="27"/>
  <c r="H130" i="27"/>
  <c r="G82" i="27"/>
  <c r="H165" i="27"/>
  <c r="H184" i="27"/>
  <c r="H225" i="27"/>
  <c r="K195" i="27"/>
  <c r="L195" i="27" s="1"/>
  <c r="M195" i="27" s="1"/>
  <c r="I82" i="27"/>
  <c r="I85" i="27"/>
  <c r="I109" i="27"/>
  <c r="I113" i="27"/>
  <c r="G107" i="27"/>
  <c r="G212" i="27"/>
  <c r="I84" i="27"/>
  <c r="K84" i="27" s="1"/>
  <c r="L84" i="27" s="1"/>
  <c r="M84" i="27" s="1"/>
  <c r="I104" i="27"/>
  <c r="I133" i="27"/>
  <c r="K133" i="27" s="1"/>
  <c r="L133" i="27" s="1"/>
  <c r="M133" i="27" s="1"/>
  <c r="G126" i="27"/>
  <c r="H224" i="27"/>
  <c r="I194" i="27"/>
  <c r="K194" i="27" s="1"/>
  <c r="L194" i="27" s="1"/>
  <c r="M194" i="27" s="1"/>
  <c r="I186" i="27"/>
  <c r="K186" i="27" s="1"/>
  <c r="L186" i="27" s="1"/>
  <c r="M186" i="27" s="1"/>
  <c r="H107" i="27"/>
  <c r="H173" i="27"/>
  <c r="H189" i="27"/>
  <c r="I230" i="27"/>
  <c r="K230" i="27" s="1"/>
  <c r="I172" i="27"/>
  <c r="G145" i="27"/>
  <c r="G152" i="27"/>
  <c r="G229" i="27"/>
  <c r="K229" i="27" s="1"/>
  <c r="L229" i="27" s="1"/>
  <c r="M229" i="27" s="1"/>
  <c r="I134" i="27"/>
  <c r="H149" i="27"/>
  <c r="I105" i="27"/>
  <c r="K105" i="27" s="1"/>
  <c r="L105" i="27" s="1"/>
  <c r="M105" i="27" s="1"/>
  <c r="G213" i="27"/>
  <c r="H230" i="27"/>
  <c r="K117" i="27"/>
  <c r="L117" i="27" s="1"/>
  <c r="M117" i="27" s="1"/>
  <c r="H141" i="27"/>
  <c r="H183" i="27"/>
  <c r="I152" i="27"/>
  <c r="G169" i="27"/>
  <c r="G74" i="27"/>
  <c r="I213" i="27"/>
  <c r="G83" i="27"/>
  <c r="I86" i="27"/>
  <c r="G127" i="27"/>
  <c r="I223" i="27"/>
  <c r="K223" i="27" s="1"/>
  <c r="H89" i="27"/>
  <c r="G164" i="27"/>
  <c r="K164" i="27" s="1"/>
  <c r="G172" i="27"/>
  <c r="G193" i="27"/>
  <c r="G201" i="27"/>
  <c r="I141" i="27"/>
  <c r="K141" i="27" s="1"/>
  <c r="L141" i="27" s="1"/>
  <c r="M141" i="27" s="1"/>
  <c r="G185" i="27"/>
  <c r="G173" i="27"/>
  <c r="K173" i="27" s="1"/>
  <c r="H85" i="27"/>
  <c r="I83" i="27"/>
  <c r="H223" i="27"/>
  <c r="I107" i="27"/>
  <c r="K177" i="27"/>
  <c r="L177" i="27" s="1"/>
  <c r="M177" i="27" s="1"/>
  <c r="I169" i="27"/>
  <c r="I192" i="27"/>
  <c r="I201" i="27"/>
  <c r="G203" i="27"/>
  <c r="G114" i="27"/>
  <c r="G130" i="27"/>
  <c r="G162" i="27"/>
  <c r="H129" i="27"/>
  <c r="I203" i="27"/>
  <c r="H123" i="27"/>
  <c r="I144" i="27"/>
  <c r="K144" i="27" s="1"/>
  <c r="L144" i="27" s="1"/>
  <c r="M144" i="27" s="1"/>
  <c r="G231" i="27"/>
  <c r="G183" i="27"/>
  <c r="K183" i="27" s="1"/>
  <c r="I145" i="27"/>
  <c r="I225" i="27"/>
  <c r="I87" i="27"/>
  <c r="I102" i="27"/>
  <c r="I224" i="27"/>
  <c r="K224" i="27" s="1"/>
  <c r="L224" i="27" s="1"/>
  <c r="M224" i="27" s="1"/>
  <c r="H186" i="27"/>
  <c r="G111" i="27"/>
  <c r="K111" i="27" s="1"/>
  <c r="L111" i="27" s="1"/>
  <c r="M111" i="27" s="1"/>
  <c r="H154" i="27"/>
  <c r="I204" i="27"/>
  <c r="H84" i="27"/>
  <c r="H190" i="27"/>
  <c r="G190" i="27"/>
  <c r="I190" i="27"/>
  <c r="G101" i="27"/>
  <c r="K101" i="27" s="1"/>
  <c r="L101" i="27" s="1"/>
  <c r="M101" i="27" s="1"/>
  <c r="H144" i="27"/>
  <c r="I126" i="27"/>
  <c r="G134" i="27"/>
  <c r="G233" i="27"/>
  <c r="I233" i="27"/>
  <c r="H233" i="27"/>
  <c r="G102" i="27"/>
  <c r="G211" i="27"/>
  <c r="I211" i="27"/>
  <c r="H211" i="27"/>
  <c r="H101" i="27"/>
  <c r="H163" i="27"/>
  <c r="H153" i="27"/>
  <c r="I153" i="27"/>
  <c r="G153" i="27"/>
  <c r="I91" i="27"/>
  <c r="G189" i="27"/>
  <c r="K189" i="27" s="1"/>
  <c r="L189" i="27" s="1"/>
  <c r="M189" i="27" s="1"/>
  <c r="G87" i="27"/>
  <c r="H134" i="27"/>
  <c r="H164" i="27"/>
  <c r="I227" i="27"/>
  <c r="I231" i="27"/>
  <c r="I74" i="27"/>
  <c r="H162" i="27"/>
  <c r="G113" i="27"/>
  <c r="I232" i="27"/>
  <c r="G166" i="27"/>
  <c r="G142" i="27"/>
  <c r="K142" i="27" s="1"/>
  <c r="I163" i="27"/>
  <c r="K163" i="27" s="1"/>
  <c r="L163" i="27" s="1"/>
  <c r="M163" i="27" s="1"/>
  <c r="G91" i="27"/>
  <c r="H121" i="27"/>
  <c r="I121" i="27"/>
  <c r="H142" i="27"/>
  <c r="G154" i="27"/>
  <c r="K154" i="27" s="1"/>
  <c r="L154" i="27" s="1"/>
  <c r="M154" i="27" s="1"/>
  <c r="G232" i="27"/>
  <c r="I206" i="27"/>
  <c r="I162" i="27"/>
  <c r="I151" i="27"/>
  <c r="K151" i="27" s="1"/>
  <c r="L151" i="27" s="1"/>
  <c r="M151" i="27" s="1"/>
  <c r="I193" i="27"/>
  <c r="H234" i="27"/>
  <c r="I234" i="27"/>
  <c r="G234" i="27"/>
  <c r="I182" i="27"/>
  <c r="K182" i="27" s="1"/>
  <c r="L182" i="27" s="1"/>
  <c r="M182" i="27" s="1"/>
  <c r="I108" i="27"/>
  <c r="K108" i="27" s="1"/>
  <c r="L108" i="27" s="1"/>
  <c r="M108" i="27" s="1"/>
  <c r="G206" i="27"/>
  <c r="G226" i="27"/>
  <c r="I226" i="27"/>
  <c r="H104" i="27"/>
  <c r="I185" i="27"/>
  <c r="I125" i="27"/>
  <c r="H151" i="27"/>
  <c r="G208" i="27"/>
  <c r="I208" i="27"/>
  <c r="H208" i="27"/>
  <c r="G228" i="27"/>
  <c r="H228" i="27"/>
  <c r="I228" i="27"/>
  <c r="H108" i="27"/>
  <c r="H202" i="27"/>
  <c r="G167" i="27"/>
  <c r="K167" i="27" s="1"/>
  <c r="L167" i="27" s="1"/>
  <c r="M167" i="27" s="1"/>
  <c r="I202" i="27"/>
  <c r="K202" i="27" s="1"/>
  <c r="L202" i="27" s="1"/>
  <c r="M202" i="27" s="1"/>
  <c r="G204" i="27"/>
  <c r="H166" i="27"/>
  <c r="I209" i="27"/>
  <c r="H209" i="27"/>
  <c r="G209" i="27"/>
  <c r="G147" i="27"/>
  <c r="G227" i="27"/>
  <c r="I110" i="27"/>
  <c r="H110" i="27"/>
  <c r="G110" i="27"/>
  <c r="G104" i="27"/>
  <c r="G150" i="27"/>
  <c r="I161" i="27"/>
  <c r="H161" i="27"/>
  <c r="G161" i="27"/>
  <c r="I174" i="27"/>
  <c r="K174" i="27" s="1"/>
  <c r="L174" i="27" s="1"/>
  <c r="M174" i="27" s="1"/>
  <c r="I122" i="27"/>
  <c r="G122" i="27"/>
  <c r="I127" i="27"/>
  <c r="H221" i="27"/>
  <c r="H90" i="27"/>
  <c r="I143" i="27"/>
  <c r="K143" i="27" s="1"/>
  <c r="L143" i="27" s="1"/>
  <c r="M143" i="27" s="1"/>
  <c r="G184" i="27"/>
  <c r="G221" i="27"/>
  <c r="K221" i="27" s="1"/>
  <c r="L221" i="27" s="1"/>
  <c r="M221" i="27" s="1"/>
  <c r="H94" i="27"/>
  <c r="H193" i="27"/>
  <c r="H182" i="27"/>
  <c r="H125" i="27"/>
  <c r="I184" i="27"/>
  <c r="I114" i="27"/>
  <c r="H111" i="27"/>
  <c r="G225" i="27"/>
  <c r="G241" i="27"/>
  <c r="H241" i="27"/>
  <c r="I241" i="27"/>
  <c r="H171" i="27"/>
  <c r="G90" i="27"/>
  <c r="K90" i="27" s="1"/>
  <c r="L90" i="27" s="1"/>
  <c r="M90" i="27" s="1"/>
  <c r="G148" i="27"/>
  <c r="I188" i="27"/>
  <c r="G188" i="27"/>
  <c r="H188" i="27"/>
  <c r="G129" i="27"/>
  <c r="H88" i="27"/>
  <c r="I88" i="27"/>
  <c r="G88" i="27"/>
  <c r="H81" i="27"/>
  <c r="I81" i="27"/>
  <c r="G81" i="27"/>
  <c r="H167" i="27"/>
  <c r="H143" i="27"/>
  <c r="G121" i="27"/>
  <c r="G171" i="27"/>
  <c r="K171" i="27" s="1"/>
  <c r="G85" i="27"/>
  <c r="I89" i="27"/>
  <c r="G128" i="27"/>
  <c r="I148" i="27"/>
  <c r="H112" i="27"/>
  <c r="G112" i="27"/>
  <c r="I112" i="27"/>
  <c r="H204" i="27"/>
  <c r="G168" i="27"/>
  <c r="I168" i="27"/>
  <c r="H168" i="27"/>
  <c r="N96" i="27"/>
  <c r="P96" i="27" s="1"/>
  <c r="H147" i="27"/>
  <c r="I130" i="27"/>
  <c r="G181" i="27"/>
  <c r="I181" i="27"/>
  <c r="H181" i="27"/>
  <c r="G146" i="27"/>
  <c r="G214" i="27"/>
  <c r="K214" i="27" s="1"/>
  <c r="L214" i="27" s="1"/>
  <c r="M214" i="27" s="1"/>
  <c r="Q245" i="27"/>
  <c r="Q246" i="27"/>
  <c r="H21" i="27"/>
  <c r="H20" i="27"/>
  <c r="K65" i="27"/>
  <c r="L65" i="27" s="1"/>
  <c r="M65" i="27" s="1"/>
  <c r="K66" i="27"/>
  <c r="L66" i="27" s="1"/>
  <c r="M66" i="27" s="1"/>
  <c r="K47" i="27"/>
  <c r="L47" i="27" s="1"/>
  <c r="M47" i="27" s="1"/>
  <c r="N207" i="27"/>
  <c r="P207" i="27" s="1"/>
  <c r="K60" i="27"/>
  <c r="L60" i="27" s="1"/>
  <c r="M60" i="27" s="1"/>
  <c r="K59" i="27"/>
  <c r="L59" i="27" s="1"/>
  <c r="M59" i="27" s="1"/>
  <c r="K58" i="27"/>
  <c r="L58" i="27" s="1"/>
  <c r="M58" i="27" s="1"/>
  <c r="K48" i="27"/>
  <c r="L48" i="27" s="1"/>
  <c r="M48" i="27" s="1"/>
  <c r="N61" i="27"/>
  <c r="P61" i="27" s="1"/>
  <c r="N155" i="27"/>
  <c r="P155" i="27" s="1"/>
  <c r="N236" i="27"/>
  <c r="P236" i="27" s="1"/>
  <c r="N158" i="27"/>
  <c r="P158" i="27" s="1"/>
  <c r="N178" i="27"/>
  <c r="P178" i="27" s="1"/>
  <c r="K51" i="27"/>
  <c r="L51" i="27" s="1"/>
  <c r="M51" i="27" s="1"/>
  <c r="K43" i="27"/>
  <c r="L43" i="27" s="1"/>
  <c r="M43" i="27" s="1"/>
  <c r="L219" i="27"/>
  <c r="M219" i="27" s="1"/>
  <c r="K56" i="27"/>
  <c r="L56" i="27" s="1"/>
  <c r="M56" i="27" s="1"/>
  <c r="L187" i="27"/>
  <c r="M187" i="27" s="1"/>
  <c r="N238" i="27"/>
  <c r="P238" i="27" s="1"/>
  <c r="N99" i="27"/>
  <c r="P99" i="27" s="1"/>
  <c r="N71" i="27"/>
  <c r="P71" i="27" s="1"/>
  <c r="L63" i="27"/>
  <c r="M63" i="27" s="1"/>
  <c r="L67" i="27"/>
  <c r="M67" i="27" s="1"/>
  <c r="L137" i="27"/>
  <c r="M137" i="27" s="1"/>
  <c r="L198" i="27"/>
  <c r="M198" i="27" s="1"/>
  <c r="L160" i="27"/>
  <c r="M160" i="27" s="1"/>
  <c r="K52" i="27"/>
  <c r="L52" i="27" s="1"/>
  <c r="M52" i="27" s="1"/>
  <c r="K49" i="27"/>
  <c r="L49" i="27" s="1"/>
  <c r="M49" i="27" s="1"/>
  <c r="K44" i="27"/>
  <c r="L44" i="27" s="1"/>
  <c r="M44" i="27" s="1"/>
  <c r="K46" i="27"/>
  <c r="L46" i="27" s="1"/>
  <c r="M46" i="27" s="1"/>
  <c r="K53" i="27"/>
  <c r="L53" i="27" s="1"/>
  <c r="M53" i="27" s="1"/>
  <c r="K45" i="27"/>
  <c r="L45" i="27" s="1"/>
  <c r="M45" i="27" s="1"/>
  <c r="K54" i="27"/>
  <c r="K50" i="27"/>
  <c r="K57" i="27"/>
  <c r="L42" i="27"/>
  <c r="M42" i="27" s="1"/>
  <c r="Y3" i="23"/>
  <c r="X3" i="23"/>
  <c r="W9" i="23"/>
  <c r="W8" i="23"/>
  <c r="W7" i="23"/>
  <c r="W5" i="23"/>
  <c r="W4" i="23"/>
  <c r="W3" i="23"/>
  <c r="V3" i="23"/>
  <c r="U3" i="23"/>
  <c r="X4" i="21"/>
  <c r="M8" i="21"/>
  <c r="M7" i="21"/>
  <c r="M6" i="21"/>
  <c r="M5" i="21"/>
  <c r="M4" i="21"/>
  <c r="M3" i="21"/>
  <c r="X3" i="21"/>
  <c r="Y16" i="21"/>
  <c r="Y4" i="21"/>
  <c r="Y5" i="21"/>
  <c r="Y6" i="21"/>
  <c r="Y7" i="21"/>
  <c r="Y8" i="21"/>
  <c r="Y9" i="21"/>
  <c r="Y10" i="21"/>
  <c r="Y11" i="21"/>
  <c r="Y12" i="21"/>
  <c r="Y13" i="21"/>
  <c r="Y14" i="21"/>
  <c r="Y15" i="21"/>
  <c r="Y3" i="21"/>
  <c r="D99" i="12"/>
  <c r="C99" i="12"/>
  <c r="C98" i="12"/>
  <c r="A1" i="13"/>
  <c r="A2" i="11"/>
  <c r="A46" i="11"/>
  <c r="A39" i="11"/>
  <c r="A32" i="11"/>
  <c r="A25" i="11"/>
  <c r="A18" i="11"/>
  <c r="A11" i="11"/>
  <c r="A4" i="11"/>
  <c r="L3" i="21"/>
  <c r="AO33" i="13"/>
  <c r="AL33" i="13"/>
  <c r="AO32" i="13"/>
  <c r="AL32" i="13"/>
  <c r="B19" i="12"/>
  <c r="J36" i="12"/>
  <c r="J35" i="12"/>
  <c r="G37" i="12"/>
  <c r="I31" i="12"/>
  <c r="H30" i="12"/>
  <c r="C39" i="12"/>
  <c r="N180" i="27" l="1"/>
  <c r="P180" i="27" s="1"/>
  <c r="N68" i="27"/>
  <c r="P68" i="27" s="1"/>
  <c r="N116" i="27"/>
  <c r="P116" i="27" s="1"/>
  <c r="N240" i="27"/>
  <c r="P240" i="27" s="1"/>
  <c r="K147" i="27"/>
  <c r="L147" i="27" s="1"/>
  <c r="M147" i="27" s="1"/>
  <c r="N135" i="27"/>
  <c r="P135" i="27" s="1"/>
  <c r="N196" i="27"/>
  <c r="P196" i="27" s="1"/>
  <c r="N136" i="27"/>
  <c r="P136" i="27" s="1"/>
  <c r="K110" i="27"/>
  <c r="L110" i="27" s="1"/>
  <c r="M110" i="27" s="1"/>
  <c r="K148" i="27"/>
  <c r="L148" i="27" s="1"/>
  <c r="M148" i="27" s="1"/>
  <c r="N70" i="27"/>
  <c r="P70" i="27" s="1"/>
  <c r="N159" i="27"/>
  <c r="P159" i="27" s="1"/>
  <c r="N95" i="27"/>
  <c r="P95" i="27" s="1"/>
  <c r="N75" i="27"/>
  <c r="P75" i="27" s="1"/>
  <c r="N118" i="27"/>
  <c r="P118" i="27" s="1"/>
  <c r="N115" i="27"/>
  <c r="P115" i="27" s="1"/>
  <c r="N80" i="27"/>
  <c r="P80" i="27" s="1"/>
  <c r="N200" i="27"/>
  <c r="P200" i="27" s="1"/>
  <c r="K153" i="27"/>
  <c r="L153" i="27" s="1"/>
  <c r="M153" i="27" s="1"/>
  <c r="K113" i="27"/>
  <c r="L113" i="27" s="1"/>
  <c r="M113" i="27" s="1"/>
  <c r="K166" i="27"/>
  <c r="L166" i="27" s="1"/>
  <c r="M166" i="27" s="1"/>
  <c r="N220" i="27"/>
  <c r="P220" i="27" s="1"/>
  <c r="N62" i="27"/>
  <c r="P62" i="27" s="1"/>
  <c r="N215" i="27"/>
  <c r="P215" i="27" s="1"/>
  <c r="K234" i="27"/>
  <c r="L234" i="27" s="1"/>
  <c r="N234" i="27" s="1"/>
  <c r="N179" i="27"/>
  <c r="P179" i="27" s="1"/>
  <c r="K85" i="27"/>
  <c r="L85" i="27" s="1"/>
  <c r="M85" i="27" s="1"/>
  <c r="N216" i="27"/>
  <c r="P216" i="27" s="1"/>
  <c r="N197" i="27"/>
  <c r="P197" i="27" s="1"/>
  <c r="N120" i="27"/>
  <c r="P120" i="27" s="1"/>
  <c r="N100" i="27"/>
  <c r="P100" i="27" s="1"/>
  <c r="N157" i="27"/>
  <c r="P157" i="27" s="1"/>
  <c r="K109" i="27"/>
  <c r="L109" i="27" s="1"/>
  <c r="M109" i="27" s="1"/>
  <c r="M77" i="27"/>
  <c r="P77" i="27" s="1"/>
  <c r="K86" i="27"/>
  <c r="L86" i="27" s="1"/>
  <c r="M86" i="27" s="1"/>
  <c r="N119" i="27"/>
  <c r="P119" i="27" s="1"/>
  <c r="K82" i="27"/>
  <c r="L82" i="27" s="1"/>
  <c r="M82" i="27" s="1"/>
  <c r="K213" i="27"/>
  <c r="L213" i="27" s="1"/>
  <c r="M213" i="27" s="1"/>
  <c r="N210" i="27"/>
  <c r="P210" i="27" s="1"/>
  <c r="K129" i="27"/>
  <c r="L129" i="27" s="1"/>
  <c r="M129" i="27" s="1"/>
  <c r="K201" i="27"/>
  <c r="L201" i="27" s="1"/>
  <c r="M201" i="27" s="1"/>
  <c r="N69" i="27"/>
  <c r="P69" i="27" s="1"/>
  <c r="K102" i="27"/>
  <c r="L102" i="27" s="1"/>
  <c r="M102" i="27" s="1"/>
  <c r="K145" i="27"/>
  <c r="L145" i="27" s="1"/>
  <c r="M145" i="27" s="1"/>
  <c r="M138" i="27"/>
  <c r="P138" i="27" s="1"/>
  <c r="N176" i="27"/>
  <c r="P176" i="27" s="1"/>
  <c r="N218" i="27"/>
  <c r="P218" i="27" s="1"/>
  <c r="N79" i="27"/>
  <c r="P79" i="27" s="1"/>
  <c r="K88" i="27"/>
  <c r="L88" i="27" s="1"/>
  <c r="M88" i="27" s="1"/>
  <c r="K209" i="27"/>
  <c r="L209" i="27" s="1"/>
  <c r="M209" i="27" s="1"/>
  <c r="N195" i="27"/>
  <c r="P195" i="27" s="1"/>
  <c r="K146" i="27"/>
  <c r="L146" i="27" s="1"/>
  <c r="N64" i="27"/>
  <c r="P64" i="27" s="1"/>
  <c r="N98" i="27"/>
  <c r="P98" i="27" s="1"/>
  <c r="N217" i="27"/>
  <c r="P217" i="27" s="1"/>
  <c r="K150" i="27"/>
  <c r="L150" i="27" s="1"/>
  <c r="M150" i="27" s="1"/>
  <c r="K131" i="27"/>
  <c r="L131" i="27" s="1"/>
  <c r="M131" i="27" s="1"/>
  <c r="N78" i="27"/>
  <c r="P78" i="27" s="1"/>
  <c r="K233" i="27"/>
  <c r="L233" i="27" s="1"/>
  <c r="M233" i="27" s="1"/>
  <c r="K128" i="27"/>
  <c r="L128" i="27" s="1"/>
  <c r="M128" i="27" s="1"/>
  <c r="K114" i="27"/>
  <c r="L114" i="27" s="1"/>
  <c r="M114" i="27" s="1"/>
  <c r="N239" i="27"/>
  <c r="P239" i="27" s="1"/>
  <c r="K93" i="27"/>
  <c r="L93" i="27" s="1"/>
  <c r="M93" i="27" s="1"/>
  <c r="N175" i="27"/>
  <c r="P175" i="27" s="1"/>
  <c r="K89" i="27"/>
  <c r="L89" i="27" s="1"/>
  <c r="M89" i="27" s="1"/>
  <c r="K212" i="27"/>
  <c r="L212" i="27" s="1"/>
  <c r="M212" i="27" s="1"/>
  <c r="N72" i="27"/>
  <c r="P72" i="27" s="1"/>
  <c r="K125" i="27"/>
  <c r="L125" i="27" s="1"/>
  <c r="M125" i="27" s="1"/>
  <c r="N76" i="27"/>
  <c r="P76" i="27" s="1"/>
  <c r="K172" i="27"/>
  <c r="L172" i="27" s="1"/>
  <c r="M172" i="27" s="1"/>
  <c r="K203" i="27"/>
  <c r="L203" i="27" s="1"/>
  <c r="M203" i="27" s="1"/>
  <c r="K192" i="27"/>
  <c r="L192" i="27" s="1"/>
  <c r="M192" i="27" s="1"/>
  <c r="K193" i="27"/>
  <c r="L193" i="27" s="1"/>
  <c r="M193" i="27" s="1"/>
  <c r="N133" i="27"/>
  <c r="P133" i="27" s="1"/>
  <c r="K107" i="27"/>
  <c r="L107" i="27" s="1"/>
  <c r="M107" i="27" s="1"/>
  <c r="N117" i="27"/>
  <c r="P117" i="27" s="1"/>
  <c r="N106" i="27"/>
  <c r="P106" i="27" s="1"/>
  <c r="N199" i="27"/>
  <c r="P199" i="27" s="1"/>
  <c r="K169" i="27"/>
  <c r="L169" i="27" s="1"/>
  <c r="M169" i="27" s="1"/>
  <c r="N177" i="27"/>
  <c r="P177" i="27" s="1"/>
  <c r="N191" i="27"/>
  <c r="P191" i="27" s="1"/>
  <c r="N170" i="27"/>
  <c r="P170" i="27" s="1"/>
  <c r="N182" i="27"/>
  <c r="P182" i="27" s="1"/>
  <c r="N156" i="27"/>
  <c r="P156" i="27" s="1"/>
  <c r="K241" i="27"/>
  <c r="L241" i="27" s="1"/>
  <c r="M241" i="27" s="1"/>
  <c r="K121" i="27"/>
  <c r="L121" i="27" s="1"/>
  <c r="M121" i="27" s="1"/>
  <c r="N94" i="27"/>
  <c r="P94" i="27" s="1"/>
  <c r="K227" i="27"/>
  <c r="L227" i="27" s="1"/>
  <c r="M227" i="27" s="1"/>
  <c r="K104" i="27"/>
  <c r="L104" i="27" s="1"/>
  <c r="M104" i="27" s="1"/>
  <c r="K208" i="27"/>
  <c r="K226" i="27"/>
  <c r="L226" i="27" s="1"/>
  <c r="M226" i="27" s="1"/>
  <c r="K126" i="27"/>
  <c r="L126" i="27" s="1"/>
  <c r="M126" i="27" s="1"/>
  <c r="N186" i="27"/>
  <c r="P186" i="27" s="1"/>
  <c r="N124" i="27"/>
  <c r="P124" i="27" s="1"/>
  <c r="K161" i="27"/>
  <c r="L161" i="27" s="1"/>
  <c r="M161" i="27" s="1"/>
  <c r="K228" i="27"/>
  <c r="L228" i="27" s="1"/>
  <c r="M228" i="27" s="1"/>
  <c r="K225" i="27"/>
  <c r="L225" i="27" s="1"/>
  <c r="M225" i="27" s="1"/>
  <c r="K206" i="27"/>
  <c r="L206" i="27" s="1"/>
  <c r="M206" i="27" s="1"/>
  <c r="K87" i="27"/>
  <c r="L87" i="27" s="1"/>
  <c r="M87" i="27" s="1"/>
  <c r="K231" i="27"/>
  <c r="L231" i="27" s="1"/>
  <c r="M231" i="27" s="1"/>
  <c r="K184" i="27"/>
  <c r="L184" i="27" s="1"/>
  <c r="M184" i="27" s="1"/>
  <c r="N108" i="27"/>
  <c r="P108" i="27" s="1"/>
  <c r="K130" i="27"/>
  <c r="L130" i="27" s="1"/>
  <c r="M130" i="27" s="1"/>
  <c r="K81" i="27"/>
  <c r="L81" i="27" s="1"/>
  <c r="N81" i="27" s="1"/>
  <c r="K152" i="27"/>
  <c r="K162" i="27"/>
  <c r="L162" i="27" s="1"/>
  <c r="M162" i="27" s="1"/>
  <c r="N132" i="27"/>
  <c r="P132" i="27" s="1"/>
  <c r="N90" i="27"/>
  <c r="P90" i="27" s="1"/>
  <c r="K204" i="27"/>
  <c r="L204" i="27" s="1"/>
  <c r="M204" i="27" s="1"/>
  <c r="K83" i="27"/>
  <c r="L173" i="27"/>
  <c r="M173" i="27" s="1"/>
  <c r="L183" i="27"/>
  <c r="M183" i="27" s="1"/>
  <c r="L230" i="27"/>
  <c r="M230" i="27" s="1"/>
  <c r="L223" i="27"/>
  <c r="M223" i="27" s="1"/>
  <c r="L164" i="27"/>
  <c r="M164" i="27" s="1"/>
  <c r="K91" i="27"/>
  <c r="K181" i="27"/>
  <c r="L181" i="27" s="1"/>
  <c r="M181" i="27" s="1"/>
  <c r="N141" i="27"/>
  <c r="P141" i="27" s="1"/>
  <c r="K190" i="27"/>
  <c r="L190" i="27" s="1"/>
  <c r="M190" i="27" s="1"/>
  <c r="N189" i="27"/>
  <c r="P189" i="27" s="1"/>
  <c r="K168" i="27"/>
  <c r="L168" i="27" s="1"/>
  <c r="M168" i="27" s="1"/>
  <c r="K185" i="27"/>
  <c r="L185" i="27" s="1"/>
  <c r="M185" i="27" s="1"/>
  <c r="N101" i="27"/>
  <c r="P101" i="27" s="1"/>
  <c r="N123" i="27"/>
  <c r="P123" i="27" s="1"/>
  <c r="K127" i="27"/>
  <c r="L127" i="27" s="1"/>
  <c r="M127" i="27" s="1"/>
  <c r="K74" i="27"/>
  <c r="L74" i="27" s="1"/>
  <c r="M74" i="27" s="1"/>
  <c r="N214" i="27"/>
  <c r="P214" i="27" s="1"/>
  <c r="K122" i="27"/>
  <c r="L122" i="27" s="1"/>
  <c r="M122" i="27" s="1"/>
  <c r="K134" i="27"/>
  <c r="L134" i="27" s="1"/>
  <c r="M134" i="27" s="1"/>
  <c r="L171" i="27"/>
  <c r="M171" i="27" s="1"/>
  <c r="L142" i="27"/>
  <c r="M142" i="27" s="1"/>
  <c r="N205" i="27"/>
  <c r="P205" i="27" s="1"/>
  <c r="N202" i="27"/>
  <c r="P202" i="27" s="1"/>
  <c r="N224" i="27"/>
  <c r="P224" i="27" s="1"/>
  <c r="K112" i="27"/>
  <c r="N149" i="27"/>
  <c r="P149" i="27" s="1"/>
  <c r="K188" i="27"/>
  <c r="K211" i="27"/>
  <c r="N221" i="27"/>
  <c r="P221" i="27" s="1"/>
  <c r="N174" i="27"/>
  <c r="P174" i="27" s="1"/>
  <c r="N163" i="27"/>
  <c r="P163" i="27" s="1"/>
  <c r="K232" i="27"/>
  <c r="N144" i="27"/>
  <c r="P144" i="27" s="1"/>
  <c r="N229" i="27"/>
  <c r="P229" i="27" s="1"/>
  <c r="N154" i="27"/>
  <c r="P154" i="27" s="1"/>
  <c r="N165" i="27"/>
  <c r="P165" i="27" s="1"/>
  <c r="N167" i="27"/>
  <c r="P167" i="27" s="1"/>
  <c r="N65" i="27"/>
  <c r="P65" i="27" s="1"/>
  <c r="N47" i="27"/>
  <c r="P47" i="27" s="1"/>
  <c r="N143" i="27"/>
  <c r="P143" i="27" s="1"/>
  <c r="N60" i="27"/>
  <c r="P60" i="27" s="1"/>
  <c r="N59" i="27"/>
  <c r="P59" i="27" s="1"/>
  <c r="N48" i="27"/>
  <c r="P48" i="27" s="1"/>
  <c r="N51" i="27"/>
  <c r="P51" i="27" s="1"/>
  <c r="N97" i="27"/>
  <c r="P97" i="27" s="1"/>
  <c r="N219" i="27"/>
  <c r="P219" i="27" s="1"/>
  <c r="N237" i="27"/>
  <c r="P237" i="27" s="1"/>
  <c r="N105" i="27"/>
  <c r="P105" i="27" s="1"/>
  <c r="N56" i="27"/>
  <c r="P56" i="27" s="1"/>
  <c r="N222" i="27"/>
  <c r="P222" i="27" s="1"/>
  <c r="N187" i="27"/>
  <c r="P187" i="27" s="1"/>
  <c r="N92" i="27"/>
  <c r="P92" i="27" s="1"/>
  <c r="N235" i="27"/>
  <c r="P235" i="27" s="1"/>
  <c r="N139" i="27"/>
  <c r="P139" i="27" s="1"/>
  <c r="N103" i="27"/>
  <c r="P103" i="27" s="1"/>
  <c r="N160" i="27"/>
  <c r="P160" i="27" s="1"/>
  <c r="N73" i="27"/>
  <c r="P73" i="27" s="1"/>
  <c r="N137" i="27"/>
  <c r="P137" i="27" s="1"/>
  <c r="N198" i="27"/>
  <c r="P198" i="27" s="1"/>
  <c r="N67" i="27"/>
  <c r="P67" i="27" s="1"/>
  <c r="N194" i="27"/>
  <c r="P194" i="27" s="1"/>
  <c r="N111" i="27"/>
  <c r="P111" i="27" s="1"/>
  <c r="N66" i="27"/>
  <c r="P66" i="27" s="1"/>
  <c r="N63" i="27"/>
  <c r="P63" i="27" s="1"/>
  <c r="N84" i="27"/>
  <c r="P84" i="27" s="1"/>
  <c r="N151" i="27"/>
  <c r="P151" i="27" s="1"/>
  <c r="N58" i="27"/>
  <c r="P58" i="27" s="1"/>
  <c r="N49" i="27"/>
  <c r="P49" i="27" s="1"/>
  <c r="N52" i="27"/>
  <c r="P52" i="27" s="1"/>
  <c r="N46" i="27"/>
  <c r="P46" i="27" s="1"/>
  <c r="N45" i="27"/>
  <c r="P45" i="27" s="1"/>
  <c r="L57" i="27"/>
  <c r="M57" i="27" s="1"/>
  <c r="N53" i="27"/>
  <c r="P53" i="27" s="1"/>
  <c r="L50" i="27"/>
  <c r="M50" i="27" s="1"/>
  <c r="N43" i="27"/>
  <c r="P43" i="27" s="1"/>
  <c r="L54" i="27"/>
  <c r="M54" i="27" s="1"/>
  <c r="N44" i="27"/>
  <c r="P44" i="27" s="1"/>
  <c r="L55" i="27"/>
  <c r="M55" i="27" s="1"/>
  <c r="N42" i="27"/>
  <c r="P42" i="27" s="1"/>
  <c r="L51" i="21"/>
  <c r="L50" i="21"/>
  <c r="L49" i="21"/>
  <c r="L48" i="21"/>
  <c r="L47" i="21"/>
  <c r="L46" i="21"/>
  <c r="L45" i="21"/>
  <c r="L44" i="21"/>
  <c r="L43" i="21"/>
  <c r="L42" i="21"/>
  <c r="L41" i="21"/>
  <c r="L40" i="21"/>
  <c r="L39" i="21"/>
  <c r="L38" i="21"/>
  <c r="L37" i="21"/>
  <c r="L36" i="21"/>
  <c r="L35" i="21"/>
  <c r="L34" i="21"/>
  <c r="L33" i="21"/>
  <c r="L32" i="21"/>
  <c r="L31" i="21"/>
  <c r="L30" i="21"/>
  <c r="L29" i="21"/>
  <c r="L28" i="21"/>
  <c r="L27" i="21"/>
  <c r="L26" i="21"/>
  <c r="L25" i="21"/>
  <c r="L24" i="21"/>
  <c r="L23" i="21"/>
  <c r="L22" i="21"/>
  <c r="L21" i="21"/>
  <c r="L20" i="21"/>
  <c r="L19" i="21"/>
  <c r="L18" i="21"/>
  <c r="L17" i="21"/>
  <c r="L16" i="21"/>
  <c r="L15" i="21"/>
  <c r="L14" i="21"/>
  <c r="L13" i="21"/>
  <c r="L12" i="21"/>
  <c r="L11" i="21"/>
  <c r="L10" i="21"/>
  <c r="L9" i="21"/>
  <c r="L8" i="21"/>
  <c r="L7" i="21"/>
  <c r="L6" i="21"/>
  <c r="L5" i="21"/>
  <c r="L4" i="21"/>
  <c r="AC76" i="13"/>
  <c r="AC75" i="13"/>
  <c r="AC74" i="13"/>
  <c r="AC73" i="13"/>
  <c r="AC72" i="13"/>
  <c r="AC71" i="13"/>
  <c r="AC70" i="13"/>
  <c r="AC69" i="13"/>
  <c r="AC68" i="13"/>
  <c r="AC67" i="13"/>
  <c r="AC66" i="13"/>
  <c r="AC65" i="13"/>
  <c r="AC64" i="13"/>
  <c r="AC63" i="13"/>
  <c r="AC62" i="13"/>
  <c r="AC61" i="13"/>
  <c r="AC60" i="13"/>
  <c r="AC59" i="13"/>
  <c r="AC58" i="13"/>
  <c r="AC57" i="13"/>
  <c r="AC56" i="13"/>
  <c r="AC55" i="13"/>
  <c r="AC54" i="13"/>
  <c r="AC53" i="13"/>
  <c r="AC52" i="13"/>
  <c r="AC51" i="13"/>
  <c r="AC50" i="13"/>
  <c r="AC49" i="13"/>
  <c r="AC48" i="13"/>
  <c r="AC47" i="13"/>
  <c r="AC46" i="13"/>
  <c r="AC45" i="13"/>
  <c r="AC44" i="13"/>
  <c r="AC43" i="13"/>
  <c r="AC42" i="13"/>
  <c r="AC41" i="13"/>
  <c r="AC40" i="13"/>
  <c r="AC39" i="13"/>
  <c r="AC38" i="13"/>
  <c r="AC37" i="13"/>
  <c r="AC36" i="13"/>
  <c r="AC35" i="13"/>
  <c r="AC34" i="13"/>
  <c r="AC33" i="13"/>
  <c r="AC32" i="13"/>
  <c r="AC31" i="13"/>
  <c r="AC30" i="13"/>
  <c r="AC29" i="13"/>
  <c r="AC28" i="13"/>
  <c r="AC27" i="13"/>
  <c r="AC26" i="13"/>
  <c r="AC25" i="13"/>
  <c r="AC24" i="13"/>
  <c r="AC23" i="13"/>
  <c r="AC22" i="13"/>
  <c r="AC21" i="13"/>
  <c r="AC20" i="13"/>
  <c r="AC19" i="13"/>
  <c r="AC18" i="13"/>
  <c r="AC17" i="13"/>
  <c r="AC16" i="13"/>
  <c r="AC15" i="13"/>
  <c r="AC14" i="13"/>
  <c r="AC13" i="13"/>
  <c r="AC12" i="13"/>
  <c r="AC11" i="13"/>
  <c r="AC10" i="13"/>
  <c r="AC9" i="13"/>
  <c r="AC8" i="13"/>
  <c r="AC7" i="13"/>
  <c r="AC6" i="13"/>
  <c r="AC5" i="13"/>
  <c r="AC4" i="13"/>
  <c r="AC3" i="13"/>
  <c r="AC2" i="13"/>
  <c r="V3" i="15"/>
  <c r="V2" i="15"/>
  <c r="W76" i="13"/>
  <c r="W75" i="13"/>
  <c r="W74" i="13"/>
  <c r="W73" i="13"/>
  <c r="W72" i="13"/>
  <c r="W71" i="13"/>
  <c r="W70" i="13"/>
  <c r="W69" i="13"/>
  <c r="W68" i="13"/>
  <c r="W67" i="13"/>
  <c r="W66" i="13"/>
  <c r="W65" i="13"/>
  <c r="W64" i="13"/>
  <c r="W63" i="13"/>
  <c r="W62" i="13"/>
  <c r="W61" i="13"/>
  <c r="W60" i="13"/>
  <c r="W59" i="13"/>
  <c r="W58" i="13"/>
  <c r="W57" i="13"/>
  <c r="W56" i="13"/>
  <c r="W55" i="13"/>
  <c r="W54" i="13"/>
  <c r="W53" i="13"/>
  <c r="W52" i="13"/>
  <c r="W51" i="13"/>
  <c r="W50" i="13"/>
  <c r="W49" i="13"/>
  <c r="W48" i="13"/>
  <c r="W47" i="13"/>
  <c r="W46" i="13"/>
  <c r="W45" i="13"/>
  <c r="W44" i="13"/>
  <c r="W43" i="13"/>
  <c r="W42" i="13"/>
  <c r="W41" i="13"/>
  <c r="W40" i="13"/>
  <c r="W39" i="13"/>
  <c r="W38" i="13"/>
  <c r="W37" i="13"/>
  <c r="W36" i="13"/>
  <c r="W35" i="13"/>
  <c r="W34" i="13"/>
  <c r="W33" i="13"/>
  <c r="W32" i="13"/>
  <c r="W31" i="13"/>
  <c r="W30" i="13"/>
  <c r="W29" i="13"/>
  <c r="W28" i="13"/>
  <c r="W27" i="13"/>
  <c r="W26" i="13"/>
  <c r="W25" i="13"/>
  <c r="W24" i="13"/>
  <c r="W23" i="13"/>
  <c r="W22" i="13"/>
  <c r="W21" i="13"/>
  <c r="W20" i="13"/>
  <c r="W19" i="13"/>
  <c r="W18" i="13"/>
  <c r="W17" i="13"/>
  <c r="W16" i="13"/>
  <c r="W15" i="13"/>
  <c r="W14" i="13"/>
  <c r="W13" i="13"/>
  <c r="W12" i="13"/>
  <c r="W11" i="13"/>
  <c r="W10" i="13"/>
  <c r="W9" i="13"/>
  <c r="W8" i="13"/>
  <c r="W7" i="13"/>
  <c r="W6" i="13"/>
  <c r="W5" i="13"/>
  <c r="W4" i="13"/>
  <c r="W3" i="13"/>
  <c r="W2" i="13"/>
  <c r="AB76" i="13"/>
  <c r="AA76" i="13"/>
  <c r="AB75" i="13"/>
  <c r="AA75" i="13"/>
  <c r="AB74" i="13"/>
  <c r="AA74" i="13"/>
  <c r="AB73" i="13"/>
  <c r="AA73" i="13"/>
  <c r="AB72" i="13"/>
  <c r="AA72" i="13"/>
  <c r="AB71" i="13"/>
  <c r="AA71" i="13"/>
  <c r="AB70" i="13"/>
  <c r="AA70" i="13"/>
  <c r="AB69" i="13"/>
  <c r="AA69" i="13"/>
  <c r="AB68" i="13"/>
  <c r="AA68" i="13"/>
  <c r="AB67" i="13"/>
  <c r="AA67" i="13"/>
  <c r="AB66" i="13"/>
  <c r="AA66" i="13"/>
  <c r="AB65" i="13"/>
  <c r="AA65" i="13"/>
  <c r="AB64" i="13"/>
  <c r="AA64" i="13"/>
  <c r="AB63" i="13"/>
  <c r="AA63" i="13"/>
  <c r="AB62" i="13"/>
  <c r="AA62" i="13"/>
  <c r="AB61" i="13"/>
  <c r="AA61" i="13"/>
  <c r="AB60" i="13"/>
  <c r="AA60" i="13"/>
  <c r="AB59" i="13"/>
  <c r="AA59" i="13"/>
  <c r="AB58" i="13"/>
  <c r="AA58" i="13"/>
  <c r="AB57" i="13"/>
  <c r="AA57" i="13"/>
  <c r="AB56" i="13"/>
  <c r="AA56" i="13"/>
  <c r="AB55" i="13"/>
  <c r="AA55" i="13"/>
  <c r="AB54" i="13"/>
  <c r="AA54" i="13"/>
  <c r="AB53" i="13"/>
  <c r="AA53" i="13"/>
  <c r="AB52" i="13"/>
  <c r="AA52" i="13"/>
  <c r="AB51" i="13"/>
  <c r="AA51" i="13"/>
  <c r="AB50" i="13"/>
  <c r="AA50" i="13"/>
  <c r="AB49" i="13"/>
  <c r="AA49" i="13"/>
  <c r="AB48" i="13"/>
  <c r="AA48" i="13"/>
  <c r="AB47" i="13"/>
  <c r="AA47" i="13"/>
  <c r="AB46" i="13"/>
  <c r="AA46" i="13"/>
  <c r="AB45" i="13"/>
  <c r="AA45" i="13"/>
  <c r="AB44" i="13"/>
  <c r="AA44" i="13"/>
  <c r="AB43" i="13"/>
  <c r="AA43" i="13"/>
  <c r="AB42" i="13"/>
  <c r="AA42" i="13"/>
  <c r="AB41" i="13"/>
  <c r="AA41" i="13"/>
  <c r="AB40" i="13"/>
  <c r="AA40" i="13"/>
  <c r="AB39" i="13"/>
  <c r="AA39" i="13"/>
  <c r="AB38" i="13"/>
  <c r="AA38" i="13"/>
  <c r="AB37" i="13"/>
  <c r="AA37" i="13"/>
  <c r="AB36" i="13"/>
  <c r="AA36" i="13"/>
  <c r="AB35" i="13"/>
  <c r="AA35" i="13"/>
  <c r="AB34" i="13"/>
  <c r="AA34" i="13"/>
  <c r="AB33" i="13"/>
  <c r="AA33" i="13"/>
  <c r="AB32" i="13"/>
  <c r="AA32" i="13"/>
  <c r="AB31" i="13"/>
  <c r="AA31" i="13"/>
  <c r="AB30" i="13"/>
  <c r="AA30" i="13"/>
  <c r="AB29" i="13"/>
  <c r="AA29" i="13"/>
  <c r="AB28" i="13"/>
  <c r="AA28" i="13"/>
  <c r="AB27" i="13"/>
  <c r="AA27" i="13"/>
  <c r="AB26" i="13"/>
  <c r="AA26" i="13"/>
  <c r="AB25" i="13"/>
  <c r="AA25" i="13"/>
  <c r="AB24" i="13"/>
  <c r="AA24" i="13"/>
  <c r="AB23" i="13"/>
  <c r="AA23" i="13"/>
  <c r="AB22" i="13"/>
  <c r="AA22" i="13"/>
  <c r="AB21" i="13"/>
  <c r="AA21" i="13"/>
  <c r="AB20" i="13"/>
  <c r="AA20" i="13"/>
  <c r="AB19" i="13"/>
  <c r="AA19" i="13"/>
  <c r="AB18" i="13"/>
  <c r="AA18" i="13"/>
  <c r="AB17" i="13"/>
  <c r="AA17" i="13"/>
  <c r="AB16" i="13"/>
  <c r="AA16" i="13"/>
  <c r="AB15" i="13"/>
  <c r="AA15" i="13"/>
  <c r="AB14" i="13"/>
  <c r="AA14" i="13"/>
  <c r="AB13" i="13"/>
  <c r="AA13" i="13"/>
  <c r="AB12" i="13"/>
  <c r="AA12" i="13"/>
  <c r="AB11" i="13"/>
  <c r="AA11" i="13"/>
  <c r="AB10" i="13"/>
  <c r="AA10" i="13"/>
  <c r="AB9" i="13"/>
  <c r="AA9" i="13"/>
  <c r="AB8" i="13"/>
  <c r="AA8" i="13"/>
  <c r="AB7" i="13"/>
  <c r="AA7" i="13"/>
  <c r="AB6" i="13"/>
  <c r="AA6" i="13"/>
  <c r="AB5" i="13"/>
  <c r="AA5" i="13"/>
  <c r="AB4" i="13"/>
  <c r="AA4" i="13"/>
  <c r="AB3" i="13"/>
  <c r="AA3" i="13"/>
  <c r="AB2" i="13"/>
  <c r="AA2" i="13"/>
  <c r="L3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L76" i="13"/>
  <c r="K76" i="13"/>
  <c r="J76" i="13"/>
  <c r="L75" i="13"/>
  <c r="K75" i="13"/>
  <c r="J75" i="13"/>
  <c r="L74" i="13"/>
  <c r="K74" i="13"/>
  <c r="J74" i="13"/>
  <c r="L73" i="13"/>
  <c r="K73" i="13"/>
  <c r="J73" i="13"/>
  <c r="L72" i="13"/>
  <c r="K72" i="13"/>
  <c r="J72" i="13"/>
  <c r="L71" i="13"/>
  <c r="K71" i="13"/>
  <c r="J71" i="13"/>
  <c r="L70" i="13"/>
  <c r="K70" i="13"/>
  <c r="J70" i="13"/>
  <c r="L69" i="13"/>
  <c r="K69" i="13"/>
  <c r="J69" i="13"/>
  <c r="L68" i="13"/>
  <c r="K68" i="13"/>
  <c r="J68" i="13"/>
  <c r="L67" i="13"/>
  <c r="K67" i="13"/>
  <c r="J67" i="13"/>
  <c r="L66" i="13"/>
  <c r="K66" i="13"/>
  <c r="J66" i="13"/>
  <c r="L65" i="13"/>
  <c r="K65" i="13"/>
  <c r="J65" i="13"/>
  <c r="L64" i="13"/>
  <c r="K64" i="13"/>
  <c r="J64" i="13"/>
  <c r="L63" i="13"/>
  <c r="K63" i="13"/>
  <c r="J63" i="13"/>
  <c r="L62" i="13"/>
  <c r="K62" i="13"/>
  <c r="J62" i="13"/>
  <c r="L61" i="13"/>
  <c r="K61" i="13"/>
  <c r="J61" i="13"/>
  <c r="L60" i="13"/>
  <c r="K60" i="13"/>
  <c r="J60" i="13"/>
  <c r="L59" i="13"/>
  <c r="K59" i="13"/>
  <c r="J59" i="13"/>
  <c r="L58" i="13"/>
  <c r="K58" i="13"/>
  <c r="J58" i="13"/>
  <c r="L57" i="13"/>
  <c r="K57" i="13"/>
  <c r="J57" i="13"/>
  <c r="L56" i="13"/>
  <c r="K56" i="13"/>
  <c r="J56" i="13"/>
  <c r="L55" i="13"/>
  <c r="K55" i="13"/>
  <c r="J55" i="13"/>
  <c r="L54" i="13"/>
  <c r="K54" i="13"/>
  <c r="J54" i="13"/>
  <c r="L53" i="13"/>
  <c r="K53" i="13"/>
  <c r="J53" i="13"/>
  <c r="L52" i="13"/>
  <c r="K52" i="13"/>
  <c r="J52" i="13"/>
  <c r="L51" i="13"/>
  <c r="K51" i="13"/>
  <c r="J51" i="13"/>
  <c r="L50" i="13"/>
  <c r="K50" i="13"/>
  <c r="J50" i="13"/>
  <c r="L49" i="13"/>
  <c r="K49" i="13"/>
  <c r="J49" i="13"/>
  <c r="L48" i="13"/>
  <c r="K48" i="13"/>
  <c r="J48" i="13"/>
  <c r="L47" i="13"/>
  <c r="K47" i="13"/>
  <c r="J47" i="13"/>
  <c r="L46" i="13"/>
  <c r="K46" i="13"/>
  <c r="J46" i="13"/>
  <c r="L45" i="13"/>
  <c r="K45" i="13"/>
  <c r="J45" i="13"/>
  <c r="L44" i="13"/>
  <c r="K44" i="13"/>
  <c r="J44" i="13"/>
  <c r="L43" i="13"/>
  <c r="K43" i="13"/>
  <c r="J43" i="13"/>
  <c r="L42" i="13"/>
  <c r="K42" i="13"/>
  <c r="J42" i="13"/>
  <c r="L41" i="13"/>
  <c r="K41" i="13"/>
  <c r="J41" i="13"/>
  <c r="L40" i="13"/>
  <c r="K40" i="13"/>
  <c r="J40" i="13"/>
  <c r="L39" i="13"/>
  <c r="K39" i="13"/>
  <c r="J39" i="13"/>
  <c r="L38" i="13"/>
  <c r="K38" i="13"/>
  <c r="J38" i="13"/>
  <c r="L37" i="13"/>
  <c r="K37" i="13"/>
  <c r="J37" i="13"/>
  <c r="L36" i="13"/>
  <c r="K36" i="13"/>
  <c r="J36" i="13"/>
  <c r="L35" i="13"/>
  <c r="K35" i="13"/>
  <c r="J35" i="13"/>
  <c r="L34" i="13"/>
  <c r="K34" i="13"/>
  <c r="J34" i="13"/>
  <c r="L33" i="13"/>
  <c r="K33" i="13"/>
  <c r="J33" i="13"/>
  <c r="L32" i="13"/>
  <c r="K32" i="13"/>
  <c r="J32" i="13"/>
  <c r="L31" i="13"/>
  <c r="K31" i="13"/>
  <c r="J31" i="13"/>
  <c r="L30" i="13"/>
  <c r="K30" i="13"/>
  <c r="J30" i="13"/>
  <c r="L29" i="13"/>
  <c r="K29" i="13"/>
  <c r="J29" i="13"/>
  <c r="L28" i="13"/>
  <c r="K28" i="13"/>
  <c r="J28" i="13"/>
  <c r="L27" i="13"/>
  <c r="K27" i="13"/>
  <c r="J27" i="13"/>
  <c r="L26" i="13"/>
  <c r="K26" i="13"/>
  <c r="J26" i="13"/>
  <c r="L25" i="13"/>
  <c r="K25" i="13"/>
  <c r="J25" i="13"/>
  <c r="L24" i="13"/>
  <c r="K24" i="13"/>
  <c r="J24" i="13"/>
  <c r="L23" i="13"/>
  <c r="K23" i="13"/>
  <c r="J23" i="13"/>
  <c r="L22" i="13"/>
  <c r="K22" i="13"/>
  <c r="J22" i="13"/>
  <c r="L21" i="13"/>
  <c r="K21" i="13"/>
  <c r="J21" i="13"/>
  <c r="L20" i="13"/>
  <c r="K20" i="13"/>
  <c r="J20" i="13"/>
  <c r="L19" i="13"/>
  <c r="K19" i="13"/>
  <c r="J19" i="13"/>
  <c r="L18" i="13"/>
  <c r="K18" i="13"/>
  <c r="J18" i="13"/>
  <c r="L17" i="13"/>
  <c r="K17" i="13"/>
  <c r="J17" i="13"/>
  <c r="L16" i="13"/>
  <c r="K16" i="13"/>
  <c r="J16" i="13"/>
  <c r="L15" i="13"/>
  <c r="K15" i="13"/>
  <c r="J15" i="13"/>
  <c r="L14" i="13"/>
  <c r="K14" i="13"/>
  <c r="J14" i="13"/>
  <c r="L13" i="13"/>
  <c r="K13" i="13"/>
  <c r="J13" i="13"/>
  <c r="L12" i="13"/>
  <c r="K12" i="13"/>
  <c r="J12" i="13"/>
  <c r="L11" i="13"/>
  <c r="K11" i="13"/>
  <c r="J11" i="13"/>
  <c r="L10" i="13"/>
  <c r="K10" i="13"/>
  <c r="J10" i="13"/>
  <c r="L9" i="13"/>
  <c r="K9" i="13"/>
  <c r="J9" i="13"/>
  <c r="L8" i="13"/>
  <c r="K8" i="13"/>
  <c r="J8" i="13"/>
  <c r="L7" i="13"/>
  <c r="K7" i="13"/>
  <c r="J7" i="13"/>
  <c r="L6" i="13"/>
  <c r="K6" i="13"/>
  <c r="J6" i="13"/>
  <c r="L5" i="13"/>
  <c r="K5" i="13"/>
  <c r="J5" i="13"/>
  <c r="L4" i="13"/>
  <c r="K4" i="13"/>
  <c r="J4" i="13"/>
  <c r="K3" i="13"/>
  <c r="J3" i="13"/>
  <c r="L2" i="13"/>
  <c r="J2" i="13"/>
  <c r="I41" i="15"/>
  <c r="H41" i="15"/>
  <c r="I40" i="15"/>
  <c r="H40" i="15"/>
  <c r="I39" i="15"/>
  <c r="H39" i="15"/>
  <c r="I38" i="15"/>
  <c r="H38" i="15"/>
  <c r="I37" i="15"/>
  <c r="H37" i="15"/>
  <c r="I36" i="15"/>
  <c r="H36" i="15"/>
  <c r="I35" i="15"/>
  <c r="H35" i="15"/>
  <c r="I34" i="15"/>
  <c r="H34" i="15"/>
  <c r="I33" i="15"/>
  <c r="H33" i="15"/>
  <c r="I32" i="15"/>
  <c r="H32" i="15"/>
  <c r="I31" i="15"/>
  <c r="H31" i="15"/>
  <c r="I30" i="15"/>
  <c r="H30" i="15"/>
  <c r="I29" i="15"/>
  <c r="H29" i="15"/>
  <c r="I28" i="15"/>
  <c r="H28" i="15"/>
  <c r="I27" i="15"/>
  <c r="H27" i="15"/>
  <c r="I26" i="15"/>
  <c r="H26" i="15"/>
  <c r="I25" i="15"/>
  <c r="H25" i="15"/>
  <c r="I24" i="15"/>
  <c r="H24" i="15"/>
  <c r="I23" i="15"/>
  <c r="H23" i="15"/>
  <c r="I22" i="15"/>
  <c r="H22" i="15"/>
  <c r="I21" i="15"/>
  <c r="H21" i="15"/>
  <c r="I20" i="15"/>
  <c r="H20" i="15"/>
  <c r="I19" i="15"/>
  <c r="H19" i="15"/>
  <c r="I18" i="15"/>
  <c r="H18" i="15"/>
  <c r="I17" i="15"/>
  <c r="H17" i="15"/>
  <c r="I16" i="15"/>
  <c r="H16" i="15"/>
  <c r="I15" i="15"/>
  <c r="H15" i="15"/>
  <c r="I14" i="15"/>
  <c r="H14" i="15"/>
  <c r="I13" i="15"/>
  <c r="H13" i="15"/>
  <c r="I12" i="15"/>
  <c r="H12" i="15"/>
  <c r="I11" i="15"/>
  <c r="H11" i="15"/>
  <c r="I10" i="15"/>
  <c r="H10" i="15"/>
  <c r="I9" i="15"/>
  <c r="H9" i="15"/>
  <c r="I8" i="15"/>
  <c r="H8" i="15"/>
  <c r="I7" i="15"/>
  <c r="H7" i="15"/>
  <c r="I6" i="15"/>
  <c r="H6" i="15"/>
  <c r="I5" i="15"/>
  <c r="H5" i="15"/>
  <c r="I4" i="15"/>
  <c r="H4" i="15"/>
  <c r="I3" i="15"/>
  <c r="H3" i="15"/>
  <c r="I2" i="15"/>
  <c r="H2" i="15"/>
  <c r="M4" i="11"/>
  <c r="AE2" i="13" l="1"/>
  <c r="AD32" i="13"/>
  <c r="AE3" i="13"/>
  <c r="N147" i="27"/>
  <c r="P147" i="27" s="1"/>
  <c r="N110" i="27"/>
  <c r="P110" i="27" s="1"/>
  <c r="N148" i="27"/>
  <c r="P148" i="27" s="1"/>
  <c r="N113" i="27"/>
  <c r="P113" i="27" s="1"/>
  <c r="N153" i="27"/>
  <c r="P153" i="27" s="1"/>
  <c r="N166" i="27"/>
  <c r="P166" i="27" s="1"/>
  <c r="N85" i="27"/>
  <c r="P85" i="27" s="1"/>
  <c r="N109" i="27"/>
  <c r="P109" i="27" s="1"/>
  <c r="M234" i="27"/>
  <c r="P234" i="27" s="1"/>
  <c r="N201" i="27"/>
  <c r="P201" i="27" s="1"/>
  <c r="N82" i="27"/>
  <c r="P82" i="27" s="1"/>
  <c r="N145" i="27"/>
  <c r="P145" i="27" s="1"/>
  <c r="N129" i="27"/>
  <c r="P129" i="27" s="1"/>
  <c r="N88" i="27"/>
  <c r="P88" i="27" s="1"/>
  <c r="N86" i="27"/>
  <c r="P86" i="27" s="1"/>
  <c r="N203" i="27"/>
  <c r="P203" i="27" s="1"/>
  <c r="N102" i="27"/>
  <c r="P102" i="27" s="1"/>
  <c r="N213" i="27"/>
  <c r="P213" i="27" s="1"/>
  <c r="N209" i="27"/>
  <c r="P209" i="27" s="1"/>
  <c r="N192" i="27"/>
  <c r="P192" i="27" s="1"/>
  <c r="N223" i="27"/>
  <c r="P223" i="27" s="1"/>
  <c r="N233" i="27"/>
  <c r="P233" i="27" s="1"/>
  <c r="N150" i="27"/>
  <c r="P150" i="27" s="1"/>
  <c r="M146" i="27"/>
  <c r="N146" i="27"/>
  <c r="N114" i="27"/>
  <c r="P114" i="27" s="1"/>
  <c r="N227" i="27"/>
  <c r="P227" i="27" s="1"/>
  <c r="N128" i="27"/>
  <c r="P128" i="27" s="1"/>
  <c r="N131" i="27"/>
  <c r="P131" i="27" s="1"/>
  <c r="N169" i="27"/>
  <c r="P169" i="27" s="1"/>
  <c r="N125" i="27"/>
  <c r="P125" i="27" s="1"/>
  <c r="N212" i="27"/>
  <c r="P212" i="27" s="1"/>
  <c r="N93" i="27"/>
  <c r="P93" i="27" s="1"/>
  <c r="N206" i="27"/>
  <c r="P206" i="27" s="1"/>
  <c r="N172" i="27"/>
  <c r="P172" i="27" s="1"/>
  <c r="N225" i="27"/>
  <c r="P225" i="27" s="1"/>
  <c r="N164" i="27"/>
  <c r="P164" i="27" s="1"/>
  <c r="N121" i="27"/>
  <c r="P121" i="27" s="1"/>
  <c r="N231" i="27"/>
  <c r="P231" i="27" s="1"/>
  <c r="N190" i="27"/>
  <c r="P190" i="27" s="1"/>
  <c r="N204" i="27"/>
  <c r="P204" i="27" s="1"/>
  <c r="L208" i="27"/>
  <c r="M208" i="27" s="1"/>
  <c r="N130" i="27"/>
  <c r="P130" i="27" s="1"/>
  <c r="N226" i="27"/>
  <c r="P226" i="27" s="1"/>
  <c r="N241" i="27"/>
  <c r="P241" i="27" s="1"/>
  <c r="N161" i="27"/>
  <c r="P161" i="27" s="1"/>
  <c r="N126" i="27"/>
  <c r="P126" i="27" s="1"/>
  <c r="N184" i="27"/>
  <c r="P184" i="27" s="1"/>
  <c r="N228" i="27"/>
  <c r="P228" i="27" s="1"/>
  <c r="N107" i="27"/>
  <c r="P107" i="27" s="1"/>
  <c r="N230" i="27"/>
  <c r="P230" i="27" s="1"/>
  <c r="N87" i="27"/>
  <c r="P87" i="27" s="1"/>
  <c r="N89" i="27"/>
  <c r="P89" i="27" s="1"/>
  <c r="N173" i="27"/>
  <c r="P173" i="27" s="1"/>
  <c r="L152" i="27"/>
  <c r="M152" i="27" s="1"/>
  <c r="L83" i="27"/>
  <c r="M83" i="27" s="1"/>
  <c r="N162" i="27"/>
  <c r="P162" i="27" s="1"/>
  <c r="M81" i="27"/>
  <c r="P81" i="27" s="1"/>
  <c r="L91" i="27"/>
  <c r="M91" i="27" s="1"/>
  <c r="N134" i="27"/>
  <c r="P134" i="27" s="1"/>
  <c r="N74" i="27"/>
  <c r="P74" i="27" s="1"/>
  <c r="N122" i="27"/>
  <c r="P122" i="27" s="1"/>
  <c r="N181" i="27"/>
  <c r="P181" i="27" s="1"/>
  <c r="N168" i="27"/>
  <c r="P168" i="27" s="1"/>
  <c r="N183" i="27"/>
  <c r="P183" i="27" s="1"/>
  <c r="N142" i="27"/>
  <c r="P142" i="27" s="1"/>
  <c r="N185" i="27"/>
  <c r="P185" i="27" s="1"/>
  <c r="L211" i="27"/>
  <c r="M211" i="27" s="1"/>
  <c r="N127" i="27"/>
  <c r="P127" i="27" s="1"/>
  <c r="L188" i="27"/>
  <c r="M188" i="27" s="1"/>
  <c r="N104" i="27"/>
  <c r="P104" i="27" s="1"/>
  <c r="L112" i="27"/>
  <c r="M112" i="27" s="1"/>
  <c r="N171" i="27"/>
  <c r="P171" i="27" s="1"/>
  <c r="L232" i="27"/>
  <c r="M232" i="27" s="1"/>
  <c r="N193" i="27"/>
  <c r="P193" i="27" s="1"/>
  <c r="N50" i="27"/>
  <c r="P50" i="27" s="1"/>
  <c r="N55" i="27"/>
  <c r="P55" i="27" s="1"/>
  <c r="N57" i="27"/>
  <c r="P57" i="27" s="1"/>
  <c r="N54" i="27"/>
  <c r="P54" i="27" s="1"/>
  <c r="AD72" i="13"/>
  <c r="AD33" i="13"/>
  <c r="AD34" i="13"/>
  <c r="AD54" i="13"/>
  <c r="AD22" i="13"/>
  <c r="AD42" i="13"/>
  <c r="AD9" i="13"/>
  <c r="AD29" i="13"/>
  <c r="AD16" i="13"/>
  <c r="AD36" i="13"/>
  <c r="AD43" i="13"/>
  <c r="AD63" i="13"/>
  <c r="AD30" i="13"/>
  <c r="AD44" i="13"/>
  <c r="AD64" i="13"/>
  <c r="AD31" i="13"/>
  <c r="AD12" i="13"/>
  <c r="AD70" i="13"/>
  <c r="AD24" i="13"/>
  <c r="AD51" i="13"/>
  <c r="AD52" i="13"/>
  <c r="AD13" i="13"/>
  <c r="AD53" i="13"/>
  <c r="AD73" i="13"/>
  <c r="AD14" i="13"/>
  <c r="AD74" i="13"/>
  <c r="AD62" i="13"/>
  <c r="AD41" i="13"/>
  <c r="AD49" i="13"/>
  <c r="AD69" i="13"/>
  <c r="AD56" i="13"/>
  <c r="AD76" i="13"/>
  <c r="AD23" i="13"/>
  <c r="AD3" i="13"/>
  <c r="AD10" i="13"/>
  <c r="AD50" i="13"/>
  <c r="AD4" i="13"/>
  <c r="AD11" i="13"/>
  <c r="AD71" i="13"/>
  <c r="AE72" i="13"/>
  <c r="AE33" i="13"/>
  <c r="AE32" i="13"/>
  <c r="AE73" i="13"/>
  <c r="AE74" i="13"/>
  <c r="AE15" i="13"/>
  <c r="AE35" i="13"/>
  <c r="AE55" i="13"/>
  <c r="AE75" i="13"/>
  <c r="AE52" i="13"/>
  <c r="AE53" i="13"/>
  <c r="AE54" i="13"/>
  <c r="AE22" i="13"/>
  <c r="AE42" i="13"/>
  <c r="AE62" i="13"/>
  <c r="AE12" i="13"/>
  <c r="AE13" i="13"/>
  <c r="AE9" i="13"/>
  <c r="AE29" i="13"/>
  <c r="AE49" i="13"/>
  <c r="AE69" i="13"/>
  <c r="AE16" i="13"/>
  <c r="AE36" i="13"/>
  <c r="AE56" i="13"/>
  <c r="AE76" i="13"/>
  <c r="AE23" i="13"/>
  <c r="AE43" i="13"/>
  <c r="AE63" i="13"/>
  <c r="AE10" i="13"/>
  <c r="AE30" i="13"/>
  <c r="AE50" i="13"/>
  <c r="AE70" i="13"/>
  <c r="AE4" i="13"/>
  <c r="AE24" i="13"/>
  <c r="AE44" i="13"/>
  <c r="AE64" i="13"/>
  <c r="AE11" i="13"/>
  <c r="AE31" i="13"/>
  <c r="AE51" i="13"/>
  <c r="AE71" i="13"/>
  <c r="AD75" i="13"/>
  <c r="AD35" i="13"/>
  <c r="AE5" i="13"/>
  <c r="AE45" i="13"/>
  <c r="AD66" i="13"/>
  <c r="AD25" i="13"/>
  <c r="AE65" i="13"/>
  <c r="AD6" i="13"/>
  <c r="AD7" i="13"/>
  <c r="AD67" i="13"/>
  <c r="AD68" i="13"/>
  <c r="AE68" i="13"/>
  <c r="AD59" i="13"/>
  <c r="AD15" i="13"/>
  <c r="AD45" i="13"/>
  <c r="AD26" i="13"/>
  <c r="AE66" i="13"/>
  <c r="AD17" i="13"/>
  <c r="AD57" i="13"/>
  <c r="AE17" i="13"/>
  <c r="AE57" i="13"/>
  <c r="AD38" i="13"/>
  <c r="AE8" i="13"/>
  <c r="AE48" i="13"/>
  <c r="AD19" i="13"/>
  <c r="AD65" i="13"/>
  <c r="AE6" i="13"/>
  <c r="AE46" i="13"/>
  <c r="AD27" i="13"/>
  <c r="AD47" i="13"/>
  <c r="AE37" i="13"/>
  <c r="AD28" i="13"/>
  <c r="AD58" i="13"/>
  <c r="AE18" i="13"/>
  <c r="AE58" i="13"/>
  <c r="AE39" i="13"/>
  <c r="AD20" i="13"/>
  <c r="AD60" i="13"/>
  <c r="AE40" i="13"/>
  <c r="AD61" i="13"/>
  <c r="AD5" i="13"/>
  <c r="AD55" i="13"/>
  <c r="AE25" i="13"/>
  <c r="AD46" i="13"/>
  <c r="AE26" i="13"/>
  <c r="AD37" i="13"/>
  <c r="AE47" i="13"/>
  <c r="AD8" i="13"/>
  <c r="AD48" i="13"/>
  <c r="AE28" i="13"/>
  <c r="AE19" i="13"/>
  <c r="AE60" i="13"/>
  <c r="AD21" i="13"/>
  <c r="AD2" i="13"/>
  <c r="AE7" i="13"/>
  <c r="AE27" i="13"/>
  <c r="AE67" i="13"/>
  <c r="AD18" i="13"/>
  <c r="AE38" i="13"/>
  <c r="AD39" i="13"/>
  <c r="AE59" i="13"/>
  <c r="AD40" i="13"/>
  <c r="AE20" i="13"/>
  <c r="AE21" i="13"/>
  <c r="AE41" i="13"/>
  <c r="AE61" i="13"/>
  <c r="AE14" i="13"/>
  <c r="AE34" i="13"/>
  <c r="G36" i="12"/>
  <c r="I30" i="12"/>
  <c r="B16" i="12"/>
  <c r="G35" i="12"/>
  <c r="C33" i="12"/>
  <c r="R6" i="10"/>
  <c r="G19" i="12"/>
  <c r="D19" i="12"/>
  <c r="D28" i="12"/>
  <c r="D27" i="12"/>
  <c r="E19" i="12"/>
  <c r="C19" i="12"/>
  <c r="G11" i="12"/>
  <c r="G12" i="12" s="1"/>
  <c r="G13" i="12"/>
  <c r="G10" i="12"/>
  <c r="G16" i="12" s="1"/>
  <c r="C12" i="12"/>
  <c r="F13" i="12"/>
  <c r="F12" i="12"/>
  <c r="F10" i="12"/>
  <c r="D6" i="12"/>
  <c r="E6" i="12"/>
  <c r="E13" i="12"/>
  <c r="E10" i="12"/>
  <c r="D5" i="12"/>
  <c r="C5" i="12"/>
  <c r="B5" i="12"/>
  <c r="E5" i="12"/>
  <c r="C6" i="12"/>
  <c r="B6" i="12"/>
  <c r="C13" i="12"/>
  <c r="C10" i="12"/>
  <c r="B13" i="12"/>
  <c r="B12" i="12"/>
  <c r="B10" i="12"/>
  <c r="D12" i="12"/>
  <c r="D13" i="12"/>
  <c r="P146" i="27" l="1"/>
  <c r="N83" i="27"/>
  <c r="P83" i="27" s="1"/>
  <c r="N91" i="27"/>
  <c r="P91" i="27" s="1"/>
  <c r="N152" i="27"/>
  <c r="P152" i="27" s="1"/>
  <c r="N188" i="27"/>
  <c r="P188" i="27" s="1"/>
  <c r="N208" i="27"/>
  <c r="P208" i="27" s="1"/>
  <c r="N211" i="27"/>
  <c r="P211" i="27" s="1"/>
  <c r="N232" i="27"/>
  <c r="P232" i="27" s="1"/>
  <c r="N112" i="27"/>
  <c r="P112" i="27" s="1"/>
  <c r="C16" i="12"/>
  <c r="D16" i="12"/>
  <c r="J19" i="12"/>
  <c r="J18" i="12"/>
  <c r="F16" i="12"/>
  <c r="G15" i="27" l="1"/>
  <c r="I15" i="27" s="1"/>
  <c r="G23" i="27"/>
  <c r="N15" i="27" s="1"/>
  <c r="G16" i="27"/>
  <c r="I16" i="27" s="1"/>
  <c r="G19" i="27"/>
  <c r="I19" i="27" s="1"/>
  <c r="P243" i="27"/>
  <c r="G18" i="27"/>
  <c r="P244" i="27"/>
  <c r="P242" i="27"/>
  <c r="O52" i="11"/>
  <c r="O51" i="11"/>
  <c r="O50" i="11"/>
  <c r="O49" i="11"/>
  <c r="O48" i="11"/>
  <c r="O47" i="11"/>
  <c r="O46" i="11"/>
  <c r="O45" i="11"/>
  <c r="O44" i="11"/>
  <c r="O43" i="11"/>
  <c r="O42" i="11"/>
  <c r="O41" i="11"/>
  <c r="O40" i="11"/>
  <c r="O39" i="11"/>
  <c r="O38" i="11"/>
  <c r="O37" i="11"/>
  <c r="O36" i="11"/>
  <c r="O35" i="11"/>
  <c r="O34" i="11"/>
  <c r="O33" i="11"/>
  <c r="O32" i="11"/>
  <c r="O31" i="11"/>
  <c r="O30" i="11"/>
  <c r="O29" i="11"/>
  <c r="O28" i="11"/>
  <c r="O27" i="11"/>
  <c r="O26" i="11"/>
  <c r="O25" i="11"/>
  <c r="O24" i="11"/>
  <c r="O23" i="11"/>
  <c r="O22" i="11"/>
  <c r="O21" i="11"/>
  <c r="O20" i="11"/>
  <c r="O19" i="11"/>
  <c r="O18" i="11"/>
  <c r="O17" i="11"/>
  <c r="O16" i="11"/>
  <c r="O15" i="11"/>
  <c r="O14" i="11"/>
  <c r="O13" i="11"/>
  <c r="O12" i="11"/>
  <c r="O11" i="11"/>
  <c r="O10" i="11"/>
  <c r="O9" i="11"/>
  <c r="O8" i="11"/>
  <c r="O7" i="11"/>
  <c r="O6" i="11"/>
  <c r="O5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L11" i="11"/>
  <c r="L10" i="11"/>
  <c r="L9" i="11"/>
  <c r="L8" i="11"/>
  <c r="L7" i="11"/>
  <c r="L6" i="11"/>
  <c r="L5" i="11"/>
  <c r="M11" i="11"/>
  <c r="M10" i="11"/>
  <c r="M9" i="11"/>
  <c r="M8" i="11"/>
  <c r="M7" i="11"/>
  <c r="M6" i="11"/>
  <c r="M5" i="11"/>
  <c r="O4" i="11"/>
  <c r="L4" i="11"/>
  <c r="V18" i="10"/>
  <c r="E12" i="12"/>
  <c r="G4" i="12"/>
  <c r="I4" i="12" s="1"/>
  <c r="G3" i="12"/>
  <c r="I3" i="12" s="1"/>
  <c r="V16" i="10"/>
  <c r="W27" i="10"/>
  <c r="U29" i="10"/>
  <c r="V27" i="10"/>
  <c r="U27" i="10"/>
  <c r="U32" i="10" s="1"/>
  <c r="V15" i="10"/>
  <c r="V13" i="10"/>
  <c r="U15" i="10"/>
  <c r="U13" i="10"/>
  <c r="U18" i="10" s="1"/>
  <c r="Y7" i="10"/>
  <c r="Y6" i="10"/>
  <c r="W7" i="10"/>
  <c r="W6" i="10"/>
  <c r="R48" i="10"/>
  <c r="R41" i="10"/>
  <c r="R34" i="10"/>
  <c r="R27" i="10"/>
  <c r="R20" i="10"/>
  <c r="R13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30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Q16" i="2"/>
  <c r="P15" i="2"/>
  <c r="Q15" i="2"/>
  <c r="P16" i="2"/>
  <c r="P17" i="2"/>
  <c r="Q17" i="2" s="1"/>
  <c r="Q14" i="2"/>
  <c r="Q13" i="2"/>
  <c r="Q12" i="2"/>
  <c r="Q11" i="2"/>
  <c r="Q10" i="2"/>
  <c r="Q9" i="2"/>
  <c r="Q8" i="2"/>
  <c r="Q7" i="2"/>
  <c r="P14" i="2"/>
  <c r="P13" i="2"/>
  <c r="P12" i="2"/>
  <c r="P11" i="2"/>
  <c r="P10" i="2"/>
  <c r="P9" i="2"/>
  <c r="P8" i="2"/>
  <c r="P7" i="2"/>
  <c r="P6" i="2"/>
  <c r="I23" i="27" l="1"/>
  <c r="G17" i="27"/>
  <c r="I17" i="27" s="1"/>
  <c r="G20" i="27"/>
  <c r="I20" i="27" s="1"/>
  <c r="M15" i="27"/>
  <c r="L15" i="27"/>
  <c r="I18" i="27"/>
  <c r="P245" i="27"/>
  <c r="G21" i="27"/>
  <c r="I21" i="27" s="1"/>
  <c r="P246" i="27"/>
  <c r="E16" i="1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3" i="2"/>
  <c r="C2" i="2"/>
</calcChain>
</file>

<file path=xl/sharedStrings.xml><?xml version="1.0" encoding="utf-8"?>
<sst xmlns="http://schemas.openxmlformats.org/spreadsheetml/2006/main" count="1197" uniqueCount="377">
  <si>
    <t>date</t>
  </si>
  <si>
    <t>pch</t>
  </si>
  <si>
    <t>churned</t>
  </si>
  <si>
    <t>survived</t>
  </si>
  <si>
    <t>pch_cum</t>
    <phoneticPr fontId="2" type="noConversion"/>
  </si>
  <si>
    <t>user_id</t>
  </si>
  <si>
    <t>is_churn</t>
  </si>
  <si>
    <t>pre_cash</t>
  </si>
  <si>
    <t>p_amt</t>
  </si>
  <si>
    <t>s_amt</t>
  </si>
  <si>
    <t>s_rto</t>
  </si>
  <si>
    <t>earn_exchange</t>
  </si>
  <si>
    <t>earn_reward</t>
  </si>
  <si>
    <t>earn_reward_cnt</t>
  </si>
  <si>
    <t>count</t>
  </si>
  <si>
    <t>mean</t>
  </si>
  <si>
    <t>median</t>
  </si>
  <si>
    <t>pre_cash_bin</t>
  </si>
  <si>
    <t>30000+</t>
  </si>
  <si>
    <t>pre_shoji_bin</t>
  </si>
  <si>
    <t>pre_shoji</t>
  </si>
  <si>
    <t>이탈율</t>
    <phoneticPr fontId="2" type="noConversion"/>
  </si>
  <si>
    <t>0-4999</t>
  </si>
  <si>
    <t>5000-9999</t>
  </si>
  <si>
    <t>10000-14999</t>
  </si>
  <si>
    <t>15000-19999</t>
  </si>
  <si>
    <t>20000-24999</t>
  </si>
  <si>
    <t>25000-29999</t>
  </si>
  <si>
    <t>declare start_date date;
set start_date = "2025-01-01";
with calendar as (
  select date
  from unnest(generate_date_array('2025-01-01' , current_date() -1, Interval 1 day)) as date
)
,first_order_user as
  (select user_id, min(register_dt) as first_order, 
  from `dm.agg_user_cash_daily`
  where purchase is not null
  group by user_id)
,churn as (
  select 
    cur_date, user_id, is_churn
  from `dm.agg_user_churn_daily`
  where cur_date &gt;= start_date
)
select a.date, pch, churned, survived
from calendar a
left join (
  select first_order, count(user_id) as pch
  from first_order_user
  group by first_order
) b on a.date = b.first_order
left join (
  select 
    cur_date
      ,count(case when is_churn is True then user_id end) as churned
      ,count(case when is_churn is not True then user_id end) as survived
  from churn
  group by cur_date
) c on a.date = c.cur_date</t>
    <phoneticPr fontId="2" type="noConversion"/>
  </si>
  <si>
    <t>max</t>
  </si>
  <si>
    <t>NaN</t>
  </si>
  <si>
    <t>&lt;NA&gt;</t>
  </si>
  <si>
    <t>sum</t>
  </si>
  <si>
    <t>churn_rate</t>
    <phoneticPr fontId="2" type="noConversion"/>
  </si>
  <si>
    <t>ratio</t>
    <phoneticPr fontId="2" type="noConversion"/>
  </si>
  <si>
    <t>WITH first_purchase AS (
  SELECT 
    user_id,
    MIN(register_dt) AS first_purchase_date
  FROM `dm.agg_user_cash_daily`
  WHERE purchase IS NOT NULL
  GROUP BY user_id
)
,final as
(SELECT DISTINCT a.user_id
  ,b.register_dt AS p_date
  ,b.current_shoji AS cur_shoji
  ,b.pre_shoji AS pre_shoji
  ,b.pre_cash AS pre_cash
  ,b.purchase AS p_amt
  ,b.spend_use - b.earn_recall - b.spend_burnt AS s_amt
  ,ROUND(
    (b.spend_use - b.earn_recall - b.spend_burnt) / NULLIF(b.purchase, 0)
  , 2) AS s_rto
  ,SUM(a.earn_exchange) OVER (
    PARTITION BY a.user_id
    ORDER BY a.register_dt
    ROWS BETWEEN UNBOUNDED PRECEDING AND CURRENT ROW
  ) AS earn_exchange
  ,COUNT(a.earn_exchange) OVER (
    PARTITION BY a.user_id
    ORDER BY a.register_dt
    ROWS BETWEEN UNBOUNDED PRECEDING AND CURRENT ROW
  ) AS earn_exchange_cnt
  ,SUM(a.earn_reward) OVER (
    PARTITION BY a.user_id
    ORDER BY a.register_dt
    ROWS BETWEEN UNBOUNDED PRECEDING AND CURRENT ROW
  ) AS earn_reward
  ,COUNT(a.earn_reward) OVER (
    PARTITION BY a.user_id
    ORDER BY a.register_dt
    ROWS BETWEEN UNBOUNDED PRECEDING AND CURRENT ROW
  ) AS since_visit_dt
  ,COUNT(case when a.earn_reward &gt; 0 then a.earn_reward end) OVER (
    PARTITION BY a.user_id
    ORDER BY a.register_dt
    ROWS BETWEEN UNBOUNDED PRECEDING AND CURRENT ROW
  ) AS earn_reward_cnt
FROM `dm.agg_user_cash_daily` a
JOIN first_purchase fp ON a.user_id = fp.user_id
JOIN `dm.agg_user_cash_daily` b 
  ON a.user_id = b.user_id 
  AND b.register_dt = fp.first_purchase_date
JOIN `dw.dim_shopby_member` c 
  ON a.user_id = c.wk_id
WHERE a.register_dt &lt;= fp.first_purchase_date
  AND b.purchase IS NOT NULL
  And c.join_dt &lt; "2024-12-31"
  )
,churn as 
  (select distinct user_id, is_churn
  from `dm.agg_user_churn_daily`
  where is_churn is true)
select a.*, case when b.is_churn is true then true else false end as is_churn
from
  (select *
  from (
    select *,row_number() over(partition by user_id order by earn_reward_cnt desc) as rnk
    from final)
  where rnk = 1
  ) a
left join churn b on a.user_id = b.user_id</t>
    <phoneticPr fontId="2" type="noConversion"/>
  </si>
  <si>
    <t>판매가</t>
    <phoneticPr fontId="2" type="noConversion"/>
  </si>
  <si>
    <t>수수료</t>
    <phoneticPr fontId="2" type="noConversion"/>
  </si>
  <si>
    <t>할인액</t>
    <phoneticPr fontId="2" type="noConversion"/>
  </si>
  <si>
    <t>마진</t>
    <phoneticPr fontId="2" type="noConversion"/>
  </si>
  <si>
    <t>* 상품 판가액</t>
    <phoneticPr fontId="2" type="noConversion"/>
  </si>
  <si>
    <t>*고정마진</t>
    <phoneticPr fontId="2" type="noConversion"/>
  </si>
  <si>
    <t>쇼지</t>
    <phoneticPr fontId="2" type="noConversion"/>
  </si>
  <si>
    <t>실결제액</t>
    <phoneticPr fontId="2" type="noConversion"/>
  </si>
  <si>
    <t>마진 정책</t>
    <phoneticPr fontId="2" type="noConversion"/>
  </si>
  <si>
    <t>일일 평균 쇼지</t>
    <phoneticPr fontId="2" type="noConversion"/>
  </si>
  <si>
    <t>일일 광고 수익</t>
    <phoneticPr fontId="2" type="noConversion"/>
  </si>
  <si>
    <t>광고 수익</t>
    <phoneticPr fontId="2" type="noConversion"/>
  </si>
  <si>
    <t>일일 오퍼월 수익</t>
    <phoneticPr fontId="2" type="noConversion"/>
  </si>
  <si>
    <t>판 수</t>
    <phoneticPr fontId="2" type="noConversion"/>
  </si>
  <si>
    <t>사용률</t>
    <phoneticPr fontId="2" type="noConversion"/>
  </si>
  <si>
    <t>추가할인</t>
    <phoneticPr fontId="2" type="noConversion"/>
  </si>
  <si>
    <t>WITH first_purchase AS (
  SELECT 
    user_id,
    MIN(register_dt) AS first_purchase_date
  FROM `dm.agg_user_cash_daily`
  WHERE purchase IS NOT NULL
  GROUP BY user_id
),
second_purchase AS (
  SELECT 
    a.user_id,
    MIN(a.register_dt) AS second_purchase_date
  FROM `dm.agg_user_cash_daily` a
  JOIN first_purchase fp ON a.user_id = fp.user_id
  WHERE a.purchase IS NOT NULL
    AND a.register_dt &gt; fp.first_purchase_date
  GROUP BY a.user_id
),
final AS (
  SELECT DISTINCT 
    a.user_id,
    b.register_dt AS p_date,
    b.current_shoji AS cur_shoji,
    b.pre_shoji AS pre_shoji,
    b.pre_cash AS pre_cash,
    b.purchase AS p_amt,
    b.spend_use - b.earn_recall - b.spend_burnt AS s_amt,
    ROUND(
      (b.spend_use - b.earn_recall - b.spend_burnt) / NULLIF(b.purchase, 0)
    , 2) AS s_rto,
    SUM(a.earn_exchange) OVER (
      PARTITION BY a.user_id
      ORDER BY a.register_dt
      ROWS BETWEEN UNBOUNDED PRECEDING AND CURRENT ROW
    ) AS earn_exchange,
    COUNT(a.earn_exchange) OVER (
      PARTITION BY a.user_id
      ORDER BY a.register_dt
      ROWS BETWEEN UNBOUNDED PRECEDING AND CURRENT ROW
    ) AS earn_exchange_cnt,
    SUM(a.earn_reward) OVER (
      PARTITION BY a.user_id
      ORDER BY a.register_dt
      ROWS BETWEEN UNBOUNDED PRECEDING AND CURRENT ROW
    ) AS earn_reward,
    COUNT(a.earn_reward) OVER (
      PARTITION BY a.user_id
      ORDER BY a.register_dt
      ROWS BETWEEN UNBOUNDED PRECEDING AND CURRENT ROW
    ) AS since_visit_dt,
    COUNT(CASE WHEN a.earn_reward &gt; 0 THEN a.earn_reward END) OVER (
      PARTITION BY a.user_id
      ORDER BY a.register_dt
      ROWS BETWEEN UNBOUNDED PRECEDING AND CURRENT ROW
    ) AS earn_reward_cnt
  FROM `dm.agg_user_cash_daily` a
  JOIN first_purchase fp ON a.user_id = fp.user_id
  JOIN `dm.agg_user_cash_daily` b 
    ON a.user_id = b.user_id 
    AND b.register_dt = fp.first_purchase_date
  JOIN `dw.dim_shopby_member` c 
    ON a.user_id = c.wk_id
  WHERE a.register_dt &lt;= fp.first_purchase_date
    AND b.purchase IS NOT NULL
    AND c.join_dt &lt; "2024-12-31"
),
second_purchase_data AS (
  SELECT DISTINCT 
    a.user_id,
    s.second_purchase_date,
    b.current_shoji AS second_cur_shoji,
    b.pre_shoji AS second_pre_shoji,
    b.pre_cash AS second_pre_cash,
    b.purchase AS second_p_amt,
    b.spend_use - b.earn_recall - b.spend_burnt AS second_s_amt,
    ROUND(
      (b.spend_use - b.earn_recall - b.spend_burnt) / NULLIF(b.purchase, 0)
    , 2) AS second_s_rto,
    SUM(a.earn_exchange) OVER (
      PARTITION BY a.user_id
      ORDER BY a.register_dt
      ROWS BETWEEN UNBOUNDED PRECEDING AND CURRENT ROW
    ) AS second_earn_exchange,
    COUNT(a.earn_exchange) OVER (
      PARTITION BY a.user_id
      ORDER BY a.register_dt
      ROWS BETWEEN UNBOUNDED PRECEDING AND CURRENT ROW
    ) AS second_earn_exchange_cnt,
    SUM(a.earn_reward) OVER (
      PARTITION BY a.user_id
      ORDER BY a.register_dt
      ROWS BETWEEN UNBOUNDED PRECEDING AND CURRENT ROW
    ) AS second_earn_reward,
    COUNT(a.earn_reward) OVER (
      PARTITION BY a.user_id
      ORDER BY a.register_dt
      ROWS BETWEEN UNBOUNDED PRECEDING AND CURRENT ROW
    ) AS second_since_visit_dt,
    COUNT(CASE WHEN a.earn_reward &gt; 0 THEN a.earn_reward END) OVER (
      PARTITION BY a.user_id
      ORDER BY a.register_dt
      ROWS BETWEEN UNBOUNDED PRECEDING AND CURRENT ROW
    ) AS second_earn_reward_cnt
  FROM `dm.agg_user_cash_daily` a
  JOIN second_purchase s ON a.user_id = s.user_id
  JOIN first_purchase fp ON a.user_id = fp.user_id
  JOIN `dm.agg_user_cash_daily` b 
    ON a.user_id = b.user_id 
    AND b.register_dt = s.second_purchase_date
  WHERE a.register_dt &gt; fp.first_purchase_date
    AND a.register_dt &lt;= s.second_purchase_date
    AND b.purchase IS NOT NULL
),
between_purchases AS (
  SELECT
    a.user_id,
    SUM(a.earn_exchange) AS between_earn_exchange,
    COUNT(a.earn_exchange) AS between_earn_exchange_cnt,
    SUM(a.earn_reward) AS between_earn_reward,
    COUNT(CASE WHEN a.earn_reward &gt; 0 THEN a.earn_reward END) AS between_earn_reward_cnt,
    COUNT(a.register_dt) AS between_visit_cnt
  FROM `dm.agg_user_cash_daily` a
  JOIN first_purchase fp ON a.user_id = fp.user_id
  JOIN second_purchase sp ON a.user_id = sp.user_id
  WHERE a.register_dt &gt; fp.first_purchase_date
    AND a.register_dt &lt; sp.second_purchase_date
  GROUP BY a.user_id
),
churn AS (
  SELECT 
    DISTINCT user_id, 
    is_churn
  FROM `dm.agg_user_churn_daily`
  WHERE is_churn IS TRUE
)
SELECT 
  a.*,
  CASE WHEN b.is_churn IS TRUE THEN TRUE ELSE FALSE END AS is_churn,
  s.second_purchase_date,
  s.second_cur_shoji,
  s.second_pre_shoji,
  s.second_pre_cash,
  s.second_p_amt,
  s.second_s_amt,
  s.second_s_rto,
  s.second_earn_exchange,
  s.second_earn_exchange_cnt,
  s.second_earn_reward,
  s.second_since_visit_dt,
  s.second_earn_reward_cnt,
  bp.between_earn_exchange,
  bp.between_earn_exchange_cnt,
  bp.between_earn_reward,
  bp.between_earn_reward_cnt,
  date_diff(s.second_purchase_date, a.p_date, day) AS days_between_purchases
FROM (
  SELECT *
  FROM (
    SELECT *, ROW_NUMBER() OVER(PARTITION BY user_id ORDER BY earn_reward_cnt DESC) AS rnk
    FROM final
  )
  WHERE rnk = 1
) a
LEFT JOIN churn b ON a.user_id = b.user_id
LEFT JOIN (
  select *
  from(
      SELECT *, ROW_NUMBER() OVER(PARTITION BY user_id ORDER BY second_earn_reward_cnt DESC) AS rnk
      FROM second_purchase_data
    )
  where rnk = 1
) s ON a.user_id = s.user_id
LEFT JOIN between_purchases bp ON a.user_id = bp.user_id</t>
    <phoneticPr fontId="2" type="noConversion"/>
  </si>
  <si>
    <t>2번째 구매까지</t>
    <phoneticPr fontId="2" type="noConversion"/>
  </si>
  <si>
    <t>첫번째 구매</t>
    <phoneticPr fontId="2" type="noConversion"/>
  </si>
  <si>
    <t>second_cur_shoji</t>
  </si>
  <si>
    <t>join_dt</t>
  </si>
  <si>
    <t>min</t>
  </si>
  <si>
    <t>재구매율</t>
    <phoneticPr fontId="2" type="noConversion"/>
  </si>
  <si>
    <t>is_first_bankrupt</t>
  </si>
  <si>
    <t>쇼지 파산 대비 이탈율</t>
    <phoneticPr fontId="2" type="noConversion"/>
  </si>
  <si>
    <t>first_cum_money_bin</t>
  </si>
  <si>
    <t>cur_shoji</t>
  </si>
  <si>
    <t>30000-34999</t>
  </si>
  <si>
    <t>35000-39999</t>
  </si>
  <si>
    <t>40000-44999</t>
  </si>
  <si>
    <t>45000-49999</t>
  </si>
  <si>
    <t>50000-54999</t>
  </si>
  <si>
    <t>55000-59999</t>
  </si>
  <si>
    <t>60000-64999</t>
  </si>
  <si>
    <t>65000-69999</t>
  </si>
  <si>
    <t>70000-74999</t>
  </si>
  <si>
    <t>75000-79999</t>
  </si>
  <si>
    <t>80000-84999</t>
  </si>
  <si>
    <t>85000-89999</t>
  </si>
  <si>
    <t>90000-94999</t>
  </si>
  <si>
    <t>95000-99999</t>
  </si>
  <si>
    <t>100000-104999</t>
  </si>
  <si>
    <t>105000-109999</t>
  </si>
  <si>
    <t>110000-114999</t>
  </si>
  <si>
    <t>115000-119999</t>
  </si>
  <si>
    <t>120000-124999</t>
  </si>
  <si>
    <t>125000-129999</t>
  </si>
  <si>
    <t>130000-134999</t>
  </si>
  <si>
    <t>135000-139999</t>
  </si>
  <si>
    <t>140000-144999</t>
  </si>
  <si>
    <t>145000-149999</t>
  </si>
  <si>
    <t>150000-154999</t>
  </si>
  <si>
    <t>155000-159999</t>
  </si>
  <si>
    <t>160000-164999</t>
  </si>
  <si>
    <t>165000-169999</t>
  </si>
  <si>
    <t>170000-174999</t>
  </si>
  <si>
    <t>175000-179999</t>
  </si>
  <si>
    <t>180000-184999</t>
  </si>
  <si>
    <t>185000-189999</t>
  </si>
  <si>
    <t>190000-194999</t>
  </si>
  <si>
    <t>195000-199999</t>
  </si>
  <si>
    <t>second_earn_reward</t>
  </si>
  <si>
    <t>second_earn_exchange</t>
  </si>
  <si>
    <t>second_earn_reward_cnt</t>
  </si>
  <si>
    <t>second_p_amt</t>
  </si>
  <si>
    <t>second_s_amt</t>
  </si>
  <si>
    <t>second_s_rto</t>
  </si>
  <si>
    <t>매개변수</t>
    <phoneticPr fontId="2" type="noConversion"/>
  </si>
  <si>
    <t>케이스</t>
    <phoneticPr fontId="2" type="noConversion"/>
  </si>
  <si>
    <t>내부 정책</t>
    <phoneticPr fontId="2" type="noConversion"/>
  </si>
  <si>
    <t>마진 계산</t>
    <phoneticPr fontId="2" type="noConversion"/>
  </si>
  <si>
    <t>카테고리</t>
    <phoneticPr fontId="2" type="noConversion"/>
  </si>
  <si>
    <t>광고 수익</t>
    <phoneticPr fontId="2" type="noConversion"/>
  </si>
  <si>
    <t>판매 수수료</t>
    <phoneticPr fontId="2" type="noConversion"/>
  </si>
  <si>
    <t>매출 수익</t>
    <phoneticPr fontId="2" type="noConversion"/>
  </si>
  <si>
    <t>매출 지출</t>
    <phoneticPr fontId="2" type="noConversion"/>
  </si>
  <si>
    <t>구매 적립</t>
    <phoneticPr fontId="2" type="noConversion"/>
  </si>
  <si>
    <t>구매적립</t>
    <phoneticPr fontId="2" type="noConversion"/>
  </si>
  <si>
    <t>유저 재산</t>
    <phoneticPr fontId="2" type="noConversion"/>
  </si>
  <si>
    <t>마진</t>
    <phoneticPr fontId="2" type="noConversion"/>
  </si>
  <si>
    <t>물 판매가</t>
    <phoneticPr fontId="2" type="noConversion"/>
  </si>
  <si>
    <t>케이스</t>
    <phoneticPr fontId="2" type="noConversion"/>
  </si>
  <si>
    <t>마진</t>
    <phoneticPr fontId="2" type="noConversion"/>
  </si>
  <si>
    <t>pre_shoji_bin</t>
    <phoneticPr fontId="2" type="noConversion"/>
  </si>
  <si>
    <t>5% 케이스</t>
    <phoneticPr fontId="2" type="noConversion"/>
  </si>
  <si>
    <t>판매가</t>
    <phoneticPr fontId="2" type="noConversion"/>
  </si>
  <si>
    <t>쇼핑지원금</t>
    <phoneticPr fontId="2" type="noConversion"/>
  </si>
  <si>
    <t>일일 쇼핑지원금 수익 평균</t>
    <phoneticPr fontId="2" type="noConversion"/>
  </si>
  <si>
    <t>일일 평균 광고 매출</t>
    <phoneticPr fontId="2" type="noConversion"/>
  </si>
  <si>
    <t>광고 수익</t>
    <phoneticPr fontId="2" type="noConversion"/>
  </si>
  <si>
    <t>구매 적립금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</si>
  <si>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</si>
  <si>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</si>
  <si>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</si>
  <si>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M</t>
    <phoneticPr fontId="2" type="noConversion"/>
  </si>
  <si>
    <t>S</t>
    <phoneticPr fontId="2" type="noConversion"/>
  </si>
  <si>
    <t>R</t>
    <phoneticPr fontId="2" type="noConversion"/>
  </si>
  <si>
    <t>x</t>
    <phoneticPr fontId="2" type="noConversion"/>
  </si>
  <si>
    <t>x 배수</t>
    <phoneticPr fontId="2" type="noConversion"/>
  </si>
  <si>
    <t>P (=S * x)</t>
    <phoneticPr fontId="2" type="noConversion"/>
  </si>
  <si>
    <t>x = (1-A/D) / 0.14</t>
    <phoneticPr fontId="2" type="noConversion"/>
  </si>
  <si>
    <t>쇼핑지원금 사용률</t>
    <phoneticPr fontId="2" type="noConversion"/>
  </si>
  <si>
    <t>U</t>
    <phoneticPr fontId="2" type="noConversion"/>
  </si>
  <si>
    <t>마진 수수료</t>
    <phoneticPr fontId="2" type="noConversion"/>
  </si>
  <si>
    <t>Mp</t>
    <phoneticPr fontId="2" type="noConversion"/>
  </si>
  <si>
    <t>Mp * P + (S/D) * A = S + 0.01 * P</t>
    <phoneticPr fontId="2" type="noConversion"/>
  </si>
  <si>
    <t>(1-A/D) / 0.14</t>
  </si>
  <si>
    <t>마진 식 (광고 매출 적용)</t>
    <phoneticPr fontId="2" type="noConversion"/>
  </si>
  <si>
    <t>마진 식 (광고 미적용)</t>
    <phoneticPr fontId="2" type="noConversion"/>
  </si>
  <si>
    <t>Mp * P = S + P * 1%</t>
    <phoneticPr fontId="2" type="noConversion"/>
  </si>
  <si>
    <t>15% * P = S + P * 1%</t>
    <phoneticPr fontId="2" type="noConversion"/>
  </si>
  <si>
    <t>15%P = S + 1%P</t>
    <phoneticPr fontId="2" type="noConversion"/>
  </si>
  <si>
    <t>14%P = S</t>
    <phoneticPr fontId="2" type="noConversion"/>
  </si>
  <si>
    <t>P = S/14%</t>
    <phoneticPr fontId="2" type="noConversion"/>
  </si>
  <si>
    <t>판매가 대비 쇼지 사용률 스프레드</t>
    <phoneticPr fontId="2" type="noConversion"/>
  </si>
  <si>
    <t>P/14%</t>
    <phoneticPr fontId="2" type="noConversion"/>
  </si>
  <si>
    <t xml:space="preserve"> </t>
    <phoneticPr fontId="2" type="noConversion"/>
  </si>
  <si>
    <t>bankrupt_rate</t>
    <phoneticPr fontId="2" type="noConversion"/>
  </si>
  <si>
    <t>churn_rate</t>
    <phoneticPr fontId="2" type="noConversion"/>
  </si>
  <si>
    <t>첫 파산율</t>
    <phoneticPr fontId="2" type="noConversion"/>
  </si>
  <si>
    <t>이탈율</t>
    <phoneticPr fontId="2" type="noConversion"/>
  </si>
  <si>
    <t>재구매율</t>
    <phoneticPr fontId="2" type="noConversion"/>
  </si>
  <si>
    <t>첫 구매 전 보상 축적일 기준, 재산으로 두 코호트로 분기된다.</t>
    <phoneticPr fontId="2" type="noConversion"/>
  </si>
  <si>
    <t>첫구매 전 캐시 (정규화)</t>
    <phoneticPr fontId="2" type="noConversion"/>
  </si>
  <si>
    <t>첫구매 전 쇼지 (정규화)</t>
    <phoneticPr fontId="2" type="noConversion"/>
  </si>
  <si>
    <t>이탈율 (정규화)</t>
    <phoneticPr fontId="2" type="noConversion"/>
  </si>
  <si>
    <t>재구매율 (정규화)</t>
    <phoneticPr fontId="2" type="noConversion"/>
  </si>
  <si>
    <t>축적일이 길 수록, 이탈율이 적고 재구매율이 낮다. 이는 긴 축적기간이 요인이다.</t>
    <phoneticPr fontId="2" type="noConversion"/>
  </si>
  <si>
    <t>첫 구매 후 재구매율은 보유 캐시에 종속된다. (상관관계 0.91)</t>
    <phoneticPr fontId="2" type="noConversion"/>
  </si>
  <si>
    <t>순서가 중요하다.</t>
    <phoneticPr fontId="2" type="noConversion"/>
  </si>
  <si>
    <t>캐시는 기존 재산, 쇼지는 신생 재산이다.</t>
    <phoneticPr fontId="2" type="noConversion"/>
  </si>
  <si>
    <t>second_pre_shoji</t>
  </si>
  <si>
    <t>second_pre_cash</t>
  </si>
  <si>
    <t>between_earn_reward_cnt</t>
  </si>
  <si>
    <t>between_earn_reward</t>
  </si>
  <si>
    <t>첫구매 전 쇼지</t>
    <phoneticPr fontId="2" type="noConversion"/>
  </si>
  <si>
    <t>첫구매 전 캐시</t>
    <phoneticPr fontId="2" type="noConversion"/>
  </si>
  <si>
    <t>재구매 전 쇼지</t>
    <phoneticPr fontId="2" type="noConversion"/>
  </si>
  <si>
    <t>재구매 전 캐시</t>
    <phoneticPr fontId="2" type="noConversion"/>
  </si>
  <si>
    <t>첫 구매 후 재구매 까지 보상을 수령한 횟수</t>
    <phoneticPr fontId="2" type="noConversion"/>
  </si>
  <si>
    <t>첫 구매 후 재구매 까지 수령한 보상 액</t>
    <phoneticPr fontId="2" type="noConversion"/>
  </si>
  <si>
    <t>첫구매 전 총 재산</t>
    <phoneticPr fontId="2" type="noConversion"/>
  </si>
  <si>
    <t>재구매 전 총 재산</t>
    <phoneticPr fontId="2" type="noConversion"/>
  </si>
  <si>
    <t>second_pre_asset</t>
  </si>
  <si>
    <t>첫 구매 시 쇼지 사용 비중</t>
    <phoneticPr fontId="2" type="noConversion"/>
  </si>
  <si>
    <t>재산 변동</t>
    <phoneticPr fontId="2" type="noConversion"/>
  </si>
  <si>
    <t>첫구매, 재구매 평균</t>
    <phoneticPr fontId="2" type="noConversion"/>
  </si>
  <si>
    <t>첫구매 전 총 재산 (정규화)</t>
    <phoneticPr fontId="2" type="noConversion"/>
  </si>
  <si>
    <t>재 구매 시 쇼지 사용 비중</t>
    <phoneticPr fontId="2" type="noConversion"/>
  </si>
  <si>
    <t xml:space="preserve">    </t>
    <phoneticPr fontId="2" type="noConversion"/>
  </si>
  <si>
    <t>군집 a</t>
    <phoneticPr fontId="2" type="noConversion"/>
  </si>
  <si>
    <t>군집 b</t>
    <phoneticPr fontId="2" type="noConversion"/>
  </si>
  <si>
    <t>첫구매 축적</t>
    <phoneticPr fontId="2" type="noConversion"/>
  </si>
  <si>
    <t>재구매 축적</t>
    <phoneticPr fontId="2" type="noConversion"/>
  </si>
  <si>
    <t>pre_asset_bin</t>
  </si>
  <si>
    <t>asset</t>
    <phoneticPr fontId="2" type="noConversion"/>
  </si>
  <si>
    <t>첫구매 쇼지비중 20% 미만</t>
    <phoneticPr fontId="2" type="noConversion"/>
  </si>
  <si>
    <t xml:space="preserve"> </t>
    <phoneticPr fontId="2" type="noConversion"/>
  </si>
  <si>
    <t>asset_range</t>
  </si>
  <si>
    <t>f0_</t>
  </si>
  <si>
    <t>0 - 4999</t>
  </si>
  <si>
    <t>5000 - 9999</t>
  </si>
  <si>
    <t>10000 - 14999</t>
  </si>
  <si>
    <t>15000 - 19999</t>
  </si>
  <si>
    <t>20000 - 24999</t>
  </si>
  <si>
    <t>25000 - 29999</t>
  </si>
  <si>
    <t>30000 - 34999</t>
  </si>
  <si>
    <t>35000 - 39999</t>
  </si>
  <si>
    <t>40000 - 44999</t>
  </si>
  <si>
    <t>45000 - 49999</t>
  </si>
  <si>
    <t>50000 - 54999</t>
  </si>
  <si>
    <t>55000 - 59999</t>
  </si>
  <si>
    <t>60000 - 64999</t>
  </si>
  <si>
    <t>65000 - 69999</t>
  </si>
  <si>
    <t>70000 - 74999</t>
  </si>
  <si>
    <t>75000 - 79999</t>
  </si>
  <si>
    <t>80000 - 84999</t>
  </si>
  <si>
    <t>85000 - 89999</t>
  </si>
  <si>
    <t>90000 - 94999</t>
  </si>
  <si>
    <t>95000 - 99999</t>
  </si>
  <si>
    <t>100000 - 104999</t>
  </si>
  <si>
    <t>105000 - 109999</t>
  </si>
  <si>
    <t>110000 - 114999</t>
  </si>
  <si>
    <t>115000 - 119999</t>
  </si>
  <si>
    <t>120000 - 124999</t>
  </si>
  <si>
    <t>140000 - 144999</t>
  </si>
  <si>
    <t>170000 - 174999</t>
  </si>
  <si>
    <t>200000 - 204999</t>
  </si>
  <si>
    <t>f1_</t>
  </si>
  <si>
    <t>총 재산</t>
  </si>
  <si>
    <t>실제 거래액</t>
  </si>
  <si>
    <t>유저 사용</t>
    <phoneticPr fontId="2" type="noConversion"/>
  </si>
  <si>
    <t>수수료</t>
    <phoneticPr fontId="2" type="noConversion"/>
  </si>
  <si>
    <t>유저 구매</t>
    <phoneticPr fontId="2" type="noConversion"/>
  </si>
  <si>
    <t>BEP</t>
    <phoneticPr fontId="2" type="noConversion"/>
  </si>
  <si>
    <t>적립</t>
    <phoneticPr fontId="2" type="noConversion"/>
  </si>
  <si>
    <t>소지 재산 분포</t>
  </si>
  <si>
    <t>유저 수</t>
  </si>
  <si>
    <t>누적 재산 분포</t>
  </si>
  <si>
    <t>기본 거래 갯수</t>
  </si>
  <si>
    <t>재산</t>
  </si>
  <si>
    <t>사용비중</t>
  </si>
  <si>
    <t>사용 쇼지</t>
  </si>
  <si>
    <t>할인 분모</t>
  </si>
  <si>
    <t>BEP 거래액</t>
  </si>
  <si>
    <t>BEP 거래액 (프로모션)</t>
  </si>
  <si>
    <t>실제 거래 예정액</t>
  </si>
  <si>
    <t>업셀링 타겟</t>
  </si>
  <si>
    <t>실제 거래 횟수</t>
  </si>
  <si>
    <t>업셀링 프로모션</t>
  </si>
  <si>
    <t>적립금</t>
  </si>
  <si>
    <t>반복</t>
    <phoneticPr fontId="2" type="noConversion"/>
  </si>
  <si>
    <t>합</t>
    <phoneticPr fontId="2" type="noConversion"/>
  </si>
  <si>
    <t>평균</t>
    <phoneticPr fontId="2" type="noConversion"/>
  </si>
  <si>
    <t>표준편차</t>
    <phoneticPr fontId="2" type="noConversion"/>
  </si>
  <si>
    <t>시뮬레이션</t>
    <phoneticPr fontId="2" type="noConversion"/>
  </si>
  <si>
    <t>평균 소지 재산</t>
  </si>
  <si>
    <t>누적 유저 분포</t>
  </si>
  <si>
    <t>0 ~ 4999</t>
  </si>
  <si>
    <t>5000 ~ 9999</t>
  </si>
  <si>
    <t>10000 ~ 14999</t>
  </si>
  <si>
    <t>15000 ~ 19999</t>
  </si>
  <si>
    <t>20000 ~ 24999</t>
  </si>
  <si>
    <t>25000 ~ 29999</t>
  </si>
  <si>
    <t>30000 ~ 34999</t>
  </si>
  <si>
    <t>35000 ~ 39999</t>
  </si>
  <si>
    <t>40000 ~ 44999</t>
  </si>
  <si>
    <t>45000 ~ 49999</t>
  </si>
  <si>
    <t>50000 ~ 54999</t>
  </si>
  <si>
    <t>55000 ~ 59999</t>
  </si>
  <si>
    <t>60000 ~ 64999</t>
  </si>
  <si>
    <t>65000 ~ 69999</t>
  </si>
  <si>
    <t>70000 ~ 74999</t>
  </si>
  <si>
    <t>75000 ~ 79999</t>
  </si>
  <si>
    <t>80000 ~ 84999</t>
  </si>
  <si>
    <t>85000 ~ 89999</t>
  </si>
  <si>
    <t>90000 ~ 94999</t>
  </si>
  <si>
    <t>95000 ~ 99999</t>
  </si>
  <si>
    <t>100000 ~ 104999</t>
  </si>
  <si>
    <t>105000 ~ 109999</t>
  </si>
  <si>
    <t>110000 ~ 114999</t>
  </si>
  <si>
    <t>115000 ~ 119999</t>
  </si>
  <si>
    <t>120000 ~ 124999</t>
  </si>
  <si>
    <t>140000 ~ 144999</t>
  </si>
  <si>
    <t>170000 ~ 174999</t>
  </si>
  <si>
    <t>200000 ~ 204999</t>
  </si>
  <si>
    <t>확률</t>
    <phoneticPr fontId="2" type="noConversion"/>
  </si>
  <si>
    <t>난수</t>
    <phoneticPr fontId="2" type="noConversion"/>
  </si>
  <si>
    <t>승률</t>
    <phoneticPr fontId="2" type="noConversion"/>
  </si>
  <si>
    <t>승산</t>
    <phoneticPr fontId="2" type="noConversion"/>
  </si>
  <si>
    <t>손익비</t>
    <phoneticPr fontId="2" type="noConversion"/>
  </si>
  <si>
    <t>평균 마진</t>
    <phoneticPr fontId="2" type="noConversion"/>
  </si>
  <si>
    <t>표준 편차</t>
    <phoneticPr fontId="2" type="noConversion"/>
  </si>
  <si>
    <t>신뢰 하한</t>
    <phoneticPr fontId="2" type="noConversion"/>
  </si>
  <si>
    <t>평균 거래액</t>
    <phoneticPr fontId="2" type="noConversion"/>
  </si>
  <si>
    <t>TO-BE</t>
    <phoneticPr fontId="2" type="noConversion"/>
  </si>
  <si>
    <t>AS-IS</t>
    <phoneticPr fontId="2" type="noConversion"/>
  </si>
  <si>
    <t>성장률</t>
    <phoneticPr fontId="2" type="noConversion"/>
  </si>
  <si>
    <t>항목</t>
    <phoneticPr fontId="2" type="noConversion"/>
  </si>
  <si>
    <t>계수</t>
    <phoneticPr fontId="2" type="noConversion"/>
  </si>
  <si>
    <t>코호트</t>
    <phoneticPr fontId="2" type="noConversion"/>
  </si>
  <si>
    <t>총 마진</t>
    <phoneticPr fontId="2" type="noConversion"/>
  </si>
  <si>
    <t>사용 비중 상</t>
    <phoneticPr fontId="2" type="noConversion"/>
  </si>
  <si>
    <t>사용 비중 하</t>
    <phoneticPr fontId="2" type="noConversion"/>
  </si>
  <si>
    <t>상 연동</t>
    <phoneticPr fontId="2" type="noConversion"/>
  </si>
  <si>
    <t>하 연동</t>
    <phoneticPr fontId="2" type="noConversion"/>
  </si>
  <si>
    <t>복합 연동</t>
    <phoneticPr fontId="2" type="noConversion"/>
  </si>
  <si>
    <t>-</t>
    <phoneticPr fontId="2" type="noConversion"/>
  </si>
  <si>
    <t>시뮬레이션 결과</t>
    <phoneticPr fontId="2" type="noConversion"/>
  </si>
  <si>
    <t>신뢰 상한</t>
    <phoneticPr fontId="2" type="noConversion"/>
  </si>
  <si>
    <t>시뮬레이션 what-if</t>
    <phoneticPr fontId="2" type="noConversion"/>
  </si>
  <si>
    <t>항목 상위</t>
    <phoneticPr fontId="2" type="noConversion"/>
  </si>
  <si>
    <t>적립금 사용 비중
(유저 자율)</t>
    <phoneticPr fontId="2" type="noConversion"/>
  </si>
  <si>
    <t>사용 비중에 따른 
차등 보상</t>
    <phoneticPr fontId="2" type="noConversion"/>
  </si>
  <si>
    <t>구매 적립금 상</t>
    <phoneticPr fontId="2" type="noConversion"/>
  </si>
  <si>
    <t>구매 적립금 하</t>
    <phoneticPr fontId="2" type="noConversion"/>
  </si>
  <si>
    <t>업셀링 할인 상</t>
    <phoneticPr fontId="2" type="noConversion"/>
  </si>
  <si>
    <t>업셀링 할인 하</t>
    <phoneticPr fontId="2" type="noConversion"/>
  </si>
  <si>
    <t>업셀링 상 전환율</t>
    <phoneticPr fontId="2" type="noConversion"/>
  </si>
  <si>
    <t>업셀링 하 전환율</t>
    <phoneticPr fontId="2" type="noConversion"/>
  </si>
  <si>
    <t>BEP 미만 타겟 
대상 프로모션</t>
    <phoneticPr fontId="2" type="noConversion"/>
  </si>
  <si>
    <t>프로모션 통계치</t>
    <phoneticPr fontId="2" type="noConversion"/>
  </si>
  <si>
    <t>상품 구매 수</t>
    <phoneticPr fontId="2" type="noConversion"/>
  </si>
  <si>
    <t>핵심 스킴인 적립금 사용 비중의 최적값은 몇%인가?</t>
    <phoneticPr fontId="2" type="noConversion"/>
  </si>
  <si>
    <t>매개변수 스킴</t>
    <phoneticPr fontId="2" type="noConversion"/>
  </si>
  <si>
    <t>마진에 기여하는 매개변수 정의</t>
    <phoneticPr fontId="2" type="noConversion"/>
  </si>
  <si>
    <t>영업 이익</t>
    <phoneticPr fontId="2" type="noConversion"/>
  </si>
  <si>
    <t>가정 1. 정책 가입자는 무작위로 발생한다. 따라서, 현재 유저 분포를 따른다.</t>
    <phoneticPr fontId="2" type="noConversion"/>
  </si>
  <si>
    <t>가정 2. 정책 가입자의 적립금 사용 비중은 무작위를 가정한다.</t>
    <phoneticPr fontId="2" type="noConversion"/>
  </si>
  <si>
    <t>가정 3. 거래액은 소지한 재산에 종속되지 않으며, 기존의 거래액 분포를 따른다.</t>
    <phoneticPr fontId="2" type="noConversion"/>
  </si>
  <si>
    <t>가정 4. 구매 예정자는 추가 혜택 수락률이 이항분포를 따른다. (5~10%)</t>
    <phoneticPr fontId="2" type="noConversion"/>
  </si>
  <si>
    <t>결과적으로 본 정책을 유저와 합의한다면, 약 3:1의 거래 승산을 확보할 수 있으므로 흑자 전환할 수 있다.</t>
    <phoneticPr fontId="2" type="noConversion"/>
  </si>
  <si>
    <t>기존 영업 이익</t>
    <phoneticPr fontId="2" type="noConversion"/>
  </si>
  <si>
    <t>쇼핑 배당금 플랜 시뮬레이션</t>
    <phoneticPr fontId="2" type="noConversion"/>
  </si>
  <si>
    <t>재산을 n개월 동안 분할 사용할 시, 거래 당 혜택을 지급하는 거래의 마진 시뮬레이션</t>
    <phoneticPr fontId="2" type="noConversion"/>
  </si>
  <si>
    <t>*확률 시뮬레이션이므로, 값이 계속 변동함.</t>
    <phoneticPr fontId="2" type="noConversion"/>
  </si>
  <si>
    <t>거래 당 재산의 30% 사용을 허용할 수 있다. (일일 영업 이익 흑자 발생 기준)</t>
    <phoneticPr fontId="2" type="noConversion"/>
  </si>
  <si>
    <t>4/26일 기준, 샵바이 가입자의 최신 총 데이터 (총 재산 = 캐시 + 쇼지)</t>
    <phoneticPr fontId="2" type="noConversion"/>
  </si>
  <si>
    <t>일일 거래 중 200건의 거래를 무작위 추출했다는 가정</t>
    <phoneticPr fontId="2" type="noConversion"/>
  </si>
  <si>
    <t>쇼지사용</t>
  </si>
  <si>
    <t>비율</t>
  </si>
  <si>
    <t>구간별</t>
  </si>
  <si>
    <t>유저</t>
  </si>
  <si>
    <t>수:</t>
  </si>
  <si>
    <t>(-0.002</t>
  </si>
  <si>
    <t>0.1]</t>
  </si>
  <si>
    <t>(0.1</t>
  </si>
  <si>
    <t>0.2]</t>
  </si>
  <si>
    <t>(0.2</t>
  </si>
  <si>
    <t>0.3]</t>
  </si>
  <si>
    <t>(0.3</t>
  </si>
  <si>
    <t>0.4]</t>
  </si>
  <si>
    <t>(0.4</t>
  </si>
  <si>
    <t>0.5]</t>
  </si>
  <si>
    <t>(0.5</t>
  </si>
  <si>
    <t>0.6]</t>
  </si>
  <si>
    <t>(0.6</t>
  </si>
  <si>
    <t>0.7]</t>
  </si>
  <si>
    <t>(0.7</t>
  </si>
  <si>
    <t>0.8]</t>
  </si>
  <si>
    <t>(0.8</t>
  </si>
  <si>
    <t>0.9]</t>
  </si>
  <si>
    <t>(0.9</t>
  </si>
  <si>
    <t>1.0]</t>
  </si>
  <si>
    <t>Name:</t>
  </si>
  <si>
    <t>dtype:</t>
  </si>
  <si>
    <t>int64</t>
  </si>
  <si>
    <t>축적일</t>
    <phoneticPr fontId="2" type="noConversion"/>
  </si>
  <si>
    <t>군집 C</t>
    <phoneticPr fontId="2" type="noConversion"/>
  </si>
  <si>
    <t>군집 A</t>
    <phoneticPr fontId="2" type="noConversion"/>
  </si>
  <si>
    <t>군집 B</t>
    <phoneticPr fontId="2" type="noConversion"/>
  </si>
  <si>
    <t>첫구매 쇼지 비중</t>
    <phoneticPr fontId="2" type="noConversion"/>
  </si>
  <si>
    <t>재구매 쇼지 비중</t>
    <phoneticPr fontId="2" type="noConversion"/>
  </si>
  <si>
    <t>첫구매 재산</t>
    <phoneticPr fontId="2" type="noConversion"/>
  </si>
  <si>
    <t>재구매 재산</t>
    <phoneticPr fontId="2" type="noConversion"/>
  </si>
  <si>
    <t>첫구매 거래액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</si>
  <si>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</si>
  <si>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</si>
  <si>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</si>
  <si>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이탈율</t>
    <phoneticPr fontId="2" type="noConversion"/>
  </si>
  <si>
    <t>재구매율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</si>
</sst>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₩&quot;#,##0;[Red]\-&quot;₩&quot;#,##0"/>
    <numFmt numFmtId="8" formatCode="&quot;₩&quot;#,##0.00;[Red]\-&quot;₩&quot;#,##0.00"/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  <numFmt numFmtId="176" formatCode="_-&quot;₩&quot;* #,##0_-;\-&quot;₩&quot;* #,##0_-;_-&quot;₩&quot;* &quot;-&quot;??_-;_-@_-"/>
    <numFmt numFmtId="177" formatCode="0.0"/>
    <numFmt numFmtId="178" formatCode="0.0%"/>
    <numFmt numFmtId="179" formatCode="_-* #,##0.0_-;\-* #,##0.0_-;_-* &quot;-&quot;_-;_-@_-"/>
    <numFmt numFmtId="186" formatCode="_-* #,##0.00_-;\-* #,##0.00_-;_-* &quot;-&quot;_-;_-@_-"/>
    <numFmt numFmtId="196" formatCode="_-&quot;₩&quot;* #,##0.0000_-;\-&quot;₩&quot;* #,##0.0000_-;_-&quot;₩&quot;* &quot;-&quot;??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Arial"/>
      <family val="2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i/>
      <sz val="9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14" fontId="0" fillId="0" borderId="0" xfId="0" applyNumberFormat="1">
      <alignment vertical="center"/>
    </xf>
    <xf numFmtId="9" fontId="0" fillId="0" borderId="0" xfId="3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9" fontId="3" fillId="0" borderId="1" xfId="3" applyFont="1" applyBorder="1" applyAlignment="1">
      <alignment vertical="center" wrapText="1"/>
    </xf>
    <xf numFmtId="9" fontId="4" fillId="0" borderId="1" xfId="3" applyFont="1" applyBorder="1" applyAlignment="1">
      <alignment horizontal="center" vertical="center" wrapText="1"/>
    </xf>
    <xf numFmtId="42" fontId="0" fillId="0" borderId="0" xfId="2" applyFont="1">
      <alignment vertical="center"/>
    </xf>
    <xf numFmtId="42" fontId="4" fillId="0" borderId="1" xfId="2" applyFont="1" applyBorder="1" applyAlignment="1">
      <alignment horizontal="center" vertical="center" wrapText="1"/>
    </xf>
    <xf numFmtId="42" fontId="3" fillId="0" borderId="1" xfId="2" applyFont="1" applyBorder="1" applyAlignment="1">
      <alignment vertical="center" wrapText="1"/>
    </xf>
    <xf numFmtId="41" fontId="3" fillId="0" borderId="1" xfId="1" applyFont="1" applyBorder="1" applyAlignment="1">
      <alignment vertical="center" wrapText="1"/>
    </xf>
    <xf numFmtId="41" fontId="4" fillId="0" borderId="1" xfId="1" applyFont="1" applyBorder="1" applyAlignment="1">
      <alignment horizontal="center" vertical="center" wrapText="1"/>
    </xf>
    <xf numFmtId="41" fontId="0" fillId="0" borderId="0" xfId="1" applyFont="1">
      <alignment vertical="center"/>
    </xf>
    <xf numFmtId="0" fontId="0" fillId="0" borderId="0" xfId="0" applyAlignment="1">
      <alignment vertical="center" wrapText="1"/>
    </xf>
    <xf numFmtId="41" fontId="4" fillId="2" borderId="1" xfId="1" applyFont="1" applyFill="1" applyBorder="1" applyAlignment="1">
      <alignment horizontal="center" vertical="center" wrapText="1"/>
    </xf>
    <xf numFmtId="9" fontId="4" fillId="2" borderId="1" xfId="3" applyFont="1" applyFill="1" applyBorder="1" applyAlignment="1">
      <alignment horizontal="center" vertical="center" wrapText="1"/>
    </xf>
    <xf numFmtId="42" fontId="4" fillId="2" borderId="1" xfId="2" applyFont="1" applyFill="1" applyBorder="1" applyAlignment="1">
      <alignment horizontal="center" vertical="center" wrapText="1"/>
    </xf>
    <xf numFmtId="9" fontId="0" fillId="0" borderId="0" xfId="1" applyNumberFormat="1" applyFont="1">
      <alignment vertical="center"/>
    </xf>
    <xf numFmtId="9" fontId="0" fillId="0" borderId="0" xfId="0" applyNumberFormat="1">
      <alignment vertical="center"/>
    </xf>
    <xf numFmtId="41" fontId="0" fillId="0" borderId="0" xfId="0" applyNumberFormat="1">
      <alignment vertical="center"/>
    </xf>
    <xf numFmtId="44" fontId="0" fillId="0" borderId="0" xfId="0" applyNumberFormat="1">
      <alignment vertical="center"/>
    </xf>
    <xf numFmtId="0" fontId="5" fillId="0" borderId="0" xfId="0" applyFont="1">
      <alignment vertical="center"/>
    </xf>
    <xf numFmtId="176" fontId="0" fillId="0" borderId="0" xfId="2" applyNumberFormat="1" applyFont="1">
      <alignment vertical="center"/>
    </xf>
    <xf numFmtId="42" fontId="0" fillId="0" borderId="0" xfId="0" applyNumberFormat="1">
      <alignment vertical="center"/>
    </xf>
    <xf numFmtId="177" fontId="0" fillId="0" borderId="0" xfId="0" applyNumberFormat="1">
      <alignment vertical="center"/>
    </xf>
    <xf numFmtId="43" fontId="0" fillId="0" borderId="0" xfId="0" applyNumberFormat="1">
      <alignment vertical="center"/>
    </xf>
    <xf numFmtId="42" fontId="0" fillId="0" borderId="0" xfId="2" applyNumberFormat="1" applyFont="1">
      <alignment vertical="center"/>
    </xf>
    <xf numFmtId="0" fontId="4" fillId="0" borderId="5" xfId="0" applyFont="1" applyFill="1" applyBorder="1" applyAlignment="1">
      <alignment horizontal="center" vertical="center" wrapText="1"/>
    </xf>
    <xf numFmtId="9" fontId="4" fillId="0" borderId="5" xfId="3" applyFont="1" applyFill="1" applyBorder="1" applyAlignment="1">
      <alignment horizontal="center" vertical="center" wrapText="1"/>
    </xf>
    <xf numFmtId="178" fontId="0" fillId="0" borderId="0" xfId="3" applyNumberFormat="1" applyFont="1">
      <alignment vertical="center"/>
    </xf>
    <xf numFmtId="178" fontId="0" fillId="0" borderId="0" xfId="0" applyNumberFormat="1">
      <alignment vertical="center"/>
    </xf>
    <xf numFmtId="179" fontId="4" fillId="0" borderId="1" xfId="1" applyNumberFormat="1" applyFont="1" applyBorder="1" applyAlignment="1">
      <alignment horizontal="center" vertical="center" wrapText="1"/>
    </xf>
    <xf numFmtId="179" fontId="3" fillId="0" borderId="1" xfId="1" applyNumberFormat="1" applyFont="1" applyBorder="1" applyAlignment="1">
      <alignment vertical="center" wrapText="1"/>
    </xf>
    <xf numFmtId="179" fontId="0" fillId="0" borderId="0" xfId="1" applyNumberFormat="1" applyFont="1">
      <alignment vertical="center"/>
    </xf>
    <xf numFmtId="42" fontId="4" fillId="0" borderId="1" xfId="2" applyNumberFormat="1" applyFont="1" applyBorder="1" applyAlignment="1">
      <alignment horizontal="center" vertical="center" wrapText="1"/>
    </xf>
    <xf numFmtId="42" fontId="3" fillId="0" borderId="1" xfId="2" applyNumberFormat="1" applyFont="1" applyBorder="1" applyAlignment="1">
      <alignment vertical="center" wrapText="1"/>
    </xf>
    <xf numFmtId="6" fontId="0" fillId="0" borderId="0" xfId="0" applyNumberFormat="1">
      <alignment vertical="center"/>
    </xf>
    <xf numFmtId="6" fontId="6" fillId="0" borderId="0" xfId="0" applyNumberFormat="1" applyFont="1">
      <alignment vertical="center"/>
    </xf>
    <xf numFmtId="8" fontId="0" fillId="0" borderId="0" xfId="0" applyNumberFormat="1">
      <alignment vertical="center"/>
    </xf>
    <xf numFmtId="43" fontId="0" fillId="0" borderId="0" xfId="1" applyNumberFormat="1" applyFont="1">
      <alignment vertical="center"/>
    </xf>
    <xf numFmtId="41" fontId="4" fillId="0" borderId="2" xfId="1" applyFont="1" applyBorder="1" applyAlignment="1">
      <alignment horizontal="center" vertical="center" wrapText="1"/>
    </xf>
    <xf numFmtId="41" fontId="4" fillId="0" borderId="4" xfId="1" applyFont="1" applyBorder="1" applyAlignment="1">
      <alignment horizontal="center" vertical="center" wrapText="1"/>
    </xf>
    <xf numFmtId="41" fontId="4" fillId="0" borderId="3" xfId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41" fontId="4" fillId="2" borderId="2" xfId="1" applyFont="1" applyFill="1" applyBorder="1" applyAlignment="1">
      <alignment horizontal="center" vertical="center" wrapText="1"/>
    </xf>
    <xf numFmtId="41" fontId="4" fillId="2" borderId="4" xfId="1" applyFont="1" applyFill="1" applyBorder="1" applyAlignment="1">
      <alignment horizontal="center" vertical="center" wrapText="1"/>
    </xf>
    <xf numFmtId="41" fontId="4" fillId="2" borderId="3" xfId="1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9" fontId="7" fillId="0" borderId="6" xfId="3" applyFont="1" applyBorder="1" applyAlignment="1">
      <alignment vertical="center"/>
    </xf>
    <xf numFmtId="9" fontId="7" fillId="0" borderId="6" xfId="0" applyNumberFormat="1" applyFont="1" applyBorder="1" applyAlignment="1">
      <alignment vertical="center"/>
    </xf>
    <xf numFmtId="178" fontId="7" fillId="0" borderId="0" xfId="3" applyNumberFormat="1" applyFont="1" applyBorder="1" applyAlignment="1">
      <alignment horizontal="right" vertical="center"/>
    </xf>
    <xf numFmtId="9" fontId="7" fillId="0" borderId="0" xfId="3" applyNumberFormat="1" applyFont="1" applyBorder="1" applyAlignment="1">
      <alignment horizontal="right" vertical="center"/>
    </xf>
    <xf numFmtId="179" fontId="7" fillId="0" borderId="0" xfId="1" applyNumberFormat="1" applyFont="1" applyBorder="1" applyAlignment="1">
      <alignment vertical="center"/>
    </xf>
    <xf numFmtId="0" fontId="5" fillId="0" borderId="0" xfId="0" applyFont="1" applyBorder="1" applyAlignment="1">
      <alignment vertical="center"/>
    </xf>
    <xf numFmtId="179" fontId="5" fillId="0" borderId="0" xfId="1" applyNumberFormat="1" applyFont="1" applyBorder="1" applyAlignment="1">
      <alignment vertical="center"/>
    </xf>
    <xf numFmtId="179" fontId="5" fillId="4" borderId="6" xfId="1" applyNumberFormat="1" applyFont="1" applyFill="1" applyBorder="1" applyAlignment="1">
      <alignment vertical="center"/>
    </xf>
    <xf numFmtId="9" fontId="7" fillId="0" borderId="0" xfId="0" applyNumberFormat="1" applyFont="1" applyBorder="1" applyAlignment="1">
      <alignment vertical="center"/>
    </xf>
    <xf numFmtId="6" fontId="7" fillId="0" borderId="0" xfId="0" applyNumberFormat="1" applyFont="1" applyBorder="1" applyAlignment="1">
      <alignment vertical="center"/>
    </xf>
    <xf numFmtId="177" fontId="7" fillId="0" borderId="6" xfId="0" applyNumberFormat="1" applyFont="1" applyBorder="1" applyAlignment="1">
      <alignment horizontal="right" vertical="center"/>
    </xf>
    <xf numFmtId="177" fontId="7" fillId="0" borderId="6" xfId="0" applyNumberFormat="1" applyFont="1" applyBorder="1" applyAlignment="1">
      <alignment vertical="center"/>
    </xf>
    <xf numFmtId="42" fontId="7" fillId="0" borderId="0" xfId="2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6" fontId="7" fillId="0" borderId="0" xfId="0" applyNumberFormat="1" applyFont="1" applyBorder="1" applyAlignment="1">
      <alignment horizontal="right" vertical="center"/>
    </xf>
    <xf numFmtId="9" fontId="7" fillId="0" borderId="6" xfId="0" applyNumberFormat="1" applyFont="1" applyBorder="1" applyAlignment="1">
      <alignment horizontal="right" vertical="center"/>
    </xf>
    <xf numFmtId="196" fontId="7" fillId="0" borderId="0" xfId="0" applyNumberFormat="1" applyFont="1" applyBorder="1" applyAlignment="1">
      <alignment vertical="center"/>
    </xf>
    <xf numFmtId="42" fontId="7" fillId="0" borderId="6" xfId="2" applyFont="1" applyBorder="1" applyAlignment="1">
      <alignment vertical="center"/>
    </xf>
    <xf numFmtId="10" fontId="7" fillId="0" borderId="6" xfId="0" applyNumberFormat="1" applyFont="1" applyBorder="1" applyAlignment="1">
      <alignment horizontal="right" vertical="center"/>
    </xf>
    <xf numFmtId="9" fontId="7" fillId="0" borderId="0" xfId="3" applyFont="1" applyBorder="1" applyAlignment="1">
      <alignment vertical="center"/>
    </xf>
    <xf numFmtId="6" fontId="7" fillId="0" borderId="6" xfId="0" applyNumberFormat="1" applyFont="1" applyBorder="1" applyAlignment="1">
      <alignment vertical="center"/>
    </xf>
    <xf numFmtId="0" fontId="7" fillId="0" borderId="6" xfId="0" applyFont="1" applyBorder="1" applyAlignment="1">
      <alignment horizontal="right" vertical="center"/>
    </xf>
    <xf numFmtId="8" fontId="7" fillId="0" borderId="0" xfId="0" applyNumberFormat="1" applyFont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42" fontId="8" fillId="3" borderId="0" xfId="0" applyNumberFormat="1" applyFont="1" applyFill="1" applyBorder="1" applyAlignment="1">
      <alignment vertical="center"/>
    </xf>
    <xf numFmtId="9" fontId="7" fillId="0" borderId="0" xfId="0" applyNumberFormat="1" applyFont="1" applyBorder="1" applyAlignment="1">
      <alignment horizontal="right" vertical="center"/>
    </xf>
    <xf numFmtId="10" fontId="7" fillId="0" borderId="0" xfId="0" applyNumberFormat="1" applyFont="1" applyBorder="1" applyAlignment="1">
      <alignment horizontal="right" vertical="center"/>
    </xf>
    <xf numFmtId="42" fontId="7" fillId="0" borderId="0" xfId="2" applyNumberFormat="1" applyFont="1" applyBorder="1" applyAlignment="1">
      <alignment vertical="center"/>
    </xf>
    <xf numFmtId="41" fontId="7" fillId="0" borderId="0" xfId="1" applyNumberFormat="1" applyFont="1" applyBorder="1" applyAlignment="1">
      <alignment horizontal="right" vertical="center"/>
    </xf>
    <xf numFmtId="42" fontId="7" fillId="0" borderId="0" xfId="2" applyNumberFormat="1" applyFont="1" applyBorder="1" applyAlignment="1">
      <alignment horizontal="right" vertical="center"/>
    </xf>
    <xf numFmtId="186" fontId="7" fillId="0" borderId="0" xfId="1" applyNumberFormat="1" applyFont="1" applyBorder="1" applyAlignment="1">
      <alignment vertical="center"/>
    </xf>
    <xf numFmtId="42" fontId="7" fillId="0" borderId="6" xfId="0" applyNumberFormat="1" applyFont="1" applyBorder="1" applyAlignment="1">
      <alignment vertical="center"/>
    </xf>
    <xf numFmtId="0" fontId="7" fillId="4" borderId="6" xfId="0" applyFont="1" applyFill="1" applyBorder="1" applyAlignment="1">
      <alignment vertical="center"/>
    </xf>
    <xf numFmtId="9" fontId="7" fillId="0" borderId="0" xfId="3" applyFont="1" applyBorder="1" applyAlignment="1">
      <alignment horizontal="right" vertical="center"/>
    </xf>
    <xf numFmtId="0" fontId="7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/>
    </xf>
    <xf numFmtId="0" fontId="7" fillId="0" borderId="0" xfId="0" applyFont="1" applyBorder="1" applyAlignment="1">
      <alignment horizontal="left" vertical="center" indent="1"/>
    </xf>
    <xf numFmtId="0" fontId="5" fillId="4" borderId="6" xfId="0" applyFont="1" applyFill="1" applyBorder="1" applyAlignment="1">
      <alignment vertical="center" wrapText="1"/>
    </xf>
    <xf numFmtId="179" fontId="5" fillId="4" borderId="6" xfId="1" applyNumberFormat="1" applyFont="1" applyFill="1" applyBorder="1" applyAlignment="1">
      <alignment vertical="center" wrapText="1"/>
    </xf>
    <xf numFmtId="179" fontId="7" fillId="0" borderId="6" xfId="1" applyNumberFormat="1" applyFont="1" applyBorder="1" applyAlignment="1">
      <alignment vertical="center"/>
    </xf>
    <xf numFmtId="42" fontId="7" fillId="0" borderId="6" xfId="2" applyFont="1" applyBorder="1" applyAlignment="1">
      <alignment horizontal="right" vertical="center"/>
    </xf>
    <xf numFmtId="6" fontId="7" fillId="0" borderId="6" xfId="0" applyNumberFormat="1" applyFont="1" applyBorder="1" applyAlignment="1">
      <alignment horizontal="right"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5" borderId="0" xfId="0" applyFill="1">
      <alignment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vertical="center" wrapText="1"/>
    </xf>
    <xf numFmtId="9" fontId="3" fillId="5" borderId="1" xfId="3" applyFont="1" applyFill="1" applyBorder="1" applyAlignment="1">
      <alignment vertical="center" wrapText="1"/>
    </xf>
    <xf numFmtId="42" fontId="3" fillId="5" borderId="1" xfId="2" applyFont="1" applyFill="1" applyBorder="1" applyAlignment="1">
      <alignment vertical="center" wrapText="1"/>
    </xf>
    <xf numFmtId="42" fontId="3" fillId="5" borderId="1" xfId="2" applyNumberFormat="1" applyFont="1" applyFill="1" applyBorder="1" applyAlignment="1">
      <alignment vertical="center" wrapText="1"/>
    </xf>
    <xf numFmtId="179" fontId="3" fillId="5" borderId="1" xfId="1" applyNumberFormat="1" applyFont="1" applyFill="1" applyBorder="1" applyAlignment="1">
      <alignment vertical="center" wrapText="1"/>
    </xf>
    <xf numFmtId="42" fontId="0" fillId="5" borderId="0" xfId="2" applyFont="1" applyFill="1">
      <alignment vertical="center"/>
    </xf>
    <xf numFmtId="178" fontId="0" fillId="5" borderId="0" xfId="3" applyNumberFormat="1" applyFont="1" applyFill="1">
      <alignment vertical="center"/>
    </xf>
    <xf numFmtId="178" fontId="0" fillId="5" borderId="0" xfId="0" applyNumberFormat="1" applyFill="1">
      <alignment vertical="center"/>
    </xf>
    <xf numFmtId="9" fontId="0" fillId="5" borderId="0" xfId="3" applyFont="1" applyFill="1">
      <alignment vertical="center"/>
    </xf>
    <xf numFmtId="0" fontId="3" fillId="0" borderId="0" xfId="0" applyFont="1" applyFill="1" applyBorder="1" applyAlignment="1">
      <alignment vertical="center" wrapText="1"/>
    </xf>
    <xf numFmtId="9" fontId="4" fillId="0" borderId="0" xfId="3" applyFont="1" applyBorder="1" applyAlignment="1">
      <alignment horizontal="center" vertical="center" wrapText="1"/>
    </xf>
    <xf numFmtId="9" fontId="3" fillId="0" borderId="0" xfId="3" applyFont="1" applyBorder="1" applyAlignment="1">
      <alignment vertical="center" wrapText="1"/>
    </xf>
    <xf numFmtId="9" fontId="3" fillId="5" borderId="0" xfId="3" applyFont="1" applyFill="1" applyBorder="1" applyAlignment="1">
      <alignment vertical="center" wrapText="1"/>
    </xf>
  </cellXfs>
  <cellStyles count="4">
    <cellStyle name="백분율" xfId="3" builtinId="5"/>
    <cellStyle name="쉼표 [0]" xfId="1" builtinId="6"/>
    <cellStyle name="통화 [0]" xfId="2" builtinId="7"/>
    <cellStyle name="표준" xfId="0" builtinId="0"/>
  </cellStyles>
  <dxfs count="14">
    <dxf>
      <font>
        <color rgb="FFFF0000"/>
      </font>
    </dxf>
    <dxf>
      <font>
        <color rgb="FFFF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3" formatCode="0%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</dxf>
    <dxf>
      <font>
        <strike val="0"/>
        <outline val="0"/>
        <shadow val="0"/>
        <u val="none"/>
        <vertAlign val="baseline"/>
        <sz val="11"/>
        <name val="맑은 고딕"/>
        <family val="3"/>
        <charset val="129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32" formatCode="_-&quot;₩&quot;* #,##0_-;\-&quot;₩&quot;* #,##0_-;_-&quot;₩&quot;* &quot;-&quot;_-;_-@_-"/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32" formatCode="_-&quot;₩&quot;* #,##0_-;\-&quot;₩&quot;* #,##0_-;_-&quot;₩&quot;* &quot;-&quot;_-;_-@_-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맑은 고딕"/>
        <family val="3"/>
        <charset val="129"/>
        <scheme val="minor"/>
      </font>
      <numFmt numFmtId="178" formatCode="0.0%"/>
      <alignment horizontal="righ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'시계열 이탈 첫구매'!$B$1</c:f>
              <c:strCache>
                <c:ptCount val="1"/>
                <c:pt idx="0">
                  <c:v>pch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'시계열 이탈 첫구매'!$A$2:$A$101</c:f>
              <c:numCache>
                <c:formatCode>m/d/yyyy</c:formatCode>
                <c:ptCount val="100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</c:numCache>
            </c:numRef>
          </c:cat>
          <c:val>
            <c:numRef>
              <c:f>'시계열 이탈 첫구매'!$B$2:$B$101</c:f>
              <c:numCache>
                <c:formatCode>General</c:formatCode>
                <c:ptCount val="100"/>
                <c:pt idx="0">
                  <c:v>414</c:v>
                </c:pt>
                <c:pt idx="1">
                  <c:v>352</c:v>
                </c:pt>
                <c:pt idx="2">
                  <c:v>277</c:v>
                </c:pt>
                <c:pt idx="3">
                  <c:v>366</c:v>
                </c:pt>
                <c:pt idx="4">
                  <c:v>304</c:v>
                </c:pt>
                <c:pt idx="5">
                  <c:v>234</c:v>
                </c:pt>
                <c:pt idx="6">
                  <c:v>207</c:v>
                </c:pt>
                <c:pt idx="7">
                  <c:v>204</c:v>
                </c:pt>
                <c:pt idx="8">
                  <c:v>217</c:v>
                </c:pt>
                <c:pt idx="9">
                  <c:v>177</c:v>
                </c:pt>
                <c:pt idx="10">
                  <c:v>221</c:v>
                </c:pt>
                <c:pt idx="11">
                  <c:v>245</c:v>
                </c:pt>
                <c:pt idx="12">
                  <c:v>214</c:v>
                </c:pt>
                <c:pt idx="13">
                  <c:v>224</c:v>
                </c:pt>
                <c:pt idx="14">
                  <c:v>192</c:v>
                </c:pt>
                <c:pt idx="15">
                  <c:v>206</c:v>
                </c:pt>
                <c:pt idx="16">
                  <c:v>197</c:v>
                </c:pt>
                <c:pt idx="17">
                  <c:v>235</c:v>
                </c:pt>
                <c:pt idx="18">
                  <c:v>260</c:v>
                </c:pt>
                <c:pt idx="19">
                  <c:v>229</c:v>
                </c:pt>
                <c:pt idx="20">
                  <c:v>222</c:v>
                </c:pt>
                <c:pt idx="21">
                  <c:v>206</c:v>
                </c:pt>
                <c:pt idx="22">
                  <c:v>182</c:v>
                </c:pt>
                <c:pt idx="23">
                  <c:v>178</c:v>
                </c:pt>
                <c:pt idx="24">
                  <c:v>256</c:v>
                </c:pt>
                <c:pt idx="25">
                  <c:v>950</c:v>
                </c:pt>
                <c:pt idx="26">
                  <c:v>795</c:v>
                </c:pt>
                <c:pt idx="27">
                  <c:v>665</c:v>
                </c:pt>
                <c:pt idx="28">
                  <c:v>1178</c:v>
                </c:pt>
                <c:pt idx="29">
                  <c:v>843</c:v>
                </c:pt>
                <c:pt idx="30">
                  <c:v>251</c:v>
                </c:pt>
                <c:pt idx="31">
                  <c:v>277</c:v>
                </c:pt>
                <c:pt idx="32">
                  <c:v>280</c:v>
                </c:pt>
                <c:pt idx="33">
                  <c:v>172</c:v>
                </c:pt>
                <c:pt idx="34">
                  <c:v>179</c:v>
                </c:pt>
                <c:pt idx="35">
                  <c:v>132</c:v>
                </c:pt>
                <c:pt idx="36">
                  <c:v>168</c:v>
                </c:pt>
                <c:pt idx="37">
                  <c:v>121</c:v>
                </c:pt>
                <c:pt idx="38">
                  <c:v>164</c:v>
                </c:pt>
                <c:pt idx="39">
                  <c:v>198</c:v>
                </c:pt>
                <c:pt idx="40">
                  <c:v>197</c:v>
                </c:pt>
                <c:pt idx="41">
                  <c:v>169</c:v>
                </c:pt>
                <c:pt idx="42">
                  <c:v>154</c:v>
                </c:pt>
                <c:pt idx="43">
                  <c:v>634</c:v>
                </c:pt>
                <c:pt idx="44">
                  <c:v>691</c:v>
                </c:pt>
                <c:pt idx="45">
                  <c:v>930</c:v>
                </c:pt>
                <c:pt idx="46">
                  <c:v>1074</c:v>
                </c:pt>
                <c:pt idx="47">
                  <c:v>953</c:v>
                </c:pt>
                <c:pt idx="48">
                  <c:v>820</c:v>
                </c:pt>
                <c:pt idx="49">
                  <c:v>739</c:v>
                </c:pt>
                <c:pt idx="50">
                  <c:v>738</c:v>
                </c:pt>
                <c:pt idx="51">
                  <c:v>550</c:v>
                </c:pt>
                <c:pt idx="52">
                  <c:v>613</c:v>
                </c:pt>
                <c:pt idx="53">
                  <c:v>674</c:v>
                </c:pt>
                <c:pt idx="54">
                  <c:v>594</c:v>
                </c:pt>
                <c:pt idx="55">
                  <c:v>527</c:v>
                </c:pt>
                <c:pt idx="56">
                  <c:v>487</c:v>
                </c:pt>
                <c:pt idx="57">
                  <c:v>429</c:v>
                </c:pt>
                <c:pt idx="58">
                  <c:v>378</c:v>
                </c:pt>
                <c:pt idx="59">
                  <c:v>497</c:v>
                </c:pt>
                <c:pt idx="60">
                  <c:v>648</c:v>
                </c:pt>
                <c:pt idx="61">
                  <c:v>628</c:v>
                </c:pt>
                <c:pt idx="62">
                  <c:v>561</c:v>
                </c:pt>
                <c:pt idx="63">
                  <c:v>508</c:v>
                </c:pt>
                <c:pt idx="64">
                  <c:v>506</c:v>
                </c:pt>
                <c:pt idx="65">
                  <c:v>417</c:v>
                </c:pt>
                <c:pt idx="66">
                  <c:v>537</c:v>
                </c:pt>
                <c:pt idx="67">
                  <c:v>624</c:v>
                </c:pt>
                <c:pt idx="68">
                  <c:v>497</c:v>
                </c:pt>
                <c:pt idx="69">
                  <c:v>475</c:v>
                </c:pt>
                <c:pt idx="70">
                  <c:v>464</c:v>
                </c:pt>
                <c:pt idx="71">
                  <c:v>434</c:v>
                </c:pt>
                <c:pt idx="72">
                  <c:v>345</c:v>
                </c:pt>
                <c:pt idx="73">
                  <c:v>465</c:v>
                </c:pt>
                <c:pt idx="74">
                  <c:v>485</c:v>
                </c:pt>
                <c:pt idx="75">
                  <c:v>441</c:v>
                </c:pt>
                <c:pt idx="76">
                  <c:v>413</c:v>
                </c:pt>
                <c:pt idx="77">
                  <c:v>421</c:v>
                </c:pt>
                <c:pt idx="78">
                  <c:v>372</c:v>
                </c:pt>
                <c:pt idx="79">
                  <c:v>323</c:v>
                </c:pt>
                <c:pt idx="80">
                  <c:v>422</c:v>
                </c:pt>
                <c:pt idx="81">
                  <c:v>477</c:v>
                </c:pt>
                <c:pt idx="82">
                  <c:v>389</c:v>
                </c:pt>
                <c:pt idx="83">
                  <c:v>336</c:v>
                </c:pt>
                <c:pt idx="84">
                  <c:v>375</c:v>
                </c:pt>
                <c:pt idx="85">
                  <c:v>431</c:v>
                </c:pt>
                <c:pt idx="86">
                  <c:v>389</c:v>
                </c:pt>
                <c:pt idx="87">
                  <c:v>535</c:v>
                </c:pt>
                <c:pt idx="88">
                  <c:v>706</c:v>
                </c:pt>
                <c:pt idx="89">
                  <c:v>749</c:v>
                </c:pt>
                <c:pt idx="90">
                  <c:v>315</c:v>
                </c:pt>
                <c:pt idx="91">
                  <c:v>338</c:v>
                </c:pt>
                <c:pt idx="92">
                  <c:v>336</c:v>
                </c:pt>
                <c:pt idx="93">
                  <c:v>263</c:v>
                </c:pt>
                <c:pt idx="94">
                  <c:v>340</c:v>
                </c:pt>
                <c:pt idx="95">
                  <c:v>361</c:v>
                </c:pt>
                <c:pt idx="96">
                  <c:v>316</c:v>
                </c:pt>
                <c:pt idx="97">
                  <c:v>301</c:v>
                </c:pt>
                <c:pt idx="98">
                  <c:v>288</c:v>
                </c:pt>
                <c:pt idx="99">
                  <c:v>273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6B-4A88-8635-556594142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4774432"/>
        <c:axId val="685125920"/>
      </c:lineChart>
      <c:dateAx>
        <c:axId val="6847744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5125920"/>
        <c:crosses val="autoZero"/>
        <c:auto val="1"/>
        <c:lblOffset val="100"/>
        <c:baseTimeUnit val="days"/>
      </c:dateAx>
      <c:valAx>
        <c:axId val="68512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84774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'시계열 이탈 첫구매'!$C$1</c:f>
              <c:strCache>
                <c:ptCount val="1"/>
                <c:pt idx="0">
                  <c:v>pch_cum</c:v>
                </c:pt>
              </c:strCache>
            </c:strRef>
          </c:tx>
          <c:marker>
            <c:symbol val="none"/>
          </c:marker>
          <c:cat>
            <c:numRef>
              <c:f>'시계열 이탈 첫구매'!$A$2:$A$101</c:f>
              <c:numCache>
                <c:formatCode>m/d/yyyy</c:formatCode>
                <c:ptCount val="100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</c:numCache>
            </c:numRef>
          </c:cat>
          <c:val>
            <c:numRef>
              <c:f>'시계열 이탈 첫구매'!$C$2:$C$101</c:f>
              <c:numCache>
                <c:formatCode>General</c:formatCode>
                <c:ptCount val="100"/>
                <c:pt idx="0">
                  <c:v>414</c:v>
                </c:pt>
                <c:pt idx="1">
                  <c:v>766</c:v>
                </c:pt>
                <c:pt idx="2">
                  <c:v>1043</c:v>
                </c:pt>
                <c:pt idx="3">
                  <c:v>1409</c:v>
                </c:pt>
                <c:pt idx="4">
                  <c:v>1713</c:v>
                </c:pt>
                <c:pt idx="5">
                  <c:v>1947</c:v>
                </c:pt>
                <c:pt idx="6">
                  <c:v>2154</c:v>
                </c:pt>
                <c:pt idx="7">
                  <c:v>2358</c:v>
                </c:pt>
                <c:pt idx="8">
                  <c:v>2575</c:v>
                </c:pt>
                <c:pt idx="9">
                  <c:v>2752</c:v>
                </c:pt>
                <c:pt idx="10">
                  <c:v>2973</c:v>
                </c:pt>
                <c:pt idx="11">
                  <c:v>3218</c:v>
                </c:pt>
                <c:pt idx="12">
                  <c:v>3432</c:v>
                </c:pt>
                <c:pt idx="13">
                  <c:v>3656</c:v>
                </c:pt>
                <c:pt idx="14">
                  <c:v>3848</c:v>
                </c:pt>
                <c:pt idx="15">
                  <c:v>4054</c:v>
                </c:pt>
                <c:pt idx="16">
                  <c:v>4251</c:v>
                </c:pt>
                <c:pt idx="17">
                  <c:v>4486</c:v>
                </c:pt>
                <c:pt idx="18">
                  <c:v>4746</c:v>
                </c:pt>
                <c:pt idx="19">
                  <c:v>4975</c:v>
                </c:pt>
                <c:pt idx="20">
                  <c:v>5197</c:v>
                </c:pt>
                <c:pt idx="21">
                  <c:v>5403</c:v>
                </c:pt>
                <c:pt idx="22">
                  <c:v>5585</c:v>
                </c:pt>
                <c:pt idx="23">
                  <c:v>5763</c:v>
                </c:pt>
                <c:pt idx="24">
                  <c:v>6019</c:v>
                </c:pt>
                <c:pt idx="25">
                  <c:v>6969</c:v>
                </c:pt>
                <c:pt idx="26">
                  <c:v>7764</c:v>
                </c:pt>
                <c:pt idx="27">
                  <c:v>8429</c:v>
                </c:pt>
                <c:pt idx="28">
                  <c:v>9607</c:v>
                </c:pt>
                <c:pt idx="29">
                  <c:v>10450</c:v>
                </c:pt>
                <c:pt idx="30">
                  <c:v>10701</c:v>
                </c:pt>
                <c:pt idx="31">
                  <c:v>10978</c:v>
                </c:pt>
                <c:pt idx="32">
                  <c:v>11258</c:v>
                </c:pt>
                <c:pt idx="33">
                  <c:v>11430</c:v>
                </c:pt>
                <c:pt idx="34">
                  <c:v>11609</c:v>
                </c:pt>
                <c:pt idx="35">
                  <c:v>11741</c:v>
                </c:pt>
                <c:pt idx="36">
                  <c:v>11909</c:v>
                </c:pt>
                <c:pt idx="37">
                  <c:v>12030</c:v>
                </c:pt>
                <c:pt idx="38">
                  <c:v>12194</c:v>
                </c:pt>
                <c:pt idx="39">
                  <c:v>12392</c:v>
                </c:pt>
                <c:pt idx="40">
                  <c:v>12589</c:v>
                </c:pt>
                <c:pt idx="41">
                  <c:v>12758</c:v>
                </c:pt>
                <c:pt idx="42">
                  <c:v>12912</c:v>
                </c:pt>
                <c:pt idx="43">
                  <c:v>13546</c:v>
                </c:pt>
                <c:pt idx="44">
                  <c:v>14237</c:v>
                </c:pt>
                <c:pt idx="45">
                  <c:v>15167</c:v>
                </c:pt>
                <c:pt idx="46">
                  <c:v>16241</c:v>
                </c:pt>
                <c:pt idx="47">
                  <c:v>17194</c:v>
                </c:pt>
                <c:pt idx="48">
                  <c:v>18014</c:v>
                </c:pt>
                <c:pt idx="49">
                  <c:v>18753</c:v>
                </c:pt>
                <c:pt idx="50">
                  <c:v>19491</c:v>
                </c:pt>
                <c:pt idx="51">
                  <c:v>20041</c:v>
                </c:pt>
                <c:pt idx="52">
                  <c:v>20654</c:v>
                </c:pt>
                <c:pt idx="53">
                  <c:v>21328</c:v>
                </c:pt>
                <c:pt idx="54">
                  <c:v>21922</c:v>
                </c:pt>
                <c:pt idx="55">
                  <c:v>22449</c:v>
                </c:pt>
                <c:pt idx="56">
                  <c:v>22936</c:v>
                </c:pt>
                <c:pt idx="57">
                  <c:v>23365</c:v>
                </c:pt>
                <c:pt idx="58">
                  <c:v>23743</c:v>
                </c:pt>
                <c:pt idx="59">
                  <c:v>24240</c:v>
                </c:pt>
                <c:pt idx="60">
                  <c:v>24888</c:v>
                </c:pt>
                <c:pt idx="61">
                  <c:v>25516</c:v>
                </c:pt>
                <c:pt idx="62">
                  <c:v>26077</c:v>
                </c:pt>
                <c:pt idx="63">
                  <c:v>26585</c:v>
                </c:pt>
                <c:pt idx="64">
                  <c:v>27091</c:v>
                </c:pt>
                <c:pt idx="65">
                  <c:v>27508</c:v>
                </c:pt>
                <c:pt idx="66">
                  <c:v>28045</c:v>
                </c:pt>
                <c:pt idx="67">
                  <c:v>28669</c:v>
                </c:pt>
                <c:pt idx="68">
                  <c:v>29166</c:v>
                </c:pt>
                <c:pt idx="69">
                  <c:v>29641</c:v>
                </c:pt>
                <c:pt idx="70">
                  <c:v>30105</c:v>
                </c:pt>
                <c:pt idx="71">
                  <c:v>30539</c:v>
                </c:pt>
                <c:pt idx="72">
                  <c:v>30884</c:v>
                </c:pt>
                <c:pt idx="73">
                  <c:v>31349</c:v>
                </c:pt>
                <c:pt idx="74">
                  <c:v>31834</c:v>
                </c:pt>
                <c:pt idx="75">
                  <c:v>32275</c:v>
                </c:pt>
                <c:pt idx="76">
                  <c:v>32688</c:v>
                </c:pt>
                <c:pt idx="77">
                  <c:v>33109</c:v>
                </c:pt>
                <c:pt idx="78">
                  <c:v>33481</c:v>
                </c:pt>
                <c:pt idx="79">
                  <c:v>33804</c:v>
                </c:pt>
                <c:pt idx="80">
                  <c:v>34226</c:v>
                </c:pt>
                <c:pt idx="81">
                  <c:v>34703</c:v>
                </c:pt>
                <c:pt idx="82">
                  <c:v>35092</c:v>
                </c:pt>
                <c:pt idx="83">
                  <c:v>35428</c:v>
                </c:pt>
                <c:pt idx="84">
                  <c:v>35803</c:v>
                </c:pt>
                <c:pt idx="85">
                  <c:v>36234</c:v>
                </c:pt>
                <c:pt idx="86">
                  <c:v>36623</c:v>
                </c:pt>
                <c:pt idx="87">
                  <c:v>37158</c:v>
                </c:pt>
                <c:pt idx="88">
                  <c:v>37864</c:v>
                </c:pt>
                <c:pt idx="89">
                  <c:v>38613</c:v>
                </c:pt>
                <c:pt idx="90">
                  <c:v>38928</c:v>
                </c:pt>
                <c:pt idx="91">
                  <c:v>39266</c:v>
                </c:pt>
                <c:pt idx="92">
                  <c:v>39602</c:v>
                </c:pt>
                <c:pt idx="93">
                  <c:v>39865</c:v>
                </c:pt>
                <c:pt idx="94">
                  <c:v>40205</c:v>
                </c:pt>
                <c:pt idx="95">
                  <c:v>40566</c:v>
                </c:pt>
                <c:pt idx="96">
                  <c:v>40882</c:v>
                </c:pt>
                <c:pt idx="97">
                  <c:v>41183</c:v>
                </c:pt>
                <c:pt idx="98">
                  <c:v>41471</c:v>
                </c:pt>
                <c:pt idx="99">
                  <c:v>41744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C6-4471-BC2C-7F1C5595C032}"/>
            </c:ext>
          </c:extLst>
        </c:ser>
        <c:ser>
          <c:idx val="3"/>
          <c:order val="1"/>
          <c:tx>
            <c:strRef>
              <c:f>'시계열 이탈 첫구매'!$C$1</c:f>
              <c:strCache>
                <c:ptCount val="1"/>
                <c:pt idx="0">
                  <c:v>pch_cum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'시계열 이탈 첫구매'!$A$2:$A$101</c:f>
              <c:numCache>
                <c:formatCode>m/d/yyyy</c:formatCode>
                <c:ptCount val="100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</c:numCache>
            </c:numRef>
          </c:cat>
          <c:val>
            <c:numRef>
              <c:f>'시계열 이탈 첫구매'!$C$2:$C$101</c:f>
              <c:numCache>
                <c:formatCode>General</c:formatCode>
                <c:ptCount val="100"/>
                <c:pt idx="0">
                  <c:v>414</c:v>
                </c:pt>
                <c:pt idx="1">
                  <c:v>766</c:v>
                </c:pt>
                <c:pt idx="2">
                  <c:v>1043</c:v>
                </c:pt>
                <c:pt idx="3">
                  <c:v>1409</c:v>
                </c:pt>
                <c:pt idx="4">
                  <c:v>1713</c:v>
                </c:pt>
                <c:pt idx="5">
                  <c:v>1947</c:v>
                </c:pt>
                <c:pt idx="6">
                  <c:v>2154</c:v>
                </c:pt>
                <c:pt idx="7">
                  <c:v>2358</c:v>
                </c:pt>
                <c:pt idx="8">
                  <c:v>2575</c:v>
                </c:pt>
                <c:pt idx="9">
                  <c:v>2752</c:v>
                </c:pt>
                <c:pt idx="10">
                  <c:v>2973</c:v>
                </c:pt>
                <c:pt idx="11">
                  <c:v>3218</c:v>
                </c:pt>
                <c:pt idx="12">
                  <c:v>3432</c:v>
                </c:pt>
                <c:pt idx="13">
                  <c:v>3656</c:v>
                </c:pt>
                <c:pt idx="14">
                  <c:v>3848</c:v>
                </c:pt>
                <c:pt idx="15">
                  <c:v>4054</c:v>
                </c:pt>
                <c:pt idx="16">
                  <c:v>4251</c:v>
                </c:pt>
                <c:pt idx="17">
                  <c:v>4486</c:v>
                </c:pt>
                <c:pt idx="18">
                  <c:v>4746</c:v>
                </c:pt>
                <c:pt idx="19">
                  <c:v>4975</c:v>
                </c:pt>
                <c:pt idx="20">
                  <c:v>5197</c:v>
                </c:pt>
                <c:pt idx="21">
                  <c:v>5403</c:v>
                </c:pt>
                <c:pt idx="22">
                  <c:v>5585</c:v>
                </c:pt>
                <c:pt idx="23">
                  <c:v>5763</c:v>
                </c:pt>
                <c:pt idx="24">
                  <c:v>6019</c:v>
                </c:pt>
                <c:pt idx="25">
                  <c:v>6969</c:v>
                </c:pt>
                <c:pt idx="26">
                  <c:v>7764</c:v>
                </c:pt>
                <c:pt idx="27">
                  <c:v>8429</c:v>
                </c:pt>
                <c:pt idx="28">
                  <c:v>9607</c:v>
                </c:pt>
                <c:pt idx="29">
                  <c:v>10450</c:v>
                </c:pt>
                <c:pt idx="30">
                  <c:v>10701</c:v>
                </c:pt>
                <c:pt idx="31">
                  <c:v>10978</c:v>
                </c:pt>
                <c:pt idx="32">
                  <c:v>11258</c:v>
                </c:pt>
                <c:pt idx="33">
                  <c:v>11430</c:v>
                </c:pt>
                <c:pt idx="34">
                  <c:v>11609</c:v>
                </c:pt>
                <c:pt idx="35">
                  <c:v>11741</c:v>
                </c:pt>
                <c:pt idx="36">
                  <c:v>11909</c:v>
                </c:pt>
                <c:pt idx="37">
                  <c:v>12030</c:v>
                </c:pt>
                <c:pt idx="38">
                  <c:v>12194</c:v>
                </c:pt>
                <c:pt idx="39">
                  <c:v>12392</c:v>
                </c:pt>
                <c:pt idx="40">
                  <c:v>12589</c:v>
                </c:pt>
                <c:pt idx="41">
                  <c:v>12758</c:v>
                </c:pt>
                <c:pt idx="42">
                  <c:v>12912</c:v>
                </c:pt>
                <c:pt idx="43">
                  <c:v>13546</c:v>
                </c:pt>
                <c:pt idx="44">
                  <c:v>14237</c:v>
                </c:pt>
                <c:pt idx="45">
                  <c:v>15167</c:v>
                </c:pt>
                <c:pt idx="46">
                  <c:v>16241</c:v>
                </c:pt>
                <c:pt idx="47">
                  <c:v>17194</c:v>
                </c:pt>
                <c:pt idx="48">
                  <c:v>18014</c:v>
                </c:pt>
                <c:pt idx="49">
                  <c:v>18753</c:v>
                </c:pt>
                <c:pt idx="50">
                  <c:v>19491</c:v>
                </c:pt>
                <c:pt idx="51">
                  <c:v>20041</c:v>
                </c:pt>
                <c:pt idx="52">
                  <c:v>20654</c:v>
                </c:pt>
                <c:pt idx="53">
                  <c:v>21328</c:v>
                </c:pt>
                <c:pt idx="54">
                  <c:v>21922</c:v>
                </c:pt>
                <c:pt idx="55">
                  <c:v>22449</c:v>
                </c:pt>
                <c:pt idx="56">
                  <c:v>22936</c:v>
                </c:pt>
                <c:pt idx="57">
                  <c:v>23365</c:v>
                </c:pt>
                <c:pt idx="58">
                  <c:v>23743</c:v>
                </c:pt>
                <c:pt idx="59">
                  <c:v>24240</c:v>
                </c:pt>
                <c:pt idx="60">
                  <c:v>24888</c:v>
                </c:pt>
                <c:pt idx="61">
                  <c:v>25516</c:v>
                </c:pt>
                <c:pt idx="62">
                  <c:v>26077</c:v>
                </c:pt>
                <c:pt idx="63">
                  <c:v>26585</c:v>
                </c:pt>
                <c:pt idx="64">
                  <c:v>27091</c:v>
                </c:pt>
                <c:pt idx="65">
                  <c:v>27508</c:v>
                </c:pt>
                <c:pt idx="66">
                  <c:v>28045</c:v>
                </c:pt>
                <c:pt idx="67">
                  <c:v>28669</c:v>
                </c:pt>
                <c:pt idx="68">
                  <c:v>29166</c:v>
                </c:pt>
                <c:pt idx="69">
                  <c:v>29641</c:v>
                </c:pt>
                <c:pt idx="70">
                  <c:v>30105</c:v>
                </c:pt>
                <c:pt idx="71">
                  <c:v>30539</c:v>
                </c:pt>
                <c:pt idx="72">
                  <c:v>30884</c:v>
                </c:pt>
                <c:pt idx="73">
                  <c:v>31349</c:v>
                </c:pt>
                <c:pt idx="74">
                  <c:v>31834</c:v>
                </c:pt>
                <c:pt idx="75">
                  <c:v>32275</c:v>
                </c:pt>
                <c:pt idx="76">
                  <c:v>32688</c:v>
                </c:pt>
                <c:pt idx="77">
                  <c:v>33109</c:v>
                </c:pt>
                <c:pt idx="78">
                  <c:v>33481</c:v>
                </c:pt>
                <c:pt idx="79">
                  <c:v>33804</c:v>
                </c:pt>
                <c:pt idx="80">
                  <c:v>34226</c:v>
                </c:pt>
                <c:pt idx="81">
                  <c:v>34703</c:v>
                </c:pt>
                <c:pt idx="82">
                  <c:v>35092</c:v>
                </c:pt>
                <c:pt idx="83">
                  <c:v>35428</c:v>
                </c:pt>
                <c:pt idx="84">
                  <c:v>35803</c:v>
                </c:pt>
                <c:pt idx="85">
                  <c:v>36234</c:v>
                </c:pt>
                <c:pt idx="86">
                  <c:v>36623</c:v>
                </c:pt>
                <c:pt idx="87">
                  <c:v>37158</c:v>
                </c:pt>
                <c:pt idx="88">
                  <c:v>37864</c:v>
                </c:pt>
                <c:pt idx="89">
                  <c:v>38613</c:v>
                </c:pt>
                <c:pt idx="90">
                  <c:v>38928</c:v>
                </c:pt>
                <c:pt idx="91">
                  <c:v>39266</c:v>
                </c:pt>
                <c:pt idx="92">
                  <c:v>39602</c:v>
                </c:pt>
                <c:pt idx="93">
                  <c:v>39865</c:v>
                </c:pt>
                <c:pt idx="94">
                  <c:v>40205</c:v>
                </c:pt>
                <c:pt idx="95">
                  <c:v>40566</c:v>
                </c:pt>
                <c:pt idx="96">
                  <c:v>40882</c:v>
                </c:pt>
                <c:pt idx="97">
                  <c:v>41183</c:v>
                </c:pt>
                <c:pt idx="98">
                  <c:v>41471</c:v>
                </c:pt>
                <c:pt idx="99">
                  <c:v>41744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C6-4471-BC2C-7F1C5595C032}"/>
            </c:ext>
          </c:extLst>
        </c:ser>
        <c:ser>
          <c:idx val="1"/>
          <c:order val="2"/>
          <c:tx>
            <c:strRef>
              <c:f>'시계열 이탈 첫구매'!$C$1</c:f>
              <c:strCache>
                <c:ptCount val="1"/>
                <c:pt idx="0">
                  <c:v>pch_cum</c:v>
                </c:pt>
              </c:strCache>
            </c:strRef>
          </c:tx>
          <c:marker>
            <c:symbol val="none"/>
          </c:marker>
          <c:cat>
            <c:numRef>
              <c:f>'시계열 이탈 첫구매'!$A$2:$A$101</c:f>
              <c:numCache>
                <c:formatCode>m/d/yyyy</c:formatCode>
                <c:ptCount val="100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</c:numCache>
            </c:numRef>
          </c:cat>
          <c:val>
            <c:numRef>
              <c:f>'시계열 이탈 첫구매'!$C$2:$C$101</c:f>
              <c:numCache>
                <c:formatCode>General</c:formatCode>
                <c:ptCount val="100"/>
                <c:pt idx="0">
                  <c:v>414</c:v>
                </c:pt>
                <c:pt idx="1">
                  <c:v>766</c:v>
                </c:pt>
                <c:pt idx="2">
                  <c:v>1043</c:v>
                </c:pt>
                <c:pt idx="3">
                  <c:v>1409</c:v>
                </c:pt>
                <c:pt idx="4">
                  <c:v>1713</c:v>
                </c:pt>
                <c:pt idx="5">
                  <c:v>1947</c:v>
                </c:pt>
                <c:pt idx="6">
                  <c:v>2154</c:v>
                </c:pt>
                <c:pt idx="7">
                  <c:v>2358</c:v>
                </c:pt>
                <c:pt idx="8">
                  <c:v>2575</c:v>
                </c:pt>
                <c:pt idx="9">
                  <c:v>2752</c:v>
                </c:pt>
                <c:pt idx="10">
                  <c:v>2973</c:v>
                </c:pt>
                <c:pt idx="11">
                  <c:v>3218</c:v>
                </c:pt>
                <c:pt idx="12">
                  <c:v>3432</c:v>
                </c:pt>
                <c:pt idx="13">
                  <c:v>3656</c:v>
                </c:pt>
                <c:pt idx="14">
                  <c:v>3848</c:v>
                </c:pt>
                <c:pt idx="15">
                  <c:v>4054</c:v>
                </c:pt>
                <c:pt idx="16">
                  <c:v>4251</c:v>
                </c:pt>
                <c:pt idx="17">
                  <c:v>4486</c:v>
                </c:pt>
                <c:pt idx="18">
                  <c:v>4746</c:v>
                </c:pt>
                <c:pt idx="19">
                  <c:v>4975</c:v>
                </c:pt>
                <c:pt idx="20">
                  <c:v>5197</c:v>
                </c:pt>
                <c:pt idx="21">
                  <c:v>5403</c:v>
                </c:pt>
                <c:pt idx="22">
                  <c:v>5585</c:v>
                </c:pt>
                <c:pt idx="23">
                  <c:v>5763</c:v>
                </c:pt>
                <c:pt idx="24">
                  <c:v>6019</c:v>
                </c:pt>
                <c:pt idx="25">
                  <c:v>6969</c:v>
                </c:pt>
                <c:pt idx="26">
                  <c:v>7764</c:v>
                </c:pt>
                <c:pt idx="27">
                  <c:v>8429</c:v>
                </c:pt>
                <c:pt idx="28">
                  <c:v>9607</c:v>
                </c:pt>
                <c:pt idx="29">
                  <c:v>10450</c:v>
                </c:pt>
                <c:pt idx="30">
                  <c:v>10701</c:v>
                </c:pt>
                <c:pt idx="31">
                  <c:v>10978</c:v>
                </c:pt>
                <c:pt idx="32">
                  <c:v>11258</c:v>
                </c:pt>
                <c:pt idx="33">
                  <c:v>11430</c:v>
                </c:pt>
                <c:pt idx="34">
                  <c:v>11609</c:v>
                </c:pt>
                <c:pt idx="35">
                  <c:v>11741</c:v>
                </c:pt>
                <c:pt idx="36">
                  <c:v>11909</c:v>
                </c:pt>
                <c:pt idx="37">
                  <c:v>12030</c:v>
                </c:pt>
                <c:pt idx="38">
                  <c:v>12194</c:v>
                </c:pt>
                <c:pt idx="39">
                  <c:v>12392</c:v>
                </c:pt>
                <c:pt idx="40">
                  <c:v>12589</c:v>
                </c:pt>
                <c:pt idx="41">
                  <c:v>12758</c:v>
                </c:pt>
                <c:pt idx="42">
                  <c:v>12912</c:v>
                </c:pt>
                <c:pt idx="43">
                  <c:v>13546</c:v>
                </c:pt>
                <c:pt idx="44">
                  <c:v>14237</c:v>
                </c:pt>
                <c:pt idx="45">
                  <c:v>15167</c:v>
                </c:pt>
                <c:pt idx="46">
                  <c:v>16241</c:v>
                </c:pt>
                <c:pt idx="47">
                  <c:v>17194</c:v>
                </c:pt>
                <c:pt idx="48">
                  <c:v>18014</c:v>
                </c:pt>
                <c:pt idx="49">
                  <c:v>18753</c:v>
                </c:pt>
                <c:pt idx="50">
                  <c:v>19491</c:v>
                </c:pt>
                <c:pt idx="51">
                  <c:v>20041</c:v>
                </c:pt>
                <c:pt idx="52">
                  <c:v>20654</c:v>
                </c:pt>
                <c:pt idx="53">
                  <c:v>21328</c:v>
                </c:pt>
                <c:pt idx="54">
                  <c:v>21922</c:v>
                </c:pt>
                <c:pt idx="55">
                  <c:v>22449</c:v>
                </c:pt>
                <c:pt idx="56">
                  <c:v>22936</c:v>
                </c:pt>
                <c:pt idx="57">
                  <c:v>23365</c:v>
                </c:pt>
                <c:pt idx="58">
                  <c:v>23743</c:v>
                </c:pt>
                <c:pt idx="59">
                  <c:v>24240</c:v>
                </c:pt>
                <c:pt idx="60">
                  <c:v>24888</c:v>
                </c:pt>
                <c:pt idx="61">
                  <c:v>25516</c:v>
                </c:pt>
                <c:pt idx="62">
                  <c:v>26077</c:v>
                </c:pt>
                <c:pt idx="63">
                  <c:v>26585</c:v>
                </c:pt>
                <c:pt idx="64">
                  <c:v>27091</c:v>
                </c:pt>
                <c:pt idx="65">
                  <c:v>27508</c:v>
                </c:pt>
                <c:pt idx="66">
                  <c:v>28045</c:v>
                </c:pt>
                <c:pt idx="67">
                  <c:v>28669</c:v>
                </c:pt>
                <c:pt idx="68">
                  <c:v>29166</c:v>
                </c:pt>
                <c:pt idx="69">
                  <c:v>29641</c:v>
                </c:pt>
                <c:pt idx="70">
                  <c:v>30105</c:v>
                </c:pt>
                <c:pt idx="71">
                  <c:v>30539</c:v>
                </c:pt>
                <c:pt idx="72">
                  <c:v>30884</c:v>
                </c:pt>
                <c:pt idx="73">
                  <c:v>31349</c:v>
                </c:pt>
                <c:pt idx="74">
                  <c:v>31834</c:v>
                </c:pt>
                <c:pt idx="75">
                  <c:v>32275</c:v>
                </c:pt>
                <c:pt idx="76">
                  <c:v>32688</c:v>
                </c:pt>
                <c:pt idx="77">
                  <c:v>33109</c:v>
                </c:pt>
                <c:pt idx="78">
                  <c:v>33481</c:v>
                </c:pt>
                <c:pt idx="79">
                  <c:v>33804</c:v>
                </c:pt>
                <c:pt idx="80">
                  <c:v>34226</c:v>
                </c:pt>
                <c:pt idx="81">
                  <c:v>34703</c:v>
                </c:pt>
                <c:pt idx="82">
                  <c:v>35092</c:v>
                </c:pt>
                <c:pt idx="83">
                  <c:v>35428</c:v>
                </c:pt>
                <c:pt idx="84">
                  <c:v>35803</c:v>
                </c:pt>
                <c:pt idx="85">
                  <c:v>36234</c:v>
                </c:pt>
                <c:pt idx="86">
                  <c:v>36623</c:v>
                </c:pt>
                <c:pt idx="87">
                  <c:v>37158</c:v>
                </c:pt>
                <c:pt idx="88">
                  <c:v>37864</c:v>
                </c:pt>
                <c:pt idx="89">
                  <c:v>38613</c:v>
                </c:pt>
                <c:pt idx="90">
                  <c:v>38928</c:v>
                </c:pt>
                <c:pt idx="91">
                  <c:v>39266</c:v>
                </c:pt>
                <c:pt idx="92">
                  <c:v>39602</c:v>
                </c:pt>
                <c:pt idx="93">
                  <c:v>39865</c:v>
                </c:pt>
                <c:pt idx="94">
                  <c:v>40205</c:v>
                </c:pt>
                <c:pt idx="95">
                  <c:v>40566</c:v>
                </c:pt>
                <c:pt idx="96">
                  <c:v>40882</c:v>
                </c:pt>
                <c:pt idx="97">
                  <c:v>41183</c:v>
                </c:pt>
                <c:pt idx="98">
                  <c:v>41471</c:v>
                </c:pt>
                <c:pt idx="99">
                  <c:v>41744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C6-4471-BC2C-7F1C5595C032}"/>
            </c:ext>
          </c:extLst>
        </c:ser>
        <c:ser>
          <c:idx val="0"/>
          <c:order val="3"/>
          <c:tx>
            <c:strRef>
              <c:f>'시계열 이탈 첫구매'!$C$1</c:f>
              <c:strCache>
                <c:ptCount val="1"/>
                <c:pt idx="0">
                  <c:v>pch_cum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'시계열 이탈 첫구매'!$A$2:$A$101</c:f>
              <c:numCache>
                <c:formatCode>m/d/yyyy</c:formatCode>
                <c:ptCount val="100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</c:numCache>
            </c:numRef>
          </c:cat>
          <c:val>
            <c:numRef>
              <c:f>'시계열 이탈 첫구매'!$C$2:$C$101</c:f>
              <c:numCache>
                <c:formatCode>General</c:formatCode>
                <c:ptCount val="100"/>
                <c:pt idx="0">
                  <c:v>414</c:v>
                </c:pt>
                <c:pt idx="1">
                  <c:v>766</c:v>
                </c:pt>
                <c:pt idx="2">
                  <c:v>1043</c:v>
                </c:pt>
                <c:pt idx="3">
                  <c:v>1409</c:v>
                </c:pt>
                <c:pt idx="4">
                  <c:v>1713</c:v>
                </c:pt>
                <c:pt idx="5">
                  <c:v>1947</c:v>
                </c:pt>
                <c:pt idx="6">
                  <c:v>2154</c:v>
                </c:pt>
                <c:pt idx="7">
                  <c:v>2358</c:v>
                </c:pt>
                <c:pt idx="8">
                  <c:v>2575</c:v>
                </c:pt>
                <c:pt idx="9">
                  <c:v>2752</c:v>
                </c:pt>
                <c:pt idx="10">
                  <c:v>2973</c:v>
                </c:pt>
                <c:pt idx="11">
                  <c:v>3218</c:v>
                </c:pt>
                <c:pt idx="12">
                  <c:v>3432</c:v>
                </c:pt>
                <c:pt idx="13">
                  <c:v>3656</c:v>
                </c:pt>
                <c:pt idx="14">
                  <c:v>3848</c:v>
                </c:pt>
                <c:pt idx="15">
                  <c:v>4054</c:v>
                </c:pt>
                <c:pt idx="16">
                  <c:v>4251</c:v>
                </c:pt>
                <c:pt idx="17">
                  <c:v>4486</c:v>
                </c:pt>
                <c:pt idx="18">
                  <c:v>4746</c:v>
                </c:pt>
                <c:pt idx="19">
                  <c:v>4975</c:v>
                </c:pt>
                <c:pt idx="20">
                  <c:v>5197</c:v>
                </c:pt>
                <c:pt idx="21">
                  <c:v>5403</c:v>
                </c:pt>
                <c:pt idx="22">
                  <c:v>5585</c:v>
                </c:pt>
                <c:pt idx="23">
                  <c:v>5763</c:v>
                </c:pt>
                <c:pt idx="24">
                  <c:v>6019</c:v>
                </c:pt>
                <c:pt idx="25">
                  <c:v>6969</c:v>
                </c:pt>
                <c:pt idx="26">
                  <c:v>7764</c:v>
                </c:pt>
                <c:pt idx="27">
                  <c:v>8429</c:v>
                </c:pt>
                <c:pt idx="28">
                  <c:v>9607</c:v>
                </c:pt>
                <c:pt idx="29">
                  <c:v>10450</c:v>
                </c:pt>
                <c:pt idx="30">
                  <c:v>10701</c:v>
                </c:pt>
                <c:pt idx="31">
                  <c:v>10978</c:v>
                </c:pt>
                <c:pt idx="32">
                  <c:v>11258</c:v>
                </c:pt>
                <c:pt idx="33">
                  <c:v>11430</c:v>
                </c:pt>
                <c:pt idx="34">
                  <c:v>11609</c:v>
                </c:pt>
                <c:pt idx="35">
                  <c:v>11741</c:v>
                </c:pt>
                <c:pt idx="36">
                  <c:v>11909</c:v>
                </c:pt>
                <c:pt idx="37">
                  <c:v>12030</c:v>
                </c:pt>
                <c:pt idx="38">
                  <c:v>12194</c:v>
                </c:pt>
                <c:pt idx="39">
                  <c:v>12392</c:v>
                </c:pt>
                <c:pt idx="40">
                  <c:v>12589</c:v>
                </c:pt>
                <c:pt idx="41">
                  <c:v>12758</c:v>
                </c:pt>
                <c:pt idx="42">
                  <c:v>12912</c:v>
                </c:pt>
                <c:pt idx="43">
                  <c:v>13546</c:v>
                </c:pt>
                <c:pt idx="44">
                  <c:v>14237</c:v>
                </c:pt>
                <c:pt idx="45">
                  <c:v>15167</c:v>
                </c:pt>
                <c:pt idx="46">
                  <c:v>16241</c:v>
                </c:pt>
                <c:pt idx="47">
                  <c:v>17194</c:v>
                </c:pt>
                <c:pt idx="48">
                  <c:v>18014</c:v>
                </c:pt>
                <c:pt idx="49">
                  <c:v>18753</c:v>
                </c:pt>
                <c:pt idx="50">
                  <c:v>19491</c:v>
                </c:pt>
                <c:pt idx="51">
                  <c:v>20041</c:v>
                </c:pt>
                <c:pt idx="52">
                  <c:v>20654</c:v>
                </c:pt>
                <c:pt idx="53">
                  <c:v>21328</c:v>
                </c:pt>
                <c:pt idx="54">
                  <c:v>21922</c:v>
                </c:pt>
                <c:pt idx="55">
                  <c:v>22449</c:v>
                </c:pt>
                <c:pt idx="56">
                  <c:v>22936</c:v>
                </c:pt>
                <c:pt idx="57">
                  <c:v>23365</c:v>
                </c:pt>
                <c:pt idx="58">
                  <c:v>23743</c:v>
                </c:pt>
                <c:pt idx="59">
                  <c:v>24240</c:v>
                </c:pt>
                <c:pt idx="60">
                  <c:v>24888</c:v>
                </c:pt>
                <c:pt idx="61">
                  <c:v>25516</c:v>
                </c:pt>
                <c:pt idx="62">
                  <c:v>26077</c:v>
                </c:pt>
                <c:pt idx="63">
                  <c:v>26585</c:v>
                </c:pt>
                <c:pt idx="64">
                  <c:v>27091</c:v>
                </c:pt>
                <c:pt idx="65">
                  <c:v>27508</c:v>
                </c:pt>
                <c:pt idx="66">
                  <c:v>28045</c:v>
                </c:pt>
                <c:pt idx="67">
                  <c:v>28669</c:v>
                </c:pt>
                <c:pt idx="68">
                  <c:v>29166</c:v>
                </c:pt>
                <c:pt idx="69">
                  <c:v>29641</c:v>
                </c:pt>
                <c:pt idx="70">
                  <c:v>30105</c:v>
                </c:pt>
                <c:pt idx="71">
                  <c:v>30539</c:v>
                </c:pt>
                <c:pt idx="72">
                  <c:v>30884</c:v>
                </c:pt>
                <c:pt idx="73">
                  <c:v>31349</c:v>
                </c:pt>
                <c:pt idx="74">
                  <c:v>31834</c:v>
                </c:pt>
                <c:pt idx="75">
                  <c:v>32275</c:v>
                </c:pt>
                <c:pt idx="76">
                  <c:v>32688</c:v>
                </c:pt>
                <c:pt idx="77">
                  <c:v>33109</c:v>
                </c:pt>
                <c:pt idx="78">
                  <c:v>33481</c:v>
                </c:pt>
                <c:pt idx="79">
                  <c:v>33804</c:v>
                </c:pt>
                <c:pt idx="80">
                  <c:v>34226</c:v>
                </c:pt>
                <c:pt idx="81">
                  <c:v>34703</c:v>
                </c:pt>
                <c:pt idx="82">
                  <c:v>35092</c:v>
                </c:pt>
                <c:pt idx="83">
                  <c:v>35428</c:v>
                </c:pt>
                <c:pt idx="84">
                  <c:v>35803</c:v>
                </c:pt>
                <c:pt idx="85">
                  <c:v>36234</c:v>
                </c:pt>
                <c:pt idx="86">
                  <c:v>36623</c:v>
                </c:pt>
                <c:pt idx="87">
                  <c:v>37158</c:v>
                </c:pt>
                <c:pt idx="88">
                  <c:v>37864</c:v>
                </c:pt>
                <c:pt idx="89">
                  <c:v>38613</c:v>
                </c:pt>
                <c:pt idx="90">
                  <c:v>38928</c:v>
                </c:pt>
                <c:pt idx="91">
                  <c:v>39266</c:v>
                </c:pt>
                <c:pt idx="92">
                  <c:v>39602</c:v>
                </c:pt>
                <c:pt idx="93">
                  <c:v>39865</c:v>
                </c:pt>
                <c:pt idx="94">
                  <c:v>40205</c:v>
                </c:pt>
                <c:pt idx="95">
                  <c:v>40566</c:v>
                </c:pt>
                <c:pt idx="96">
                  <c:v>40882</c:v>
                </c:pt>
                <c:pt idx="97">
                  <c:v>41183</c:v>
                </c:pt>
                <c:pt idx="98">
                  <c:v>41471</c:v>
                </c:pt>
                <c:pt idx="99">
                  <c:v>41744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C6-4471-BC2C-7F1C5595C0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108752"/>
        <c:axId val="1028999056"/>
      </c:lineChart>
      <c:dateAx>
        <c:axId val="8411087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8999056"/>
        <c:crosses val="autoZero"/>
        <c:auto val="1"/>
        <c:lblOffset val="100"/>
        <c:baseTimeUnit val="days"/>
      </c:dateAx>
      <c:valAx>
        <c:axId val="1028999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110875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2"/>
          <c:order val="0"/>
          <c:tx>
            <c:strRef>
              <c:f>'시계열 이탈 첫구매'!$C$1</c:f>
              <c:strCache>
                <c:ptCount val="1"/>
                <c:pt idx="0">
                  <c:v>pch_cum</c:v>
                </c:pt>
              </c:strCache>
            </c:strRef>
          </c:tx>
          <c:marker>
            <c:symbol val="none"/>
          </c:marker>
          <c:cat>
            <c:numRef>
              <c:f>'시계열 이탈 첫구매'!$A$2:$A$101</c:f>
              <c:numCache>
                <c:formatCode>m/d/yyyy</c:formatCode>
                <c:ptCount val="100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</c:numCache>
            </c:numRef>
          </c:cat>
          <c:val>
            <c:numRef>
              <c:f>'시계열 이탈 첫구매'!$C$2:$C$101</c:f>
              <c:numCache>
                <c:formatCode>General</c:formatCode>
                <c:ptCount val="100"/>
                <c:pt idx="0">
                  <c:v>414</c:v>
                </c:pt>
                <c:pt idx="1">
                  <c:v>766</c:v>
                </c:pt>
                <c:pt idx="2">
                  <c:v>1043</c:v>
                </c:pt>
                <c:pt idx="3">
                  <c:v>1409</c:v>
                </c:pt>
                <c:pt idx="4">
                  <c:v>1713</c:v>
                </c:pt>
                <c:pt idx="5">
                  <c:v>1947</c:v>
                </c:pt>
                <c:pt idx="6">
                  <c:v>2154</c:v>
                </c:pt>
                <c:pt idx="7">
                  <c:v>2358</c:v>
                </c:pt>
                <c:pt idx="8">
                  <c:v>2575</c:v>
                </c:pt>
                <c:pt idx="9">
                  <c:v>2752</c:v>
                </c:pt>
                <c:pt idx="10">
                  <c:v>2973</c:v>
                </c:pt>
                <c:pt idx="11">
                  <c:v>3218</c:v>
                </c:pt>
                <c:pt idx="12">
                  <c:v>3432</c:v>
                </c:pt>
                <c:pt idx="13">
                  <c:v>3656</c:v>
                </c:pt>
                <c:pt idx="14">
                  <c:v>3848</c:v>
                </c:pt>
                <c:pt idx="15">
                  <c:v>4054</c:v>
                </c:pt>
                <c:pt idx="16">
                  <c:v>4251</c:v>
                </c:pt>
                <c:pt idx="17">
                  <c:v>4486</c:v>
                </c:pt>
                <c:pt idx="18">
                  <c:v>4746</c:v>
                </c:pt>
                <c:pt idx="19">
                  <c:v>4975</c:v>
                </c:pt>
                <c:pt idx="20">
                  <c:v>5197</c:v>
                </c:pt>
                <c:pt idx="21">
                  <c:v>5403</c:v>
                </c:pt>
                <c:pt idx="22">
                  <c:v>5585</c:v>
                </c:pt>
                <c:pt idx="23">
                  <c:v>5763</c:v>
                </c:pt>
                <c:pt idx="24">
                  <c:v>6019</c:v>
                </c:pt>
                <c:pt idx="25">
                  <c:v>6969</c:v>
                </c:pt>
                <c:pt idx="26">
                  <c:v>7764</c:v>
                </c:pt>
                <c:pt idx="27">
                  <c:v>8429</c:v>
                </c:pt>
                <c:pt idx="28">
                  <c:v>9607</c:v>
                </c:pt>
                <c:pt idx="29">
                  <c:v>10450</c:v>
                </c:pt>
                <c:pt idx="30">
                  <c:v>10701</c:v>
                </c:pt>
                <c:pt idx="31">
                  <c:v>10978</c:v>
                </c:pt>
                <c:pt idx="32">
                  <c:v>11258</c:v>
                </c:pt>
                <c:pt idx="33">
                  <c:v>11430</c:v>
                </c:pt>
                <c:pt idx="34">
                  <c:v>11609</c:v>
                </c:pt>
                <c:pt idx="35">
                  <c:v>11741</c:v>
                </c:pt>
                <c:pt idx="36">
                  <c:v>11909</c:v>
                </c:pt>
                <c:pt idx="37">
                  <c:v>12030</c:v>
                </c:pt>
                <c:pt idx="38">
                  <c:v>12194</c:v>
                </c:pt>
                <c:pt idx="39">
                  <c:v>12392</c:v>
                </c:pt>
                <c:pt idx="40">
                  <c:v>12589</c:v>
                </c:pt>
                <c:pt idx="41">
                  <c:v>12758</c:v>
                </c:pt>
                <c:pt idx="42">
                  <c:v>12912</c:v>
                </c:pt>
                <c:pt idx="43">
                  <c:v>13546</c:v>
                </c:pt>
                <c:pt idx="44">
                  <c:v>14237</c:v>
                </c:pt>
                <c:pt idx="45">
                  <c:v>15167</c:v>
                </c:pt>
                <c:pt idx="46">
                  <c:v>16241</c:v>
                </c:pt>
                <c:pt idx="47">
                  <c:v>17194</c:v>
                </c:pt>
                <c:pt idx="48">
                  <c:v>18014</c:v>
                </c:pt>
                <c:pt idx="49">
                  <c:v>18753</c:v>
                </c:pt>
                <c:pt idx="50">
                  <c:v>19491</c:v>
                </c:pt>
                <c:pt idx="51">
                  <c:v>20041</c:v>
                </c:pt>
                <c:pt idx="52">
                  <c:v>20654</c:v>
                </c:pt>
                <c:pt idx="53">
                  <c:v>21328</c:v>
                </c:pt>
                <c:pt idx="54">
                  <c:v>21922</c:v>
                </c:pt>
                <c:pt idx="55">
                  <c:v>22449</c:v>
                </c:pt>
                <c:pt idx="56">
                  <c:v>22936</c:v>
                </c:pt>
                <c:pt idx="57">
                  <c:v>23365</c:v>
                </c:pt>
                <c:pt idx="58">
                  <c:v>23743</c:v>
                </c:pt>
                <c:pt idx="59">
                  <c:v>24240</c:v>
                </c:pt>
                <c:pt idx="60">
                  <c:v>24888</c:v>
                </c:pt>
                <c:pt idx="61">
                  <c:v>25516</c:v>
                </c:pt>
                <c:pt idx="62">
                  <c:v>26077</c:v>
                </c:pt>
                <c:pt idx="63">
                  <c:v>26585</c:v>
                </c:pt>
                <c:pt idx="64">
                  <c:v>27091</c:v>
                </c:pt>
                <c:pt idx="65">
                  <c:v>27508</c:v>
                </c:pt>
                <c:pt idx="66">
                  <c:v>28045</c:v>
                </c:pt>
                <c:pt idx="67">
                  <c:v>28669</c:v>
                </c:pt>
                <c:pt idx="68">
                  <c:v>29166</c:v>
                </c:pt>
                <c:pt idx="69">
                  <c:v>29641</c:v>
                </c:pt>
                <c:pt idx="70">
                  <c:v>30105</c:v>
                </c:pt>
                <c:pt idx="71">
                  <c:v>30539</c:v>
                </c:pt>
                <c:pt idx="72">
                  <c:v>30884</c:v>
                </c:pt>
                <c:pt idx="73">
                  <c:v>31349</c:v>
                </c:pt>
                <c:pt idx="74">
                  <c:v>31834</c:v>
                </c:pt>
                <c:pt idx="75">
                  <c:v>32275</c:v>
                </c:pt>
                <c:pt idx="76">
                  <c:v>32688</c:v>
                </c:pt>
                <c:pt idx="77">
                  <c:v>33109</c:v>
                </c:pt>
                <c:pt idx="78">
                  <c:v>33481</c:v>
                </c:pt>
                <c:pt idx="79">
                  <c:v>33804</c:v>
                </c:pt>
                <c:pt idx="80">
                  <c:v>34226</c:v>
                </c:pt>
                <c:pt idx="81">
                  <c:v>34703</c:v>
                </c:pt>
                <c:pt idx="82">
                  <c:v>35092</c:v>
                </c:pt>
                <c:pt idx="83">
                  <c:v>35428</c:v>
                </c:pt>
                <c:pt idx="84">
                  <c:v>35803</c:v>
                </c:pt>
                <c:pt idx="85">
                  <c:v>36234</c:v>
                </c:pt>
                <c:pt idx="86">
                  <c:v>36623</c:v>
                </c:pt>
                <c:pt idx="87">
                  <c:v>37158</c:v>
                </c:pt>
                <c:pt idx="88">
                  <c:v>37864</c:v>
                </c:pt>
                <c:pt idx="89">
                  <c:v>38613</c:v>
                </c:pt>
                <c:pt idx="90">
                  <c:v>38928</c:v>
                </c:pt>
                <c:pt idx="91">
                  <c:v>39266</c:v>
                </c:pt>
                <c:pt idx="92">
                  <c:v>39602</c:v>
                </c:pt>
                <c:pt idx="93">
                  <c:v>39865</c:v>
                </c:pt>
                <c:pt idx="94">
                  <c:v>40205</c:v>
                </c:pt>
                <c:pt idx="95">
                  <c:v>40566</c:v>
                </c:pt>
                <c:pt idx="96">
                  <c:v>40882</c:v>
                </c:pt>
                <c:pt idx="97">
                  <c:v>41183</c:v>
                </c:pt>
                <c:pt idx="98">
                  <c:v>41471</c:v>
                </c:pt>
                <c:pt idx="99">
                  <c:v>41744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0F-45C8-B1A3-09BCD425E9B5}"/>
            </c:ext>
          </c:extLst>
        </c:ser>
        <c:ser>
          <c:idx val="3"/>
          <c:order val="1"/>
          <c:tx>
            <c:strRef>
              <c:f>'시계열 이탈 첫구매'!$C$1</c:f>
              <c:strCache>
                <c:ptCount val="1"/>
                <c:pt idx="0">
                  <c:v>pch_cum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'시계열 이탈 첫구매'!$A$2:$A$101</c:f>
              <c:numCache>
                <c:formatCode>m/d/yyyy</c:formatCode>
                <c:ptCount val="100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</c:numCache>
            </c:numRef>
          </c:cat>
          <c:val>
            <c:numRef>
              <c:f>'시계열 이탈 첫구매'!$C$2:$C$101</c:f>
              <c:numCache>
                <c:formatCode>General</c:formatCode>
                <c:ptCount val="100"/>
                <c:pt idx="0">
                  <c:v>414</c:v>
                </c:pt>
                <c:pt idx="1">
                  <c:v>766</c:v>
                </c:pt>
                <c:pt idx="2">
                  <c:v>1043</c:v>
                </c:pt>
                <c:pt idx="3">
                  <c:v>1409</c:v>
                </c:pt>
                <c:pt idx="4">
                  <c:v>1713</c:v>
                </c:pt>
                <c:pt idx="5">
                  <c:v>1947</c:v>
                </c:pt>
                <c:pt idx="6">
                  <c:v>2154</c:v>
                </c:pt>
                <c:pt idx="7">
                  <c:v>2358</c:v>
                </c:pt>
                <c:pt idx="8">
                  <c:v>2575</c:v>
                </c:pt>
                <c:pt idx="9">
                  <c:v>2752</c:v>
                </c:pt>
                <c:pt idx="10">
                  <c:v>2973</c:v>
                </c:pt>
                <c:pt idx="11">
                  <c:v>3218</c:v>
                </c:pt>
                <c:pt idx="12">
                  <c:v>3432</c:v>
                </c:pt>
                <c:pt idx="13">
                  <c:v>3656</c:v>
                </c:pt>
                <c:pt idx="14">
                  <c:v>3848</c:v>
                </c:pt>
                <c:pt idx="15">
                  <c:v>4054</c:v>
                </c:pt>
                <c:pt idx="16">
                  <c:v>4251</c:v>
                </c:pt>
                <c:pt idx="17">
                  <c:v>4486</c:v>
                </c:pt>
                <c:pt idx="18">
                  <c:v>4746</c:v>
                </c:pt>
                <c:pt idx="19">
                  <c:v>4975</c:v>
                </c:pt>
                <c:pt idx="20">
                  <c:v>5197</c:v>
                </c:pt>
                <c:pt idx="21">
                  <c:v>5403</c:v>
                </c:pt>
                <c:pt idx="22">
                  <c:v>5585</c:v>
                </c:pt>
                <c:pt idx="23">
                  <c:v>5763</c:v>
                </c:pt>
                <c:pt idx="24">
                  <c:v>6019</c:v>
                </c:pt>
                <c:pt idx="25">
                  <c:v>6969</c:v>
                </c:pt>
                <c:pt idx="26">
                  <c:v>7764</c:v>
                </c:pt>
                <c:pt idx="27">
                  <c:v>8429</c:v>
                </c:pt>
                <c:pt idx="28">
                  <c:v>9607</c:v>
                </c:pt>
                <c:pt idx="29">
                  <c:v>10450</c:v>
                </c:pt>
                <c:pt idx="30">
                  <c:v>10701</c:v>
                </c:pt>
                <c:pt idx="31">
                  <c:v>10978</c:v>
                </c:pt>
                <c:pt idx="32">
                  <c:v>11258</c:v>
                </c:pt>
                <c:pt idx="33">
                  <c:v>11430</c:v>
                </c:pt>
                <c:pt idx="34">
                  <c:v>11609</c:v>
                </c:pt>
                <c:pt idx="35">
                  <c:v>11741</c:v>
                </c:pt>
                <c:pt idx="36">
                  <c:v>11909</c:v>
                </c:pt>
                <c:pt idx="37">
                  <c:v>12030</c:v>
                </c:pt>
                <c:pt idx="38">
                  <c:v>12194</c:v>
                </c:pt>
                <c:pt idx="39">
                  <c:v>12392</c:v>
                </c:pt>
                <c:pt idx="40">
                  <c:v>12589</c:v>
                </c:pt>
                <c:pt idx="41">
                  <c:v>12758</c:v>
                </c:pt>
                <c:pt idx="42">
                  <c:v>12912</c:v>
                </c:pt>
                <c:pt idx="43">
                  <c:v>13546</c:v>
                </c:pt>
                <c:pt idx="44">
                  <c:v>14237</c:v>
                </c:pt>
                <c:pt idx="45">
                  <c:v>15167</c:v>
                </c:pt>
                <c:pt idx="46">
                  <c:v>16241</c:v>
                </c:pt>
                <c:pt idx="47">
                  <c:v>17194</c:v>
                </c:pt>
                <c:pt idx="48">
                  <c:v>18014</c:v>
                </c:pt>
                <c:pt idx="49">
                  <c:v>18753</c:v>
                </c:pt>
                <c:pt idx="50">
                  <c:v>19491</c:v>
                </c:pt>
                <c:pt idx="51">
                  <c:v>20041</c:v>
                </c:pt>
                <c:pt idx="52">
                  <c:v>20654</c:v>
                </c:pt>
                <c:pt idx="53">
                  <c:v>21328</c:v>
                </c:pt>
                <c:pt idx="54">
                  <c:v>21922</c:v>
                </c:pt>
                <c:pt idx="55">
                  <c:v>22449</c:v>
                </c:pt>
                <c:pt idx="56">
                  <c:v>22936</c:v>
                </c:pt>
                <c:pt idx="57">
                  <c:v>23365</c:v>
                </c:pt>
                <c:pt idx="58">
                  <c:v>23743</c:v>
                </c:pt>
                <c:pt idx="59">
                  <c:v>24240</c:v>
                </c:pt>
                <c:pt idx="60">
                  <c:v>24888</c:v>
                </c:pt>
                <c:pt idx="61">
                  <c:v>25516</c:v>
                </c:pt>
                <c:pt idx="62">
                  <c:v>26077</c:v>
                </c:pt>
                <c:pt idx="63">
                  <c:v>26585</c:v>
                </c:pt>
                <c:pt idx="64">
                  <c:v>27091</c:v>
                </c:pt>
                <c:pt idx="65">
                  <c:v>27508</c:v>
                </c:pt>
                <c:pt idx="66">
                  <c:v>28045</c:v>
                </c:pt>
                <c:pt idx="67">
                  <c:v>28669</c:v>
                </c:pt>
                <c:pt idx="68">
                  <c:v>29166</c:v>
                </c:pt>
                <c:pt idx="69">
                  <c:v>29641</c:v>
                </c:pt>
                <c:pt idx="70">
                  <c:v>30105</c:v>
                </c:pt>
                <c:pt idx="71">
                  <c:v>30539</c:v>
                </c:pt>
                <c:pt idx="72">
                  <c:v>30884</c:v>
                </c:pt>
                <c:pt idx="73">
                  <c:v>31349</c:v>
                </c:pt>
                <c:pt idx="74">
                  <c:v>31834</c:v>
                </c:pt>
                <c:pt idx="75">
                  <c:v>32275</c:v>
                </c:pt>
                <c:pt idx="76">
                  <c:v>32688</c:v>
                </c:pt>
                <c:pt idx="77">
                  <c:v>33109</c:v>
                </c:pt>
                <c:pt idx="78">
                  <c:v>33481</c:v>
                </c:pt>
                <c:pt idx="79">
                  <c:v>33804</c:v>
                </c:pt>
                <c:pt idx="80">
                  <c:v>34226</c:v>
                </c:pt>
                <c:pt idx="81">
                  <c:v>34703</c:v>
                </c:pt>
                <c:pt idx="82">
                  <c:v>35092</c:v>
                </c:pt>
                <c:pt idx="83">
                  <c:v>35428</c:v>
                </c:pt>
                <c:pt idx="84">
                  <c:v>35803</c:v>
                </c:pt>
                <c:pt idx="85">
                  <c:v>36234</c:v>
                </c:pt>
                <c:pt idx="86">
                  <c:v>36623</c:v>
                </c:pt>
                <c:pt idx="87">
                  <c:v>37158</c:v>
                </c:pt>
                <c:pt idx="88">
                  <c:v>37864</c:v>
                </c:pt>
                <c:pt idx="89">
                  <c:v>38613</c:v>
                </c:pt>
                <c:pt idx="90">
                  <c:v>38928</c:v>
                </c:pt>
                <c:pt idx="91">
                  <c:v>39266</c:v>
                </c:pt>
                <c:pt idx="92">
                  <c:v>39602</c:v>
                </c:pt>
                <c:pt idx="93">
                  <c:v>39865</c:v>
                </c:pt>
                <c:pt idx="94">
                  <c:v>40205</c:v>
                </c:pt>
                <c:pt idx="95">
                  <c:v>40566</c:v>
                </c:pt>
                <c:pt idx="96">
                  <c:v>40882</c:v>
                </c:pt>
                <c:pt idx="97">
                  <c:v>41183</c:v>
                </c:pt>
                <c:pt idx="98">
                  <c:v>41471</c:v>
                </c:pt>
                <c:pt idx="99">
                  <c:v>41744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0F-45C8-B1A3-09BCD425E9B5}"/>
            </c:ext>
          </c:extLst>
        </c:ser>
        <c:ser>
          <c:idx val="1"/>
          <c:order val="2"/>
          <c:tx>
            <c:strRef>
              <c:f>'시계열 이탈 첫구매'!$C$1</c:f>
              <c:strCache>
                <c:ptCount val="1"/>
                <c:pt idx="0">
                  <c:v>pch_cum</c:v>
                </c:pt>
              </c:strCache>
            </c:strRef>
          </c:tx>
          <c:marker>
            <c:symbol val="none"/>
          </c:marker>
          <c:cat>
            <c:numRef>
              <c:f>'시계열 이탈 첫구매'!$A$2:$A$101</c:f>
              <c:numCache>
                <c:formatCode>m/d/yyyy</c:formatCode>
                <c:ptCount val="100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</c:numCache>
            </c:numRef>
          </c:cat>
          <c:val>
            <c:numRef>
              <c:f>'시계열 이탈 첫구매'!$C$2:$C$101</c:f>
              <c:numCache>
                <c:formatCode>General</c:formatCode>
                <c:ptCount val="100"/>
                <c:pt idx="0">
                  <c:v>414</c:v>
                </c:pt>
                <c:pt idx="1">
                  <c:v>766</c:v>
                </c:pt>
                <c:pt idx="2">
                  <c:v>1043</c:v>
                </c:pt>
                <c:pt idx="3">
                  <c:v>1409</c:v>
                </c:pt>
                <c:pt idx="4">
                  <c:v>1713</c:v>
                </c:pt>
                <c:pt idx="5">
                  <c:v>1947</c:v>
                </c:pt>
                <c:pt idx="6">
                  <c:v>2154</c:v>
                </c:pt>
                <c:pt idx="7">
                  <c:v>2358</c:v>
                </c:pt>
                <c:pt idx="8">
                  <c:v>2575</c:v>
                </c:pt>
                <c:pt idx="9">
                  <c:v>2752</c:v>
                </c:pt>
                <c:pt idx="10">
                  <c:v>2973</c:v>
                </c:pt>
                <c:pt idx="11">
                  <c:v>3218</c:v>
                </c:pt>
                <c:pt idx="12">
                  <c:v>3432</c:v>
                </c:pt>
                <c:pt idx="13">
                  <c:v>3656</c:v>
                </c:pt>
                <c:pt idx="14">
                  <c:v>3848</c:v>
                </c:pt>
                <c:pt idx="15">
                  <c:v>4054</c:v>
                </c:pt>
                <c:pt idx="16">
                  <c:v>4251</c:v>
                </c:pt>
                <c:pt idx="17">
                  <c:v>4486</c:v>
                </c:pt>
                <c:pt idx="18">
                  <c:v>4746</c:v>
                </c:pt>
                <c:pt idx="19">
                  <c:v>4975</c:v>
                </c:pt>
                <c:pt idx="20">
                  <c:v>5197</c:v>
                </c:pt>
                <c:pt idx="21">
                  <c:v>5403</c:v>
                </c:pt>
                <c:pt idx="22">
                  <c:v>5585</c:v>
                </c:pt>
                <c:pt idx="23">
                  <c:v>5763</c:v>
                </c:pt>
                <c:pt idx="24">
                  <c:v>6019</c:v>
                </c:pt>
                <c:pt idx="25">
                  <c:v>6969</c:v>
                </c:pt>
                <c:pt idx="26">
                  <c:v>7764</c:v>
                </c:pt>
                <c:pt idx="27">
                  <c:v>8429</c:v>
                </c:pt>
                <c:pt idx="28">
                  <c:v>9607</c:v>
                </c:pt>
                <c:pt idx="29">
                  <c:v>10450</c:v>
                </c:pt>
                <c:pt idx="30">
                  <c:v>10701</c:v>
                </c:pt>
                <c:pt idx="31">
                  <c:v>10978</c:v>
                </c:pt>
                <c:pt idx="32">
                  <c:v>11258</c:v>
                </c:pt>
                <c:pt idx="33">
                  <c:v>11430</c:v>
                </c:pt>
                <c:pt idx="34">
                  <c:v>11609</c:v>
                </c:pt>
                <c:pt idx="35">
                  <c:v>11741</c:v>
                </c:pt>
                <c:pt idx="36">
                  <c:v>11909</c:v>
                </c:pt>
                <c:pt idx="37">
                  <c:v>12030</c:v>
                </c:pt>
                <c:pt idx="38">
                  <c:v>12194</c:v>
                </c:pt>
                <c:pt idx="39">
                  <c:v>12392</c:v>
                </c:pt>
                <c:pt idx="40">
                  <c:v>12589</c:v>
                </c:pt>
                <c:pt idx="41">
                  <c:v>12758</c:v>
                </c:pt>
                <c:pt idx="42">
                  <c:v>12912</c:v>
                </c:pt>
                <c:pt idx="43">
                  <c:v>13546</c:v>
                </c:pt>
                <c:pt idx="44">
                  <c:v>14237</c:v>
                </c:pt>
                <c:pt idx="45">
                  <c:v>15167</c:v>
                </c:pt>
                <c:pt idx="46">
                  <c:v>16241</c:v>
                </c:pt>
                <c:pt idx="47">
                  <c:v>17194</c:v>
                </c:pt>
                <c:pt idx="48">
                  <c:v>18014</c:v>
                </c:pt>
                <c:pt idx="49">
                  <c:v>18753</c:v>
                </c:pt>
                <c:pt idx="50">
                  <c:v>19491</c:v>
                </c:pt>
                <c:pt idx="51">
                  <c:v>20041</c:v>
                </c:pt>
                <c:pt idx="52">
                  <c:v>20654</c:v>
                </c:pt>
                <c:pt idx="53">
                  <c:v>21328</c:v>
                </c:pt>
                <c:pt idx="54">
                  <c:v>21922</c:v>
                </c:pt>
                <c:pt idx="55">
                  <c:v>22449</c:v>
                </c:pt>
                <c:pt idx="56">
                  <c:v>22936</c:v>
                </c:pt>
                <c:pt idx="57">
                  <c:v>23365</c:v>
                </c:pt>
                <c:pt idx="58">
                  <c:v>23743</c:v>
                </c:pt>
                <c:pt idx="59">
                  <c:v>24240</c:v>
                </c:pt>
                <c:pt idx="60">
                  <c:v>24888</c:v>
                </c:pt>
                <c:pt idx="61">
                  <c:v>25516</c:v>
                </c:pt>
                <c:pt idx="62">
                  <c:v>26077</c:v>
                </c:pt>
                <c:pt idx="63">
                  <c:v>26585</c:v>
                </c:pt>
                <c:pt idx="64">
                  <c:v>27091</c:v>
                </c:pt>
                <c:pt idx="65">
                  <c:v>27508</c:v>
                </c:pt>
                <c:pt idx="66">
                  <c:v>28045</c:v>
                </c:pt>
                <c:pt idx="67">
                  <c:v>28669</c:v>
                </c:pt>
                <c:pt idx="68">
                  <c:v>29166</c:v>
                </c:pt>
                <c:pt idx="69">
                  <c:v>29641</c:v>
                </c:pt>
                <c:pt idx="70">
                  <c:v>30105</c:v>
                </c:pt>
                <c:pt idx="71">
                  <c:v>30539</c:v>
                </c:pt>
                <c:pt idx="72">
                  <c:v>30884</c:v>
                </c:pt>
                <c:pt idx="73">
                  <c:v>31349</c:v>
                </c:pt>
                <c:pt idx="74">
                  <c:v>31834</c:v>
                </c:pt>
                <c:pt idx="75">
                  <c:v>32275</c:v>
                </c:pt>
                <c:pt idx="76">
                  <c:v>32688</c:v>
                </c:pt>
                <c:pt idx="77">
                  <c:v>33109</c:v>
                </c:pt>
                <c:pt idx="78">
                  <c:v>33481</c:v>
                </c:pt>
                <c:pt idx="79">
                  <c:v>33804</c:v>
                </c:pt>
                <c:pt idx="80">
                  <c:v>34226</c:v>
                </c:pt>
                <c:pt idx="81">
                  <c:v>34703</c:v>
                </c:pt>
                <c:pt idx="82">
                  <c:v>35092</c:v>
                </c:pt>
                <c:pt idx="83">
                  <c:v>35428</c:v>
                </c:pt>
                <c:pt idx="84">
                  <c:v>35803</c:v>
                </c:pt>
                <c:pt idx="85">
                  <c:v>36234</c:v>
                </c:pt>
                <c:pt idx="86">
                  <c:v>36623</c:v>
                </c:pt>
                <c:pt idx="87">
                  <c:v>37158</c:v>
                </c:pt>
                <c:pt idx="88">
                  <c:v>37864</c:v>
                </c:pt>
                <c:pt idx="89">
                  <c:v>38613</c:v>
                </c:pt>
                <c:pt idx="90">
                  <c:v>38928</c:v>
                </c:pt>
                <c:pt idx="91">
                  <c:v>39266</c:v>
                </c:pt>
                <c:pt idx="92">
                  <c:v>39602</c:v>
                </c:pt>
                <c:pt idx="93">
                  <c:v>39865</c:v>
                </c:pt>
                <c:pt idx="94">
                  <c:v>40205</c:v>
                </c:pt>
                <c:pt idx="95">
                  <c:v>40566</c:v>
                </c:pt>
                <c:pt idx="96">
                  <c:v>40882</c:v>
                </c:pt>
                <c:pt idx="97">
                  <c:v>41183</c:v>
                </c:pt>
                <c:pt idx="98">
                  <c:v>41471</c:v>
                </c:pt>
                <c:pt idx="99">
                  <c:v>41744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0F-45C8-B1A3-09BCD425E9B5}"/>
            </c:ext>
          </c:extLst>
        </c:ser>
        <c:ser>
          <c:idx val="0"/>
          <c:order val="3"/>
          <c:tx>
            <c:strRef>
              <c:f>'시계열 이탈 첫구매'!$C$1</c:f>
              <c:strCache>
                <c:ptCount val="1"/>
                <c:pt idx="0">
                  <c:v>pch_cum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'시계열 이탈 첫구매'!$A$2:$A$101</c:f>
              <c:numCache>
                <c:formatCode>m/d/yyyy</c:formatCode>
                <c:ptCount val="100"/>
                <c:pt idx="0">
                  <c:v>45658</c:v>
                </c:pt>
                <c:pt idx="1">
                  <c:v>45659</c:v>
                </c:pt>
                <c:pt idx="2">
                  <c:v>45660</c:v>
                </c:pt>
                <c:pt idx="3">
                  <c:v>45661</c:v>
                </c:pt>
                <c:pt idx="4">
                  <c:v>45662</c:v>
                </c:pt>
                <c:pt idx="5">
                  <c:v>45663</c:v>
                </c:pt>
                <c:pt idx="6">
                  <c:v>45664</c:v>
                </c:pt>
                <c:pt idx="7">
                  <c:v>45665</c:v>
                </c:pt>
                <c:pt idx="8">
                  <c:v>45666</c:v>
                </c:pt>
                <c:pt idx="9">
                  <c:v>45667</c:v>
                </c:pt>
                <c:pt idx="10">
                  <c:v>45668</c:v>
                </c:pt>
                <c:pt idx="11">
                  <c:v>45669</c:v>
                </c:pt>
                <c:pt idx="12">
                  <c:v>45670</c:v>
                </c:pt>
                <c:pt idx="13">
                  <c:v>45671</c:v>
                </c:pt>
                <c:pt idx="14">
                  <c:v>45672</c:v>
                </c:pt>
                <c:pt idx="15">
                  <c:v>45673</c:v>
                </c:pt>
                <c:pt idx="16">
                  <c:v>45674</c:v>
                </c:pt>
                <c:pt idx="17">
                  <c:v>45675</c:v>
                </c:pt>
                <c:pt idx="18">
                  <c:v>45676</c:v>
                </c:pt>
                <c:pt idx="19">
                  <c:v>45677</c:v>
                </c:pt>
                <c:pt idx="20">
                  <c:v>45678</c:v>
                </c:pt>
                <c:pt idx="21">
                  <c:v>45679</c:v>
                </c:pt>
                <c:pt idx="22">
                  <c:v>45680</c:v>
                </c:pt>
                <c:pt idx="23">
                  <c:v>45681</c:v>
                </c:pt>
                <c:pt idx="24">
                  <c:v>45682</c:v>
                </c:pt>
                <c:pt idx="25">
                  <c:v>45683</c:v>
                </c:pt>
                <c:pt idx="26">
                  <c:v>45684</c:v>
                </c:pt>
                <c:pt idx="27">
                  <c:v>45685</c:v>
                </c:pt>
                <c:pt idx="28">
                  <c:v>45686</c:v>
                </c:pt>
                <c:pt idx="29">
                  <c:v>45687</c:v>
                </c:pt>
                <c:pt idx="30">
                  <c:v>45688</c:v>
                </c:pt>
                <c:pt idx="31">
                  <c:v>45689</c:v>
                </c:pt>
                <c:pt idx="32">
                  <c:v>45690</c:v>
                </c:pt>
                <c:pt idx="33">
                  <c:v>45691</c:v>
                </c:pt>
                <c:pt idx="34">
                  <c:v>45692</c:v>
                </c:pt>
                <c:pt idx="35">
                  <c:v>45693</c:v>
                </c:pt>
                <c:pt idx="36">
                  <c:v>45694</c:v>
                </c:pt>
                <c:pt idx="37">
                  <c:v>45695</c:v>
                </c:pt>
                <c:pt idx="38">
                  <c:v>45696</c:v>
                </c:pt>
                <c:pt idx="39">
                  <c:v>45697</c:v>
                </c:pt>
                <c:pt idx="40">
                  <c:v>45698</c:v>
                </c:pt>
                <c:pt idx="41">
                  <c:v>45699</c:v>
                </c:pt>
                <c:pt idx="42">
                  <c:v>45700</c:v>
                </c:pt>
                <c:pt idx="43">
                  <c:v>45701</c:v>
                </c:pt>
                <c:pt idx="44">
                  <c:v>45702</c:v>
                </c:pt>
                <c:pt idx="45">
                  <c:v>45703</c:v>
                </c:pt>
                <c:pt idx="46">
                  <c:v>45704</c:v>
                </c:pt>
                <c:pt idx="47">
                  <c:v>45705</c:v>
                </c:pt>
                <c:pt idx="48">
                  <c:v>45706</c:v>
                </c:pt>
                <c:pt idx="49">
                  <c:v>45707</c:v>
                </c:pt>
                <c:pt idx="50">
                  <c:v>45708</c:v>
                </c:pt>
                <c:pt idx="51">
                  <c:v>45709</c:v>
                </c:pt>
                <c:pt idx="52">
                  <c:v>45710</c:v>
                </c:pt>
                <c:pt idx="53">
                  <c:v>45711</c:v>
                </c:pt>
                <c:pt idx="54">
                  <c:v>45712</c:v>
                </c:pt>
                <c:pt idx="55">
                  <c:v>45713</c:v>
                </c:pt>
                <c:pt idx="56">
                  <c:v>45714</c:v>
                </c:pt>
                <c:pt idx="57">
                  <c:v>45715</c:v>
                </c:pt>
                <c:pt idx="58">
                  <c:v>45716</c:v>
                </c:pt>
                <c:pt idx="59">
                  <c:v>45717</c:v>
                </c:pt>
                <c:pt idx="60">
                  <c:v>45718</c:v>
                </c:pt>
                <c:pt idx="61">
                  <c:v>45719</c:v>
                </c:pt>
                <c:pt idx="62">
                  <c:v>45720</c:v>
                </c:pt>
                <c:pt idx="63">
                  <c:v>45721</c:v>
                </c:pt>
                <c:pt idx="64">
                  <c:v>45722</c:v>
                </c:pt>
                <c:pt idx="65">
                  <c:v>45723</c:v>
                </c:pt>
                <c:pt idx="66">
                  <c:v>45724</c:v>
                </c:pt>
                <c:pt idx="67">
                  <c:v>45725</c:v>
                </c:pt>
                <c:pt idx="68">
                  <c:v>45726</c:v>
                </c:pt>
                <c:pt idx="69">
                  <c:v>45727</c:v>
                </c:pt>
                <c:pt idx="70">
                  <c:v>45728</c:v>
                </c:pt>
                <c:pt idx="71">
                  <c:v>45729</c:v>
                </c:pt>
                <c:pt idx="72">
                  <c:v>45730</c:v>
                </c:pt>
                <c:pt idx="73">
                  <c:v>45731</c:v>
                </c:pt>
                <c:pt idx="74">
                  <c:v>45732</c:v>
                </c:pt>
                <c:pt idx="75">
                  <c:v>45733</c:v>
                </c:pt>
                <c:pt idx="76">
                  <c:v>45734</c:v>
                </c:pt>
                <c:pt idx="77">
                  <c:v>45735</c:v>
                </c:pt>
                <c:pt idx="78">
                  <c:v>45736</c:v>
                </c:pt>
                <c:pt idx="79">
                  <c:v>45737</c:v>
                </c:pt>
                <c:pt idx="80">
                  <c:v>45738</c:v>
                </c:pt>
                <c:pt idx="81">
                  <c:v>45739</c:v>
                </c:pt>
                <c:pt idx="82">
                  <c:v>45740</c:v>
                </c:pt>
                <c:pt idx="83">
                  <c:v>45741</c:v>
                </c:pt>
                <c:pt idx="84">
                  <c:v>45742</c:v>
                </c:pt>
                <c:pt idx="85">
                  <c:v>45743</c:v>
                </c:pt>
                <c:pt idx="86">
                  <c:v>45744</c:v>
                </c:pt>
                <c:pt idx="87">
                  <c:v>45745</c:v>
                </c:pt>
                <c:pt idx="88">
                  <c:v>45746</c:v>
                </c:pt>
                <c:pt idx="89">
                  <c:v>45747</c:v>
                </c:pt>
                <c:pt idx="90">
                  <c:v>45748</c:v>
                </c:pt>
                <c:pt idx="91">
                  <c:v>45749</c:v>
                </c:pt>
                <c:pt idx="92">
                  <c:v>45750</c:v>
                </c:pt>
                <c:pt idx="93">
                  <c:v>45751</c:v>
                </c:pt>
                <c:pt idx="94">
                  <c:v>45752</c:v>
                </c:pt>
                <c:pt idx="95">
                  <c:v>45753</c:v>
                </c:pt>
                <c:pt idx="96">
                  <c:v>45754</c:v>
                </c:pt>
                <c:pt idx="97">
                  <c:v>45755</c:v>
                </c:pt>
                <c:pt idx="98">
                  <c:v>45756</c:v>
                </c:pt>
                <c:pt idx="99">
                  <c:v>45757</c:v>
                </c:pt>
              </c:numCache>
            </c:numRef>
          </c:cat>
          <c:val>
            <c:numRef>
              <c:f>'시계열 이탈 첫구매'!$C$2:$C$101</c:f>
              <c:numCache>
                <c:formatCode>General</c:formatCode>
                <c:ptCount val="100"/>
                <c:pt idx="0">
                  <c:v>414</c:v>
                </c:pt>
                <c:pt idx="1">
                  <c:v>766</c:v>
                </c:pt>
                <c:pt idx="2">
                  <c:v>1043</c:v>
                </c:pt>
                <c:pt idx="3">
                  <c:v>1409</c:v>
                </c:pt>
                <c:pt idx="4">
                  <c:v>1713</c:v>
                </c:pt>
                <c:pt idx="5">
                  <c:v>1947</c:v>
                </c:pt>
                <c:pt idx="6">
                  <c:v>2154</c:v>
                </c:pt>
                <c:pt idx="7">
                  <c:v>2358</c:v>
                </c:pt>
                <c:pt idx="8">
                  <c:v>2575</c:v>
                </c:pt>
                <c:pt idx="9">
                  <c:v>2752</c:v>
                </c:pt>
                <c:pt idx="10">
                  <c:v>2973</c:v>
                </c:pt>
                <c:pt idx="11">
                  <c:v>3218</c:v>
                </c:pt>
                <c:pt idx="12">
                  <c:v>3432</c:v>
                </c:pt>
                <c:pt idx="13">
                  <c:v>3656</c:v>
                </c:pt>
                <c:pt idx="14">
                  <c:v>3848</c:v>
                </c:pt>
                <c:pt idx="15">
                  <c:v>4054</c:v>
                </c:pt>
                <c:pt idx="16">
                  <c:v>4251</c:v>
                </c:pt>
                <c:pt idx="17">
                  <c:v>4486</c:v>
                </c:pt>
                <c:pt idx="18">
                  <c:v>4746</c:v>
                </c:pt>
                <c:pt idx="19">
                  <c:v>4975</c:v>
                </c:pt>
                <c:pt idx="20">
                  <c:v>5197</c:v>
                </c:pt>
                <c:pt idx="21">
                  <c:v>5403</c:v>
                </c:pt>
                <c:pt idx="22">
                  <c:v>5585</c:v>
                </c:pt>
                <c:pt idx="23">
                  <c:v>5763</c:v>
                </c:pt>
                <c:pt idx="24">
                  <c:v>6019</c:v>
                </c:pt>
                <c:pt idx="25">
                  <c:v>6969</c:v>
                </c:pt>
                <c:pt idx="26">
                  <c:v>7764</c:v>
                </c:pt>
                <c:pt idx="27">
                  <c:v>8429</c:v>
                </c:pt>
                <c:pt idx="28">
                  <c:v>9607</c:v>
                </c:pt>
                <c:pt idx="29">
                  <c:v>10450</c:v>
                </c:pt>
                <c:pt idx="30">
                  <c:v>10701</c:v>
                </c:pt>
                <c:pt idx="31">
                  <c:v>10978</c:v>
                </c:pt>
                <c:pt idx="32">
                  <c:v>11258</c:v>
                </c:pt>
                <c:pt idx="33">
                  <c:v>11430</c:v>
                </c:pt>
                <c:pt idx="34">
                  <c:v>11609</c:v>
                </c:pt>
                <c:pt idx="35">
                  <c:v>11741</c:v>
                </c:pt>
                <c:pt idx="36">
                  <c:v>11909</c:v>
                </c:pt>
                <c:pt idx="37">
                  <c:v>12030</c:v>
                </c:pt>
                <c:pt idx="38">
                  <c:v>12194</c:v>
                </c:pt>
                <c:pt idx="39">
                  <c:v>12392</c:v>
                </c:pt>
                <c:pt idx="40">
                  <c:v>12589</c:v>
                </c:pt>
                <c:pt idx="41">
                  <c:v>12758</c:v>
                </c:pt>
                <c:pt idx="42">
                  <c:v>12912</c:v>
                </c:pt>
                <c:pt idx="43">
                  <c:v>13546</c:v>
                </c:pt>
                <c:pt idx="44">
                  <c:v>14237</c:v>
                </c:pt>
                <c:pt idx="45">
                  <c:v>15167</c:v>
                </c:pt>
                <c:pt idx="46">
                  <c:v>16241</c:v>
                </c:pt>
                <c:pt idx="47">
                  <c:v>17194</c:v>
                </c:pt>
                <c:pt idx="48">
                  <c:v>18014</c:v>
                </c:pt>
                <c:pt idx="49">
                  <c:v>18753</c:v>
                </c:pt>
                <c:pt idx="50">
                  <c:v>19491</c:v>
                </c:pt>
                <c:pt idx="51">
                  <c:v>20041</c:v>
                </c:pt>
                <c:pt idx="52">
                  <c:v>20654</c:v>
                </c:pt>
                <c:pt idx="53">
                  <c:v>21328</c:v>
                </c:pt>
                <c:pt idx="54">
                  <c:v>21922</c:v>
                </c:pt>
                <c:pt idx="55">
                  <c:v>22449</c:v>
                </c:pt>
                <c:pt idx="56">
                  <c:v>22936</c:v>
                </c:pt>
                <c:pt idx="57">
                  <c:v>23365</c:v>
                </c:pt>
                <c:pt idx="58">
                  <c:v>23743</c:v>
                </c:pt>
                <c:pt idx="59">
                  <c:v>24240</c:v>
                </c:pt>
                <c:pt idx="60">
                  <c:v>24888</c:v>
                </c:pt>
                <c:pt idx="61">
                  <c:v>25516</c:v>
                </c:pt>
                <c:pt idx="62">
                  <c:v>26077</c:v>
                </c:pt>
                <c:pt idx="63">
                  <c:v>26585</c:v>
                </c:pt>
                <c:pt idx="64">
                  <c:v>27091</c:v>
                </c:pt>
                <c:pt idx="65">
                  <c:v>27508</c:v>
                </c:pt>
                <c:pt idx="66">
                  <c:v>28045</c:v>
                </c:pt>
                <c:pt idx="67">
                  <c:v>28669</c:v>
                </c:pt>
                <c:pt idx="68">
                  <c:v>29166</c:v>
                </c:pt>
                <c:pt idx="69">
                  <c:v>29641</c:v>
                </c:pt>
                <c:pt idx="70">
                  <c:v>30105</c:v>
                </c:pt>
                <c:pt idx="71">
                  <c:v>30539</c:v>
                </c:pt>
                <c:pt idx="72">
                  <c:v>30884</c:v>
                </c:pt>
                <c:pt idx="73">
                  <c:v>31349</c:v>
                </c:pt>
                <c:pt idx="74">
                  <c:v>31834</c:v>
                </c:pt>
                <c:pt idx="75">
                  <c:v>32275</c:v>
                </c:pt>
                <c:pt idx="76">
                  <c:v>32688</c:v>
                </c:pt>
                <c:pt idx="77">
                  <c:v>33109</c:v>
                </c:pt>
                <c:pt idx="78">
                  <c:v>33481</c:v>
                </c:pt>
                <c:pt idx="79">
                  <c:v>33804</c:v>
                </c:pt>
                <c:pt idx="80">
                  <c:v>34226</c:v>
                </c:pt>
                <c:pt idx="81">
                  <c:v>34703</c:v>
                </c:pt>
                <c:pt idx="82">
                  <c:v>35092</c:v>
                </c:pt>
                <c:pt idx="83">
                  <c:v>35428</c:v>
                </c:pt>
                <c:pt idx="84">
                  <c:v>35803</c:v>
                </c:pt>
                <c:pt idx="85">
                  <c:v>36234</c:v>
                </c:pt>
                <c:pt idx="86">
                  <c:v>36623</c:v>
                </c:pt>
                <c:pt idx="87">
                  <c:v>37158</c:v>
                </c:pt>
                <c:pt idx="88">
                  <c:v>37864</c:v>
                </c:pt>
                <c:pt idx="89">
                  <c:v>38613</c:v>
                </c:pt>
                <c:pt idx="90">
                  <c:v>38928</c:v>
                </c:pt>
                <c:pt idx="91">
                  <c:v>39266</c:v>
                </c:pt>
                <c:pt idx="92">
                  <c:v>39602</c:v>
                </c:pt>
                <c:pt idx="93">
                  <c:v>39865</c:v>
                </c:pt>
                <c:pt idx="94">
                  <c:v>40205</c:v>
                </c:pt>
                <c:pt idx="95">
                  <c:v>40566</c:v>
                </c:pt>
                <c:pt idx="96">
                  <c:v>40882</c:v>
                </c:pt>
                <c:pt idx="97">
                  <c:v>41183</c:v>
                </c:pt>
                <c:pt idx="98">
                  <c:v>41471</c:v>
                </c:pt>
                <c:pt idx="99">
                  <c:v>41744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0F-45C8-B1A3-09BCD425E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1108752"/>
        <c:axId val="1028999056"/>
      </c:lineChart>
      <c:dateAx>
        <c:axId val="84110875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28999056"/>
        <c:crosses val="autoZero"/>
        <c:auto val="1"/>
        <c:lblOffset val="100"/>
        <c:baseTimeUnit val="days"/>
      </c:dateAx>
      <c:valAx>
        <c:axId val="10289990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84110875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'시계열 이탈 첫구매'!$P$6:$P$17</c:f>
              <c:numCache>
                <c:formatCode>General</c:formatCode>
                <c:ptCount val="12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21</c:v>
                </c:pt>
                <c:pt idx="6">
                  <c:v>28</c:v>
                </c:pt>
                <c:pt idx="7">
                  <c:v>36</c:v>
                </c:pt>
                <c:pt idx="8">
                  <c:v>45</c:v>
                </c:pt>
                <c:pt idx="9">
                  <c:v>52</c:v>
                </c:pt>
                <c:pt idx="10">
                  <c:v>58</c:v>
                </c:pt>
                <c:pt idx="11">
                  <c:v>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D7-4100-882F-B09A214BB0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0717839"/>
        <c:axId val="1070137743"/>
      </c:lineChart>
      <c:catAx>
        <c:axId val="10007178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0137743"/>
        <c:crosses val="autoZero"/>
        <c:auto val="1"/>
        <c:lblAlgn val="ctr"/>
        <c:lblOffset val="100"/>
        <c:noMultiLvlLbl val="0"/>
      </c:catAx>
      <c:valAx>
        <c:axId val="1070137743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00717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200" b="1"/>
              <a:t>AS-IS</a:t>
            </a:r>
            <a:r>
              <a:rPr lang="en-US" altLang="ko-KR" sz="1200" b="1" baseline="0"/>
              <a:t> : </a:t>
            </a:r>
            <a:r>
              <a:rPr lang="ko-KR" altLang="en-US" sz="1200" b="1" baseline="0"/>
              <a:t>총 거래의 승</a:t>
            </a:r>
            <a:r>
              <a:rPr lang="en-US" altLang="ko-KR" sz="1200" b="1" baseline="0"/>
              <a:t>/</a:t>
            </a:r>
            <a:r>
              <a:rPr lang="ko-KR" altLang="en-US" sz="1200" b="1" baseline="0"/>
              <a:t>패 분포</a:t>
            </a:r>
            <a:endParaRPr lang="ko-KR" alt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'정책 시뮬레이션'!$Q$41</c:f>
              <c:strCache>
                <c:ptCount val="1"/>
                <c:pt idx="0">
                  <c:v>기존 영업 이익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75000"/>
                </a:schemeClr>
              </a:solidFill>
              <a:ln w="9525">
                <a:solidFill>
                  <a:schemeClr val="bg1">
                    <a:alpha val="63000"/>
                  </a:schemeClr>
                </a:solidFill>
              </a:ln>
              <a:effectLst/>
            </c:spPr>
          </c:marker>
          <c:yVal>
            <c:numRef>
              <c:f>'정책 시뮬레이션'!$Q$42:$Q$241</c:f>
              <c:numCache>
                <c:formatCode>"₩"#,##0_);[Red]\("₩"#,##0\)</c:formatCode>
                <c:ptCount val="200"/>
                <c:pt idx="0">
                  <c:v>1680.8163469364683</c:v>
                </c:pt>
                <c:pt idx="1">
                  <c:v>-5098.5012533462059</c:v>
                </c:pt>
                <c:pt idx="2">
                  <c:v>-4874.1012533462062</c:v>
                </c:pt>
                <c:pt idx="3">
                  <c:v>45.36634693646841</c:v>
                </c:pt>
                <c:pt idx="4">
                  <c:v>-496.88365306353148</c:v>
                </c:pt>
                <c:pt idx="5">
                  <c:v>549.66634693646836</c:v>
                </c:pt>
                <c:pt idx="6">
                  <c:v>3362.6163469364683</c:v>
                </c:pt>
                <c:pt idx="7">
                  <c:v>-2180.1012533462067</c:v>
                </c:pt>
                <c:pt idx="8">
                  <c:v>3292.1163469364683</c:v>
                </c:pt>
                <c:pt idx="9">
                  <c:v>-652.28365306353157</c:v>
                </c:pt>
                <c:pt idx="10">
                  <c:v>-24790.891499999998</c:v>
                </c:pt>
                <c:pt idx="11">
                  <c:v>-531.83365306353153</c:v>
                </c:pt>
                <c:pt idx="12">
                  <c:v>3074.6163469364683</c:v>
                </c:pt>
                <c:pt idx="13">
                  <c:v>-277.58365306353164</c:v>
                </c:pt>
                <c:pt idx="14">
                  <c:v>1397.0163469364686</c:v>
                </c:pt>
                <c:pt idx="15">
                  <c:v>-262.28365306353146</c:v>
                </c:pt>
                <c:pt idx="16">
                  <c:v>-10764.935187504449</c:v>
                </c:pt>
                <c:pt idx="17">
                  <c:v>-5270.5512533462061</c:v>
                </c:pt>
                <c:pt idx="18">
                  <c:v>-653.48365306353151</c:v>
                </c:pt>
                <c:pt idx="19">
                  <c:v>327.96634693646854</c:v>
                </c:pt>
                <c:pt idx="20">
                  <c:v>702.81634693646822</c:v>
                </c:pt>
                <c:pt idx="21">
                  <c:v>-2792.4012533462064</c:v>
                </c:pt>
                <c:pt idx="22">
                  <c:v>248.31634693646845</c:v>
                </c:pt>
                <c:pt idx="23">
                  <c:v>-783.83365306353153</c:v>
                </c:pt>
                <c:pt idx="24">
                  <c:v>-13065.485187504448</c:v>
                </c:pt>
                <c:pt idx="25">
                  <c:v>-9184.3851875044475</c:v>
                </c:pt>
                <c:pt idx="26">
                  <c:v>2451.3663469364683</c:v>
                </c:pt>
                <c:pt idx="27">
                  <c:v>-615.98365306353151</c:v>
                </c:pt>
                <c:pt idx="28">
                  <c:v>911.76634693646849</c:v>
                </c:pt>
                <c:pt idx="29">
                  <c:v>-527.78365306353157</c:v>
                </c:pt>
                <c:pt idx="30">
                  <c:v>-9153.4652318130429</c:v>
                </c:pt>
                <c:pt idx="31">
                  <c:v>-10209.785187504449</c:v>
                </c:pt>
                <c:pt idx="32">
                  <c:v>-607.58365306353153</c:v>
                </c:pt>
                <c:pt idx="33">
                  <c:v>-818.18365306353155</c:v>
                </c:pt>
                <c:pt idx="34">
                  <c:v>-316.73365306353151</c:v>
                </c:pt>
                <c:pt idx="35">
                  <c:v>-824.48365306353151</c:v>
                </c:pt>
                <c:pt idx="36">
                  <c:v>644.46634693646831</c:v>
                </c:pt>
                <c:pt idx="37">
                  <c:v>-4890.6012533462062</c:v>
                </c:pt>
                <c:pt idx="38">
                  <c:v>-3896.1152318130444</c:v>
                </c:pt>
                <c:pt idx="39">
                  <c:v>-5178.0351875044489</c:v>
                </c:pt>
                <c:pt idx="40">
                  <c:v>-349.1336530635316</c:v>
                </c:pt>
                <c:pt idx="41">
                  <c:v>-638.78365306353157</c:v>
                </c:pt>
                <c:pt idx="42">
                  <c:v>-8368.2152318130429</c:v>
                </c:pt>
                <c:pt idx="43">
                  <c:v>-6567.9152318130446</c:v>
                </c:pt>
                <c:pt idx="44">
                  <c:v>9763.7163469364659</c:v>
                </c:pt>
                <c:pt idx="45">
                  <c:v>559.41634693646836</c:v>
                </c:pt>
                <c:pt idx="46">
                  <c:v>-723.23365306353151</c:v>
                </c:pt>
                <c:pt idx="47">
                  <c:v>-9040.9652318130429</c:v>
                </c:pt>
                <c:pt idx="48">
                  <c:v>825.3663469364684</c:v>
                </c:pt>
                <c:pt idx="49">
                  <c:v>-692.93365306353155</c:v>
                </c:pt>
                <c:pt idx="50">
                  <c:v>-2417.4012533462064</c:v>
                </c:pt>
                <c:pt idx="51">
                  <c:v>-717.38365306353148</c:v>
                </c:pt>
                <c:pt idx="52">
                  <c:v>79.266346936468494</c:v>
                </c:pt>
                <c:pt idx="53">
                  <c:v>-520.58365306353153</c:v>
                </c:pt>
                <c:pt idx="54">
                  <c:v>-684.98365306353151</c:v>
                </c:pt>
                <c:pt idx="55">
                  <c:v>-6906.6152318130444</c:v>
                </c:pt>
                <c:pt idx="56">
                  <c:v>-132.83365306353164</c:v>
                </c:pt>
                <c:pt idx="57">
                  <c:v>1927.4163469364687</c:v>
                </c:pt>
                <c:pt idx="58">
                  <c:v>-17450.114986243945</c:v>
                </c:pt>
                <c:pt idx="59">
                  <c:v>-5052.7512533462059</c:v>
                </c:pt>
                <c:pt idx="60">
                  <c:v>2105.4663469364687</c:v>
                </c:pt>
                <c:pt idx="61">
                  <c:v>-1905.0012533462068</c:v>
                </c:pt>
                <c:pt idx="62">
                  <c:v>767.6163469364684</c:v>
                </c:pt>
                <c:pt idx="63">
                  <c:v>-1620.7512533462063</c:v>
                </c:pt>
                <c:pt idx="64">
                  <c:v>-774.38365306353148</c:v>
                </c:pt>
                <c:pt idx="65">
                  <c:v>-375.98365306353151</c:v>
                </c:pt>
                <c:pt idx="66">
                  <c:v>2662.1163469364683</c:v>
                </c:pt>
                <c:pt idx="67">
                  <c:v>154.41634693646836</c:v>
                </c:pt>
                <c:pt idx="68">
                  <c:v>-285.98365306353151</c:v>
                </c:pt>
                <c:pt idx="69">
                  <c:v>276.51634693646849</c:v>
                </c:pt>
                <c:pt idx="70">
                  <c:v>-5290.2012533462057</c:v>
                </c:pt>
                <c:pt idx="71">
                  <c:v>-3945.3012533462065</c:v>
                </c:pt>
                <c:pt idx="72">
                  <c:v>-867.23365306353151</c:v>
                </c:pt>
                <c:pt idx="73">
                  <c:v>2016.8163469364683</c:v>
                </c:pt>
                <c:pt idx="74">
                  <c:v>-9382.515231813044</c:v>
                </c:pt>
                <c:pt idx="75">
                  <c:v>-711.68365306353155</c:v>
                </c:pt>
                <c:pt idx="76">
                  <c:v>-3785.4012533462069</c:v>
                </c:pt>
                <c:pt idx="77">
                  <c:v>-774.68365306353155</c:v>
                </c:pt>
                <c:pt idx="78">
                  <c:v>-639.08365306353153</c:v>
                </c:pt>
                <c:pt idx="79">
                  <c:v>-648.53365306353157</c:v>
                </c:pt>
                <c:pt idx="80">
                  <c:v>-20898.841499999999</c:v>
                </c:pt>
                <c:pt idx="81">
                  <c:v>-7806.9152318130446</c:v>
                </c:pt>
                <c:pt idx="82">
                  <c:v>1749.9663469364684</c:v>
                </c:pt>
                <c:pt idx="83">
                  <c:v>-767.33365306353153</c:v>
                </c:pt>
                <c:pt idx="84">
                  <c:v>-20376.084974999998</c:v>
                </c:pt>
                <c:pt idx="85">
                  <c:v>-6473.4152318130446</c:v>
                </c:pt>
                <c:pt idx="86">
                  <c:v>-21409.584974999998</c:v>
                </c:pt>
                <c:pt idx="87">
                  <c:v>-505.13365306353148</c:v>
                </c:pt>
                <c:pt idx="88">
                  <c:v>-4978.5012533462059</c:v>
                </c:pt>
                <c:pt idx="89">
                  <c:v>2427.6663469364685</c:v>
                </c:pt>
                <c:pt idx="90">
                  <c:v>530.6163469364684</c:v>
                </c:pt>
                <c:pt idx="91">
                  <c:v>-61.13365306353159</c:v>
                </c:pt>
                <c:pt idx="92">
                  <c:v>2887.7987466537938</c:v>
                </c:pt>
                <c:pt idx="93">
                  <c:v>-306.98365306353151</c:v>
                </c:pt>
                <c:pt idx="94">
                  <c:v>-19955.934974999996</c:v>
                </c:pt>
                <c:pt idx="95">
                  <c:v>-485.78365306353157</c:v>
                </c:pt>
                <c:pt idx="96">
                  <c:v>-497.03365306353157</c:v>
                </c:pt>
                <c:pt idx="97">
                  <c:v>186.81634693646845</c:v>
                </c:pt>
                <c:pt idx="98">
                  <c:v>-2150.4012533462064</c:v>
                </c:pt>
                <c:pt idx="99">
                  <c:v>205.71634693646854</c:v>
                </c:pt>
                <c:pt idx="100">
                  <c:v>-510.98365306353151</c:v>
                </c:pt>
                <c:pt idx="101">
                  <c:v>-291.68365306353155</c:v>
                </c:pt>
                <c:pt idx="102">
                  <c:v>592.8663469364684</c:v>
                </c:pt>
                <c:pt idx="103">
                  <c:v>-740.93365306353155</c:v>
                </c:pt>
                <c:pt idx="104">
                  <c:v>-245.48365306353151</c:v>
                </c:pt>
                <c:pt idx="105">
                  <c:v>3438.2163469364687</c:v>
                </c:pt>
                <c:pt idx="106">
                  <c:v>3200.7663469364688</c:v>
                </c:pt>
                <c:pt idx="107">
                  <c:v>-9381.3152318130433</c:v>
                </c:pt>
                <c:pt idx="108">
                  <c:v>-6317.5652318130442</c:v>
                </c:pt>
                <c:pt idx="109">
                  <c:v>1817.9163469364687</c:v>
                </c:pt>
                <c:pt idx="110">
                  <c:v>-1465.9512533462071</c:v>
                </c:pt>
                <c:pt idx="111">
                  <c:v>-665.33365306353153</c:v>
                </c:pt>
                <c:pt idx="112">
                  <c:v>2634.9663469364687</c:v>
                </c:pt>
                <c:pt idx="113">
                  <c:v>-9280.8152318130433</c:v>
                </c:pt>
                <c:pt idx="114">
                  <c:v>6316.5663469364681</c:v>
                </c:pt>
                <c:pt idx="115">
                  <c:v>244.41634693646836</c:v>
                </c:pt>
                <c:pt idx="116">
                  <c:v>-6640.6652318130446</c:v>
                </c:pt>
                <c:pt idx="117">
                  <c:v>-8687.4152318130436</c:v>
                </c:pt>
                <c:pt idx="118">
                  <c:v>-345.83365306353153</c:v>
                </c:pt>
                <c:pt idx="119">
                  <c:v>-845.6336530635316</c:v>
                </c:pt>
                <c:pt idx="120">
                  <c:v>501.66634693646836</c:v>
                </c:pt>
                <c:pt idx="121">
                  <c:v>-536.93365306353155</c:v>
                </c:pt>
                <c:pt idx="122">
                  <c:v>-870.30125334620652</c:v>
                </c:pt>
                <c:pt idx="123">
                  <c:v>-4764.4512533462057</c:v>
                </c:pt>
                <c:pt idx="124">
                  <c:v>1.2663469364685014</c:v>
                </c:pt>
                <c:pt idx="125">
                  <c:v>-5082.3012533462061</c:v>
                </c:pt>
                <c:pt idx="126">
                  <c:v>2177.6163469364683</c:v>
                </c:pt>
                <c:pt idx="127">
                  <c:v>2193.0663469364681</c:v>
                </c:pt>
                <c:pt idx="128">
                  <c:v>435.59874665379317</c:v>
                </c:pt>
                <c:pt idx="129">
                  <c:v>-16920.014986243943</c:v>
                </c:pt>
                <c:pt idx="130">
                  <c:v>2781.5163469364688</c:v>
                </c:pt>
                <c:pt idx="131">
                  <c:v>-12936.935187504449</c:v>
                </c:pt>
                <c:pt idx="132">
                  <c:v>-809.63365306353148</c:v>
                </c:pt>
                <c:pt idx="133">
                  <c:v>-24366.2415</c:v>
                </c:pt>
                <c:pt idx="134">
                  <c:v>-348.08365306353153</c:v>
                </c:pt>
                <c:pt idx="135">
                  <c:v>-430.1336530635316</c:v>
                </c:pt>
                <c:pt idx="136">
                  <c:v>-7097.7152318130438</c:v>
                </c:pt>
                <c:pt idx="137">
                  <c:v>138.06634693646845</c:v>
                </c:pt>
                <c:pt idx="138">
                  <c:v>2345.0163469364688</c:v>
                </c:pt>
                <c:pt idx="139">
                  <c:v>-5146.2012533462057</c:v>
                </c:pt>
                <c:pt idx="140">
                  <c:v>-12804.635187504447</c:v>
                </c:pt>
                <c:pt idx="141">
                  <c:v>-4057.6652318130446</c:v>
                </c:pt>
                <c:pt idx="142">
                  <c:v>-6282.7652318130449</c:v>
                </c:pt>
                <c:pt idx="143">
                  <c:v>-8964.6152318130426</c:v>
                </c:pt>
                <c:pt idx="144">
                  <c:v>628.1163469364684</c:v>
                </c:pt>
                <c:pt idx="145">
                  <c:v>-2541.4512533462066</c:v>
                </c:pt>
                <c:pt idx="146">
                  <c:v>2499.0663469364681</c:v>
                </c:pt>
                <c:pt idx="147">
                  <c:v>3457.2663469364688</c:v>
                </c:pt>
                <c:pt idx="148">
                  <c:v>-698.18365306353155</c:v>
                </c:pt>
                <c:pt idx="149">
                  <c:v>-2470.9512533462066</c:v>
                </c:pt>
                <c:pt idx="150">
                  <c:v>-12939.914986243944</c:v>
                </c:pt>
                <c:pt idx="151">
                  <c:v>-693.68365306353155</c:v>
                </c:pt>
                <c:pt idx="152">
                  <c:v>4412.0163469364688</c:v>
                </c:pt>
                <c:pt idx="153">
                  <c:v>-5291.8512533462062</c:v>
                </c:pt>
                <c:pt idx="154">
                  <c:v>2842.1163469364683</c:v>
                </c:pt>
                <c:pt idx="155">
                  <c:v>-4251.4512533462057</c:v>
                </c:pt>
                <c:pt idx="156">
                  <c:v>2898.5163469364688</c:v>
                </c:pt>
                <c:pt idx="157">
                  <c:v>2337.6663469364685</c:v>
                </c:pt>
                <c:pt idx="158">
                  <c:v>-663.90125334620689</c:v>
                </c:pt>
                <c:pt idx="159">
                  <c:v>-8541.9152318130436</c:v>
                </c:pt>
                <c:pt idx="160">
                  <c:v>-142.73365306353151</c:v>
                </c:pt>
                <c:pt idx="161">
                  <c:v>-2376.3012533462065</c:v>
                </c:pt>
                <c:pt idx="162">
                  <c:v>-517.88365306353148</c:v>
                </c:pt>
                <c:pt idx="163">
                  <c:v>1236.2163469364684</c:v>
                </c:pt>
                <c:pt idx="164">
                  <c:v>2167.4163469364685</c:v>
                </c:pt>
                <c:pt idx="165">
                  <c:v>-20830.291499999999</c:v>
                </c:pt>
                <c:pt idx="166">
                  <c:v>-17104.514986243943</c:v>
                </c:pt>
                <c:pt idx="167">
                  <c:v>1725.6663469364687</c:v>
                </c:pt>
                <c:pt idx="168">
                  <c:v>-2238.9012533462064</c:v>
                </c:pt>
                <c:pt idx="169">
                  <c:v>-522.53365306353157</c:v>
                </c:pt>
                <c:pt idx="170">
                  <c:v>2015.9163469364687</c:v>
                </c:pt>
                <c:pt idx="171">
                  <c:v>2503.2663469364688</c:v>
                </c:pt>
                <c:pt idx="172">
                  <c:v>-723.38365306353148</c:v>
                </c:pt>
                <c:pt idx="173">
                  <c:v>-539.63365306353148</c:v>
                </c:pt>
                <c:pt idx="174">
                  <c:v>-1756.9512533462066</c:v>
                </c:pt>
                <c:pt idx="175">
                  <c:v>-9169.9652318130429</c:v>
                </c:pt>
                <c:pt idx="176">
                  <c:v>-238.58365306353164</c:v>
                </c:pt>
                <c:pt idx="177">
                  <c:v>-4854.7512533462059</c:v>
                </c:pt>
                <c:pt idx="178">
                  <c:v>5369.7663469364688</c:v>
                </c:pt>
                <c:pt idx="179">
                  <c:v>1844.0163469364686</c:v>
                </c:pt>
                <c:pt idx="180">
                  <c:v>2233.5663469364681</c:v>
                </c:pt>
                <c:pt idx="181">
                  <c:v>1949.6163469364685</c:v>
                </c:pt>
                <c:pt idx="182">
                  <c:v>2674.5663469364681</c:v>
                </c:pt>
                <c:pt idx="183">
                  <c:v>-4849.9512533462057</c:v>
                </c:pt>
                <c:pt idx="184">
                  <c:v>395.01634693646849</c:v>
                </c:pt>
                <c:pt idx="185">
                  <c:v>-415.43365306353155</c:v>
                </c:pt>
                <c:pt idx="186">
                  <c:v>2067.6663469364685</c:v>
                </c:pt>
                <c:pt idx="187">
                  <c:v>-13133.585187504448</c:v>
                </c:pt>
                <c:pt idx="188">
                  <c:v>-488.78365306353157</c:v>
                </c:pt>
                <c:pt idx="189">
                  <c:v>-164.6336530635316</c:v>
                </c:pt>
                <c:pt idx="190">
                  <c:v>-703.28365306353157</c:v>
                </c:pt>
                <c:pt idx="191">
                  <c:v>-5912.1152318130444</c:v>
                </c:pt>
                <c:pt idx="192">
                  <c:v>-792.98365306353151</c:v>
                </c:pt>
                <c:pt idx="193">
                  <c:v>1694.9163469364687</c:v>
                </c:pt>
                <c:pt idx="194">
                  <c:v>-59.483653063531499</c:v>
                </c:pt>
                <c:pt idx="195">
                  <c:v>-17033.264986243943</c:v>
                </c:pt>
                <c:pt idx="196">
                  <c:v>-545.18365306353155</c:v>
                </c:pt>
                <c:pt idx="197">
                  <c:v>2573.4663469364687</c:v>
                </c:pt>
                <c:pt idx="198">
                  <c:v>265.71634693646854</c:v>
                </c:pt>
                <c:pt idx="199">
                  <c:v>3408.066346936469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EE-47D8-96B8-71C784A9A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60799"/>
        <c:axId val="2090203263"/>
      </c:scatterChart>
      <c:valAx>
        <c:axId val="157326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90203263"/>
        <c:crosses val="autoZero"/>
        <c:crossBetween val="midCat"/>
      </c:valAx>
      <c:valAx>
        <c:axId val="209020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₩&quot;#,##0_);[Red]\(&quot;₩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326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 sz="1200" b="1" baseline="0"/>
              <a:t>TO-BE : </a:t>
            </a:r>
            <a:r>
              <a:rPr lang="ko-KR" altLang="en-US" sz="1200" b="1" baseline="0"/>
              <a:t>총 거래의 승</a:t>
            </a:r>
            <a:r>
              <a:rPr lang="en-US" altLang="ko-KR" sz="1200" b="1" baseline="0"/>
              <a:t>/</a:t>
            </a:r>
            <a:r>
              <a:rPr lang="ko-KR" altLang="en-US" sz="1200" b="1" baseline="0"/>
              <a:t>패 분포</a:t>
            </a:r>
            <a:endParaRPr lang="ko-KR" alt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'정책 시뮬레이션'!$P$41</c:f>
              <c:strCache>
                <c:ptCount val="1"/>
                <c:pt idx="0">
                  <c:v>영업 이익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bg1">
                    <a:alpha val="63000"/>
                  </a:schemeClr>
                </a:solidFill>
              </a:ln>
              <a:effectLst/>
            </c:spPr>
          </c:marker>
          <c:yVal>
            <c:numRef>
              <c:f>'정책 시뮬레이션'!$P$42:$P$241</c:f>
              <c:numCache>
                <c:formatCode>"₩"#,##0_);[Red]\("₩"#,##0\)</c:formatCode>
                <c:ptCount val="200"/>
                <c:pt idx="0">
                  <c:v>2093.9378634411028</c:v>
                </c:pt>
                <c:pt idx="1">
                  <c:v>-869.212161320051</c:v>
                </c:pt>
                <c:pt idx="2">
                  <c:v>-455.33912099003834</c:v>
                </c:pt>
                <c:pt idx="3">
                  <c:v>682.52339758082735</c:v>
                </c:pt>
                <c:pt idx="4">
                  <c:v>351.77786344110331</c:v>
                </c:pt>
                <c:pt idx="5">
                  <c:v>1189.0178634411031</c:v>
                </c:pt>
                <c:pt idx="6">
                  <c:v>3439.3778634411033</c:v>
                </c:pt>
                <c:pt idx="7">
                  <c:v>1340.6608790099613</c:v>
                </c:pt>
                <c:pt idx="8">
                  <c:v>3382.9778634411032</c:v>
                </c:pt>
                <c:pt idx="9">
                  <c:v>227.45786344110329</c:v>
                </c:pt>
                <c:pt idx="10">
                  <c:v>-5431.2877777777776</c:v>
                </c:pt>
                <c:pt idx="11">
                  <c:v>323.81786344110333</c:v>
                </c:pt>
                <c:pt idx="12">
                  <c:v>5571.2978634411029</c:v>
                </c:pt>
                <c:pt idx="13">
                  <c:v>467.22339758082734</c:v>
                </c:pt>
                <c:pt idx="14">
                  <c:v>1866.8978634411033</c:v>
                </c:pt>
                <c:pt idx="15">
                  <c:v>539.45786344110343</c:v>
                </c:pt>
                <c:pt idx="16">
                  <c:v>-887.08128086529575</c:v>
                </c:pt>
                <c:pt idx="17">
                  <c:v>-1006.852161320051</c:v>
                </c:pt>
                <c:pt idx="18">
                  <c:v>226.49786344110333</c:v>
                </c:pt>
                <c:pt idx="19">
                  <c:v>1011.6578634411035</c:v>
                </c:pt>
                <c:pt idx="20">
                  <c:v>1120.8233975808271</c:v>
                </c:pt>
                <c:pt idx="21">
                  <c:v>975.66783867994911</c:v>
                </c:pt>
                <c:pt idx="22">
                  <c:v>817.82339758082742</c:v>
                </c:pt>
                <c:pt idx="23">
                  <c:v>129.72339758082745</c:v>
                </c:pt>
                <c:pt idx="24">
                  <c:v>-2727.5212808652959</c:v>
                </c:pt>
                <c:pt idx="25">
                  <c:v>601.84903935102784</c:v>
                </c:pt>
                <c:pt idx="26">
                  <c:v>2286.5233975808278</c:v>
                </c:pt>
                <c:pt idx="27">
                  <c:v>241.62339758082749</c:v>
                </c:pt>
                <c:pt idx="28">
                  <c:v>1260.1233975808275</c:v>
                </c:pt>
                <c:pt idx="29">
                  <c:v>327.05786344110328</c:v>
                </c:pt>
                <c:pt idx="30">
                  <c:v>-1310.9361540394523</c:v>
                </c:pt>
                <c:pt idx="31">
                  <c:v>-81.750960648972296</c:v>
                </c:pt>
                <c:pt idx="32">
                  <c:v>247.22339758082745</c:v>
                </c:pt>
                <c:pt idx="33">
                  <c:v>94.737863441103286</c:v>
                </c:pt>
                <c:pt idx="34">
                  <c:v>495.89786344110337</c:v>
                </c:pt>
                <c:pt idx="35">
                  <c:v>102.62339758082749</c:v>
                </c:pt>
                <c:pt idx="36">
                  <c:v>1081.9233975808272</c:v>
                </c:pt>
                <c:pt idx="37">
                  <c:v>-702.89216132005106</c:v>
                </c:pt>
                <c:pt idx="38">
                  <c:v>2387.0451279473964</c:v>
                </c:pt>
                <c:pt idx="39">
                  <c:v>3272.749039351027</c:v>
                </c:pt>
                <c:pt idx="40">
                  <c:v>469.9778634411033</c:v>
                </c:pt>
                <c:pt idx="41">
                  <c:v>226.42339758082741</c:v>
                </c:pt>
                <c:pt idx="42">
                  <c:v>-787.43615403945228</c:v>
                </c:pt>
                <c:pt idx="43">
                  <c:v>412.763845960548</c:v>
                </c:pt>
                <c:pt idx="44">
                  <c:v>8560.257863441102</c:v>
                </c:pt>
                <c:pt idx="45">
                  <c:v>1025.2233975808272</c:v>
                </c:pt>
                <c:pt idx="46">
                  <c:v>170.12339758082749</c:v>
                </c:pt>
                <c:pt idx="47">
                  <c:v>-1728.8348720526035</c:v>
                </c:pt>
                <c:pt idx="48">
                  <c:v>1202.5233975808273</c:v>
                </c:pt>
                <c:pt idx="49">
                  <c:v>194.9378634411033</c:v>
                </c:pt>
                <c:pt idx="50">
                  <c:v>1275.667838679949</c:v>
                </c:pt>
                <c:pt idx="51">
                  <c:v>175.37786344110336</c:v>
                </c:pt>
                <c:pt idx="52">
                  <c:v>812.69786344110344</c:v>
                </c:pt>
                <c:pt idx="53">
                  <c:v>305.22339758082745</c:v>
                </c:pt>
                <c:pt idx="54">
                  <c:v>195.62339758082749</c:v>
                </c:pt>
                <c:pt idx="55">
                  <c:v>186.96384596054759</c:v>
                </c:pt>
                <c:pt idx="56">
                  <c:v>643.01786344110326</c:v>
                </c:pt>
                <c:pt idx="57">
                  <c:v>2291.2178634411034</c:v>
                </c:pt>
                <c:pt idx="58">
                  <c:v>-4017.7192558627021</c:v>
                </c:pt>
                <c:pt idx="59">
                  <c:v>-574.4391209900383</c:v>
                </c:pt>
                <c:pt idx="60">
                  <c:v>2433.657863441103</c:v>
                </c:pt>
                <c:pt idx="61">
                  <c:v>1685.5878386799486</c:v>
                </c:pt>
                <c:pt idx="62">
                  <c:v>1164.0233975808273</c:v>
                </c:pt>
                <c:pt idx="63">
                  <c:v>1713.5608790099616</c:v>
                </c:pt>
                <c:pt idx="64">
                  <c:v>129.77786344110336</c:v>
                </c:pt>
                <c:pt idx="65">
                  <c:v>448.49786344110339</c:v>
                </c:pt>
                <c:pt idx="66">
                  <c:v>2878.9778634411032</c:v>
                </c:pt>
                <c:pt idx="67">
                  <c:v>872.81786344110333</c:v>
                </c:pt>
                <c:pt idx="68">
                  <c:v>1090.4978634411034</c:v>
                </c:pt>
                <c:pt idx="69">
                  <c:v>970.49786344110339</c:v>
                </c:pt>
                <c:pt idx="70">
                  <c:v>-1022.572161320051</c:v>
                </c:pt>
                <c:pt idx="71">
                  <c:v>53.347838679949007</c:v>
                </c:pt>
                <c:pt idx="72">
                  <c:v>74.123397580827515</c:v>
                </c:pt>
                <c:pt idx="73">
                  <c:v>1996.8233975808273</c:v>
                </c:pt>
                <c:pt idx="74">
                  <c:v>-515.63615403945232</c:v>
                </c:pt>
                <c:pt idx="75">
                  <c:v>522.89786344110325</c:v>
                </c:pt>
                <c:pt idx="76">
                  <c:v>181.26783867994891</c:v>
                </c:pt>
                <c:pt idx="77">
                  <c:v>129.5378634411033</c:v>
                </c:pt>
                <c:pt idx="78">
                  <c:v>226.22339758082745</c:v>
                </c:pt>
                <c:pt idx="79">
                  <c:v>230.45786344110329</c:v>
                </c:pt>
                <c:pt idx="80">
                  <c:v>-1395.6058333333335</c:v>
                </c:pt>
                <c:pt idx="81">
                  <c:v>-741.59487205260336</c:v>
                </c:pt>
                <c:pt idx="82">
                  <c:v>2149.2578634411029</c:v>
                </c:pt>
                <c:pt idx="83">
                  <c:v>135.41786344110332</c:v>
                </c:pt>
                <c:pt idx="84">
                  <c:v>-4151.1439444444441</c:v>
                </c:pt>
                <c:pt idx="85">
                  <c:v>325.2051279473967</c:v>
                </c:pt>
                <c:pt idx="86">
                  <c:v>-4977.9439444444442</c:v>
                </c:pt>
                <c:pt idx="87">
                  <c:v>315.52339758082752</c:v>
                </c:pt>
                <c:pt idx="88">
                  <c:v>-773.212161320051</c:v>
                </c:pt>
                <c:pt idx="89">
                  <c:v>2270.7233975808272</c:v>
                </c:pt>
                <c:pt idx="90">
                  <c:v>1173.7778634411034</c:v>
                </c:pt>
                <c:pt idx="91">
                  <c:v>700.37786344110327</c:v>
                </c:pt>
                <c:pt idx="92">
                  <c:v>4719.2608790099621</c:v>
                </c:pt>
                <c:pt idx="93">
                  <c:v>447.62339758082749</c:v>
                </c:pt>
                <c:pt idx="94">
                  <c:v>-3815.0239444444442</c:v>
                </c:pt>
                <c:pt idx="95">
                  <c:v>328.42339758082738</c:v>
                </c:pt>
                <c:pt idx="96">
                  <c:v>351.65786344110325</c:v>
                </c:pt>
                <c:pt idx="97">
                  <c:v>1393.4433975808277</c:v>
                </c:pt>
                <c:pt idx="98">
                  <c:v>1360.4608790099621</c:v>
                </c:pt>
                <c:pt idx="99">
                  <c:v>913.85786344110352</c:v>
                </c:pt>
                <c:pt idx="100">
                  <c:v>649.12339758082749</c:v>
                </c:pt>
                <c:pt idx="101">
                  <c:v>515.93786344110333</c:v>
                </c:pt>
                <c:pt idx="102">
                  <c:v>1223.5778634411033</c:v>
                </c:pt>
                <c:pt idx="103">
                  <c:v>156.5378634411033</c:v>
                </c:pt>
                <c:pt idx="104">
                  <c:v>488.62339758082749</c:v>
                </c:pt>
                <c:pt idx="105">
                  <c:v>2944.423397580827</c:v>
                </c:pt>
                <c:pt idx="106">
                  <c:v>2786.1233975808273</c:v>
                </c:pt>
                <c:pt idx="107">
                  <c:v>-1462.8361540394521</c:v>
                </c:pt>
                <c:pt idx="108">
                  <c:v>579.66384596054786</c:v>
                </c:pt>
                <c:pt idx="109">
                  <c:v>1864.2233975808279</c:v>
                </c:pt>
                <c:pt idx="110">
                  <c:v>2036.8278386799484</c:v>
                </c:pt>
                <c:pt idx="111">
                  <c:v>484.48339758082739</c:v>
                </c:pt>
                <c:pt idx="112">
                  <c:v>2857.2578634411029</c:v>
                </c:pt>
                <c:pt idx="113">
                  <c:v>-1920.7148720526034</c:v>
                </c:pt>
                <c:pt idx="114">
                  <c:v>7931.8433975808257</c:v>
                </c:pt>
                <c:pt idx="115">
                  <c:v>944.81786344110333</c:v>
                </c:pt>
                <c:pt idx="116">
                  <c:v>191.40512794739664</c:v>
                </c:pt>
                <c:pt idx="117">
                  <c:v>-1445.9948720526036</c:v>
                </c:pt>
                <c:pt idx="118">
                  <c:v>472.61786344110328</c:v>
                </c:pt>
                <c:pt idx="119">
                  <c:v>72.777863441103307</c:v>
                </c:pt>
                <c:pt idx="120">
                  <c:v>1150.6178634411033</c:v>
                </c:pt>
                <c:pt idx="121">
                  <c:v>319.73786344110329</c:v>
                </c:pt>
                <c:pt idx="122">
                  <c:v>2213.8608790099615</c:v>
                </c:pt>
                <c:pt idx="123">
                  <c:v>-601.9721613200511</c:v>
                </c:pt>
                <c:pt idx="124">
                  <c:v>1195.5233975808278</c:v>
                </c:pt>
                <c:pt idx="125">
                  <c:v>-856.25216132005096</c:v>
                </c:pt>
                <c:pt idx="126">
                  <c:v>2104.0233975808278</c:v>
                </c:pt>
                <c:pt idx="127">
                  <c:v>2114.3233975808271</c:v>
                </c:pt>
                <c:pt idx="128">
                  <c:v>3084.460879009961</c:v>
                </c:pt>
                <c:pt idx="129">
                  <c:v>-3593.6392558627026</c:v>
                </c:pt>
                <c:pt idx="130">
                  <c:v>2974.4978634411032</c:v>
                </c:pt>
                <c:pt idx="131">
                  <c:v>-1899.850960648972</c:v>
                </c:pt>
                <c:pt idx="132">
                  <c:v>392.29786344110346</c:v>
                </c:pt>
                <c:pt idx="133">
                  <c:v>-3707.205833333333</c:v>
                </c:pt>
                <c:pt idx="134">
                  <c:v>420.22339758082745</c:v>
                </c:pt>
                <c:pt idx="135">
                  <c:v>405.17786344110334</c:v>
                </c:pt>
                <c:pt idx="136">
                  <c:v>-174.23487205260358</c:v>
                </c:pt>
                <c:pt idx="137">
                  <c:v>744.32339758082742</c:v>
                </c:pt>
                <c:pt idx="138">
                  <c:v>2215.6233975808277</c:v>
                </c:pt>
                <c:pt idx="139">
                  <c:v>-907.37216132005096</c:v>
                </c:pt>
                <c:pt idx="140">
                  <c:v>-1811.6509606489719</c:v>
                </c:pt>
                <c:pt idx="141">
                  <c:v>2257.8051279473962</c:v>
                </c:pt>
                <c:pt idx="142">
                  <c:v>2070.2838459605478</c:v>
                </c:pt>
                <c:pt idx="143">
                  <c:v>-1185.0361540394522</c:v>
                </c:pt>
                <c:pt idx="144">
                  <c:v>1071.0233975808273</c:v>
                </c:pt>
                <c:pt idx="145">
                  <c:v>1099.7608790099619</c:v>
                </c:pt>
                <c:pt idx="146">
                  <c:v>2318.3233975808271</c:v>
                </c:pt>
                <c:pt idx="147">
                  <c:v>2957.1233975808273</c:v>
                </c:pt>
                <c:pt idx="148">
                  <c:v>186.82339758082742</c:v>
                </c:pt>
                <c:pt idx="149">
                  <c:v>1146.7608790099619</c:v>
                </c:pt>
                <c:pt idx="150">
                  <c:v>28.58055810297401</c:v>
                </c:pt>
                <c:pt idx="151">
                  <c:v>194.33786344110328</c:v>
                </c:pt>
                <c:pt idx="152">
                  <c:v>4278.8978634411033</c:v>
                </c:pt>
                <c:pt idx="153">
                  <c:v>-240.05216132005097</c:v>
                </c:pt>
                <c:pt idx="154">
                  <c:v>2547.0233975808269</c:v>
                </c:pt>
                <c:pt idx="155">
                  <c:v>-191.57216132005107</c:v>
                </c:pt>
                <c:pt idx="156">
                  <c:v>3068.0978634411031</c:v>
                </c:pt>
                <c:pt idx="157">
                  <c:v>2210.7233975808272</c:v>
                </c:pt>
                <c:pt idx="158">
                  <c:v>2678.4678386799487</c:v>
                </c:pt>
                <c:pt idx="159">
                  <c:v>-1329.5948720526035</c:v>
                </c:pt>
                <c:pt idx="160">
                  <c:v>557.12339758082749</c:v>
                </c:pt>
                <c:pt idx="161">
                  <c:v>1308.5478386799491</c:v>
                </c:pt>
                <c:pt idx="162">
                  <c:v>334.97786344110335</c:v>
                </c:pt>
                <c:pt idx="163">
                  <c:v>1476.4233975808274</c:v>
                </c:pt>
                <c:pt idx="164">
                  <c:v>2097.2233975808276</c:v>
                </c:pt>
                <c:pt idx="165">
                  <c:v>-1349.9058333333332</c:v>
                </c:pt>
                <c:pt idx="166">
                  <c:v>-2747.8194418970261</c:v>
                </c:pt>
                <c:pt idx="167">
                  <c:v>2129.8178634411033</c:v>
                </c:pt>
                <c:pt idx="168">
                  <c:v>1301.4608790099621</c:v>
                </c:pt>
                <c:pt idx="169">
                  <c:v>303.92339758082738</c:v>
                </c:pt>
                <c:pt idx="170">
                  <c:v>2362.0178634411031</c:v>
                </c:pt>
                <c:pt idx="171">
                  <c:v>2751.8978634411033</c:v>
                </c:pt>
                <c:pt idx="172">
                  <c:v>170.57786344110337</c:v>
                </c:pt>
                <c:pt idx="173">
                  <c:v>752.29786344110335</c:v>
                </c:pt>
                <c:pt idx="174">
                  <c:v>1622.7608790099619</c:v>
                </c:pt>
                <c:pt idx="175">
                  <c:v>-1832.0348720526035</c:v>
                </c:pt>
                <c:pt idx="176">
                  <c:v>558.41786344110324</c:v>
                </c:pt>
                <c:pt idx="177">
                  <c:v>-674.212161320051</c:v>
                </c:pt>
                <c:pt idx="178">
                  <c:v>4232.1233975808273</c:v>
                </c:pt>
                <c:pt idx="179">
                  <c:v>1881.6233975808277</c:v>
                </c:pt>
                <c:pt idx="180">
                  <c:v>2141.3233975808271</c:v>
                </c:pt>
                <c:pt idx="181">
                  <c:v>1952.0233975808276</c:v>
                </c:pt>
                <c:pt idx="182">
                  <c:v>2435.3233975808271</c:v>
                </c:pt>
                <c:pt idx="183">
                  <c:v>-439.23912099003837</c:v>
                </c:pt>
                <c:pt idx="184">
                  <c:v>1065.2978634411033</c:v>
                </c:pt>
                <c:pt idx="185">
                  <c:v>917.89786344110325</c:v>
                </c:pt>
                <c:pt idx="186">
                  <c:v>2030.7233975808279</c:v>
                </c:pt>
                <c:pt idx="187">
                  <c:v>-2030.9509606489719</c:v>
                </c:pt>
                <c:pt idx="188">
                  <c:v>326.42339758082738</c:v>
                </c:pt>
                <c:pt idx="189">
                  <c:v>542.52339758082735</c:v>
                </c:pt>
                <c:pt idx="190">
                  <c:v>183.42339758082741</c:v>
                </c:pt>
                <c:pt idx="191">
                  <c:v>849.96384596054759</c:v>
                </c:pt>
                <c:pt idx="192">
                  <c:v>114.89786344110334</c:v>
                </c:pt>
                <c:pt idx="193">
                  <c:v>1782.2233975808276</c:v>
                </c:pt>
                <c:pt idx="194">
                  <c:v>701.69786344110344</c:v>
                </c:pt>
                <c:pt idx="195">
                  <c:v>-3684.2392558627021</c:v>
                </c:pt>
                <c:pt idx="196">
                  <c:v>313.13786344110326</c:v>
                </c:pt>
                <c:pt idx="197">
                  <c:v>2808.0578634411031</c:v>
                </c:pt>
                <c:pt idx="198">
                  <c:v>961.85786344110352</c:v>
                </c:pt>
                <c:pt idx="199">
                  <c:v>3475.7378634411039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2C-4E9F-8404-43163EA999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3260799"/>
        <c:axId val="2090203263"/>
      </c:scatterChart>
      <c:valAx>
        <c:axId val="1573260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₩&quot;#,##0_);[Red]\(&quot;₩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90203263"/>
        <c:crosses val="autoZero"/>
        <c:crossBetween val="midCat"/>
      </c:valAx>
      <c:valAx>
        <c:axId val="2090203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₩&quot;#,##0_);[Red]\(&quot;₩&quot;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3260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200" b="1"/>
              <a:t>사용 비중에 따른 영업 이익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'정책 시뮬레이션'!$L$14</c:f>
              <c:strCache>
                <c:ptCount val="1"/>
                <c:pt idx="0">
                  <c:v>평균 마진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'정책 시뮬레이션'!$K$15:$K$23</c:f>
              <c:numCache>
                <c:formatCode>0%</c:formatCode>
                <c:ptCount val="9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</c:numCache>
            </c:numRef>
          </c:cat>
          <c:val>
            <c:numRef>
              <c:f>'정책 시뮬레이션'!$L$15:$L$23</c:f>
              <c:numCache>
                <c:formatCode>_("₩"* #,##0_);_("₩"* \(#,##0\);_("₩"* "-"_);_(@_)</c:formatCode>
                <c:ptCount val="9"/>
                <c:pt idx="0">
                  <c:v>688.62964156110775</c:v>
                </c:pt>
                <c:pt idx="1">
                  <c:v>350.31247912080494</c:v>
                </c:pt>
                <c:pt idx="2">
                  <c:v>446.02316393091428</c:v>
                </c:pt>
                <c:pt idx="3">
                  <c:v>16.238626780478711</c:v>
                </c:pt>
                <c:pt idx="4">
                  <c:v>-80.531438918172583</c:v>
                </c:pt>
                <c:pt idx="5">
                  <c:v>-256.70443683741081</c:v>
                </c:pt>
                <c:pt idx="6">
                  <c:v>-274.23688760603471</c:v>
                </c:pt>
                <c:pt idx="7">
                  <c:v>38.536781089841497</c:v>
                </c:pt>
                <c:pt idx="8">
                  <c:v>-326.6364623719565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4C-4D76-85E2-19D0B5D7B4F2}"/>
            </c:ext>
          </c:extLst>
        </c:ser>
        <c:ser>
          <c:idx val="1"/>
          <c:order val="1"/>
          <c:tx>
            <c:strRef>
              <c:f>'정책 시뮬레이션'!$M$14</c:f>
              <c:strCache>
                <c:ptCount val="1"/>
                <c:pt idx="0">
                  <c:v>표준편차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'정책 시뮬레이션'!$K$15:$K$23</c:f>
              <c:numCache>
                <c:formatCode>0%</c:formatCode>
                <c:ptCount val="9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</c:numCache>
            </c:numRef>
          </c:cat>
          <c:val>
            <c:numRef>
              <c:f>'정책 시뮬레이션'!$M$15:$M$23</c:f>
              <c:numCache>
                <c:formatCode>_("₩"* #,##0_);_("₩"* \(#,##0\);_("₩"* "-"_);_(@_)</c:formatCode>
                <c:ptCount val="9"/>
                <c:pt idx="0">
                  <c:v>1831.477153202309</c:v>
                </c:pt>
                <c:pt idx="1">
                  <c:v>1694.8232034625876</c:v>
                </c:pt>
                <c:pt idx="2">
                  <c:v>1734.0732624300315</c:v>
                </c:pt>
                <c:pt idx="3">
                  <c:v>2171.6573227960812</c:v>
                </c:pt>
                <c:pt idx="4">
                  <c:v>2689.6963512706461</c:v>
                </c:pt>
                <c:pt idx="5">
                  <c:v>2801.6070583491282</c:v>
                </c:pt>
                <c:pt idx="6">
                  <c:v>2667.7440513648762</c:v>
                </c:pt>
                <c:pt idx="7">
                  <c:v>2878.741196384763</c:v>
                </c:pt>
                <c:pt idx="8">
                  <c:v>3003.097219218093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4C-4D76-85E2-19D0B5D7B4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1798831"/>
        <c:axId val="2089242175"/>
      </c:barChart>
      <c:catAx>
        <c:axId val="1451798831"/>
        <c:scaling>
          <c:orientation val="minMax"/>
        </c:scaling>
        <c:delete val="0"/>
        <c:axPos val="b"/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9242175"/>
        <c:crosses val="autoZero"/>
        <c:auto val="1"/>
        <c:lblAlgn val="ctr"/>
        <c:lblOffset val="100"/>
        <c:noMultiLvlLbl val="0"/>
      </c:catAx>
      <c:valAx>
        <c:axId val="2089242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₩&quot;* #,##0_);_(&quot;₩&quot;* \(#,##0\);_(&quot;₩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1798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200"/>
              <a:t>첫구매 전 보상축적 일 별</a:t>
            </a:r>
            <a:r>
              <a:rPr lang="en-US" altLang="ko-KR" sz="1200"/>
              <a:t>,</a:t>
            </a:r>
            <a:br>
              <a:rPr lang="en-US" altLang="ko-KR" sz="1200"/>
            </a:br>
            <a:r>
              <a:rPr lang="ko-KR" altLang="en-US" sz="1200"/>
              <a:t>파산</a:t>
            </a:r>
            <a:r>
              <a:rPr lang="en-US" altLang="ko-KR" sz="1200" baseline="0"/>
              <a:t> / </a:t>
            </a:r>
            <a:r>
              <a:rPr lang="ko-KR" altLang="en-US" sz="1200" baseline="0"/>
              <a:t>이탈 </a:t>
            </a:r>
            <a:r>
              <a:rPr lang="en-US" altLang="ko-KR" sz="1200" baseline="0"/>
              <a:t>/ </a:t>
            </a:r>
            <a:r>
              <a:rPr lang="ko-KR" altLang="en-US" sz="1200" baseline="0"/>
              <a:t>재구매 </a:t>
            </a:r>
            <a:r>
              <a:rPr lang="en-US" altLang="ko-KR" sz="1200" baseline="0"/>
              <a:t>/ </a:t>
            </a:r>
            <a:r>
              <a:rPr lang="ko-KR" altLang="en-US" sz="1200" baseline="0"/>
              <a:t>쇼지</a:t>
            </a:r>
            <a:r>
              <a:rPr lang="en-US" altLang="ko-KR" sz="1200" baseline="0"/>
              <a:t> </a:t>
            </a:r>
            <a:r>
              <a:rPr lang="ko-KR" altLang="en-US" sz="1200" baseline="0"/>
              <a:t>비중 관계</a:t>
            </a:r>
            <a:endParaRPr lang="ko-KR" altLang="en-US" sz="12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'첫구매-리워드횟수'!$J$1</c:f>
              <c:strCache>
                <c:ptCount val="1"/>
                <c:pt idx="0">
                  <c:v>첫 파산율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'첫구매-리워드횟수'!$J$2:$J$78</c:f>
              <c:numCache>
                <c:formatCode>0%</c:formatCode>
                <c:ptCount val="77"/>
                <c:pt idx="0">
                  <c:v>0.71505376344086025</c:v>
                </c:pt>
                <c:pt idx="1">
                  <c:v>0.34848484848484851</c:v>
                </c:pt>
                <c:pt idx="2">
                  <c:v>0.29101796407185626</c:v>
                </c:pt>
                <c:pt idx="3">
                  <c:v>0.26888217522658608</c:v>
                </c:pt>
                <c:pt idx="4">
                  <c:v>0.29629629629629628</c:v>
                </c:pt>
                <c:pt idx="5">
                  <c:v>0.306640625</c:v>
                </c:pt>
                <c:pt idx="6">
                  <c:v>0.28888888888888886</c:v>
                </c:pt>
                <c:pt idx="7">
                  <c:v>0.33260869565217394</c:v>
                </c:pt>
                <c:pt idx="8">
                  <c:v>0.27635327635327633</c:v>
                </c:pt>
                <c:pt idx="9">
                  <c:v>0.33787465940054495</c:v>
                </c:pt>
                <c:pt idx="10">
                  <c:v>0.36549707602339182</c:v>
                </c:pt>
                <c:pt idx="11">
                  <c:v>0.34883720930232559</c:v>
                </c:pt>
                <c:pt idx="12">
                  <c:v>0.30277777777777776</c:v>
                </c:pt>
                <c:pt idx="13">
                  <c:v>0.40942928039702231</c:v>
                </c:pt>
                <c:pt idx="14">
                  <c:v>0.40145985401459855</c:v>
                </c:pt>
                <c:pt idx="15">
                  <c:v>0.36175710594315247</c:v>
                </c:pt>
                <c:pt idx="16">
                  <c:v>0.38440860215053763</c:v>
                </c:pt>
                <c:pt idx="17">
                  <c:v>0.46368715083798884</c:v>
                </c:pt>
                <c:pt idx="18">
                  <c:v>0.3792134831460674</c:v>
                </c:pt>
                <c:pt idx="19">
                  <c:v>0.3543307086614173</c:v>
                </c:pt>
                <c:pt idx="20">
                  <c:v>0.40355329949238578</c:v>
                </c:pt>
                <c:pt idx="21">
                  <c:v>0.40898345153664301</c:v>
                </c:pt>
                <c:pt idx="22">
                  <c:v>0.40546697038724372</c:v>
                </c:pt>
                <c:pt idx="23">
                  <c:v>0.42263279445727481</c:v>
                </c:pt>
                <c:pt idx="24">
                  <c:v>0.39058823529411762</c:v>
                </c:pt>
                <c:pt idx="25">
                  <c:v>0.4360587002096436</c:v>
                </c:pt>
                <c:pt idx="26">
                  <c:v>0.3978102189781022</c:v>
                </c:pt>
                <c:pt idx="27">
                  <c:v>0.46902654867256638</c:v>
                </c:pt>
                <c:pt idx="28">
                  <c:v>0.50102880658436211</c:v>
                </c:pt>
                <c:pt idx="29">
                  <c:v>0.43813847900113506</c:v>
                </c:pt>
                <c:pt idx="30">
                  <c:v>0.43473325766174803</c:v>
                </c:pt>
                <c:pt idx="31">
                  <c:v>0.43868394815553341</c:v>
                </c:pt>
                <c:pt idx="32">
                  <c:v>0.23217247097844113</c:v>
                </c:pt>
                <c:pt idx="33">
                  <c:v>0.33333333333333331</c:v>
                </c:pt>
                <c:pt idx="34">
                  <c:v>0.33161953727506427</c:v>
                </c:pt>
                <c:pt idx="35">
                  <c:v>0.33613445378151263</c:v>
                </c:pt>
                <c:pt idx="36">
                  <c:v>0.35</c:v>
                </c:pt>
                <c:pt idx="37">
                  <c:v>0.36280487804878048</c:v>
                </c:pt>
                <c:pt idx="38">
                  <c:v>0.37704918032786883</c:v>
                </c:pt>
                <c:pt idx="39">
                  <c:v>0.34662576687116564</c:v>
                </c:pt>
                <c:pt idx="40">
                  <c:v>0.40192926045016075</c:v>
                </c:pt>
                <c:pt idx="41">
                  <c:v>0.30944625407166126</c:v>
                </c:pt>
                <c:pt idx="42">
                  <c:v>0.37609329446064138</c:v>
                </c:pt>
                <c:pt idx="43">
                  <c:v>0.31989247311827956</c:v>
                </c:pt>
                <c:pt idx="44">
                  <c:v>0.33002481389578164</c:v>
                </c:pt>
                <c:pt idx="45">
                  <c:v>0.31874999999999998</c:v>
                </c:pt>
                <c:pt idx="46">
                  <c:v>0.26411657559198543</c:v>
                </c:pt>
                <c:pt idx="47">
                  <c:v>0.27495621716287216</c:v>
                </c:pt>
                <c:pt idx="48">
                  <c:v>0.24385964912280703</c:v>
                </c:pt>
                <c:pt idx="49">
                  <c:v>0.2508650519031142</c:v>
                </c:pt>
                <c:pt idx="50">
                  <c:v>0.25660377358490566</c:v>
                </c:pt>
                <c:pt idx="51">
                  <c:v>0.24189526184538654</c:v>
                </c:pt>
                <c:pt idx="52">
                  <c:v>0.28266666666666668</c:v>
                </c:pt>
                <c:pt idx="53">
                  <c:v>0.27731092436974791</c:v>
                </c:pt>
                <c:pt idx="54">
                  <c:v>0.29865771812080538</c:v>
                </c:pt>
                <c:pt idx="55">
                  <c:v>0.31791907514450868</c:v>
                </c:pt>
                <c:pt idx="56">
                  <c:v>0.28402366863905326</c:v>
                </c:pt>
                <c:pt idx="57">
                  <c:v>0.3</c:v>
                </c:pt>
                <c:pt idx="58">
                  <c:v>0.2764505119453925</c:v>
                </c:pt>
                <c:pt idx="59">
                  <c:v>0.26609442060085836</c:v>
                </c:pt>
                <c:pt idx="60">
                  <c:v>0.2908366533864542</c:v>
                </c:pt>
                <c:pt idx="61">
                  <c:v>0.26829268292682928</c:v>
                </c:pt>
                <c:pt idx="62">
                  <c:v>0.29553264604810997</c:v>
                </c:pt>
                <c:pt idx="63">
                  <c:v>0.24050632911392406</c:v>
                </c:pt>
                <c:pt idx="64">
                  <c:v>0.24573378839590443</c:v>
                </c:pt>
                <c:pt idx="65">
                  <c:v>0.27038626609442062</c:v>
                </c:pt>
                <c:pt idx="66">
                  <c:v>0.28037383177570091</c:v>
                </c:pt>
                <c:pt idx="67">
                  <c:v>0.22959183673469388</c:v>
                </c:pt>
                <c:pt idx="68">
                  <c:v>0.29767441860465116</c:v>
                </c:pt>
                <c:pt idx="69">
                  <c:v>0.30869565217391304</c:v>
                </c:pt>
                <c:pt idx="70">
                  <c:v>0.22772277227722773</c:v>
                </c:pt>
                <c:pt idx="71">
                  <c:v>0.20915032679738563</c:v>
                </c:pt>
                <c:pt idx="72">
                  <c:v>0.14414414414414414</c:v>
                </c:pt>
                <c:pt idx="73">
                  <c:v>0.25</c:v>
                </c:pt>
                <c:pt idx="74">
                  <c:v>0.12195121951219512</c:v>
                </c:pt>
                <c:pt idx="76">
                  <c:v>0.32248541261461516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CC-489F-A0A1-CF75F6C623B5}"/>
            </c:ext>
          </c:extLst>
        </c:ser>
        <c:ser>
          <c:idx val="1"/>
          <c:order val="1"/>
          <c:tx>
            <c:strRef>
              <c:f>'첫구매-리워드횟수'!$K$1</c:f>
              <c:strCache>
                <c:ptCount val="1"/>
                <c:pt idx="0">
                  <c:v>이탈율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'첫구매-리워드횟수'!$K$2:$K$78</c:f>
              <c:numCache>
                <c:formatCode>0%</c:formatCode>
                <c:ptCount val="77"/>
                <c:pt idx="0">
                  <c:v>0.90053763440860213</c:v>
                </c:pt>
                <c:pt idx="1">
                  <c:v>0.72727272727272729</c:v>
                </c:pt>
                <c:pt idx="2">
                  <c:v>0.56047904191616771</c:v>
                </c:pt>
                <c:pt idx="3">
                  <c:v>0.57552870090634445</c:v>
                </c:pt>
                <c:pt idx="4">
                  <c:v>0.59964726631393295</c:v>
                </c:pt>
                <c:pt idx="5">
                  <c:v>0.5546875</c:v>
                </c:pt>
                <c:pt idx="6">
                  <c:v>0.51515151515151514</c:v>
                </c:pt>
                <c:pt idx="7">
                  <c:v>0.5</c:v>
                </c:pt>
                <c:pt idx="8">
                  <c:v>0.55555555555555558</c:v>
                </c:pt>
                <c:pt idx="9">
                  <c:v>0.52043596730245234</c:v>
                </c:pt>
                <c:pt idx="10">
                  <c:v>0.59064327485380119</c:v>
                </c:pt>
                <c:pt idx="11">
                  <c:v>0.55813953488372092</c:v>
                </c:pt>
                <c:pt idx="12">
                  <c:v>0.52777777777777779</c:v>
                </c:pt>
                <c:pt idx="13">
                  <c:v>0.53598014888337464</c:v>
                </c:pt>
                <c:pt idx="14">
                  <c:v>0.47688564476885642</c:v>
                </c:pt>
                <c:pt idx="15">
                  <c:v>0.49870801033591733</c:v>
                </c:pt>
                <c:pt idx="16">
                  <c:v>0.489247311827957</c:v>
                </c:pt>
                <c:pt idx="17">
                  <c:v>0.46368715083798884</c:v>
                </c:pt>
                <c:pt idx="18">
                  <c:v>0.5</c:v>
                </c:pt>
                <c:pt idx="19">
                  <c:v>0.46719160104986879</c:v>
                </c:pt>
                <c:pt idx="20">
                  <c:v>0.42131979695431471</c:v>
                </c:pt>
                <c:pt idx="21">
                  <c:v>0.44680851063829785</c:v>
                </c:pt>
                <c:pt idx="22">
                  <c:v>0.46697038724373574</c:v>
                </c:pt>
                <c:pt idx="23">
                  <c:v>0.40646651270207851</c:v>
                </c:pt>
                <c:pt idx="24">
                  <c:v>0.45176470588235296</c:v>
                </c:pt>
                <c:pt idx="25">
                  <c:v>0.45073375262054505</c:v>
                </c:pt>
                <c:pt idx="26">
                  <c:v>0.43795620437956206</c:v>
                </c:pt>
                <c:pt idx="27">
                  <c:v>0.41150442477876104</c:v>
                </c:pt>
                <c:pt idx="28">
                  <c:v>0.33744855967078191</c:v>
                </c:pt>
                <c:pt idx="29">
                  <c:v>0.33144154370034051</c:v>
                </c:pt>
                <c:pt idx="30">
                  <c:v>0.30192962542565266</c:v>
                </c:pt>
                <c:pt idx="31">
                  <c:v>0.25922233300099701</c:v>
                </c:pt>
                <c:pt idx="32">
                  <c:v>0.33333333333333331</c:v>
                </c:pt>
                <c:pt idx="33">
                  <c:v>0.41456582633053224</c:v>
                </c:pt>
                <c:pt idx="34">
                  <c:v>0.38817480719794345</c:v>
                </c:pt>
                <c:pt idx="35">
                  <c:v>0.36974789915966388</c:v>
                </c:pt>
                <c:pt idx="36">
                  <c:v>0.33235294117647057</c:v>
                </c:pt>
                <c:pt idx="37">
                  <c:v>0.38414634146341464</c:v>
                </c:pt>
                <c:pt idx="38">
                  <c:v>0.38688524590163936</c:v>
                </c:pt>
                <c:pt idx="39">
                  <c:v>0.39570552147239263</c:v>
                </c:pt>
                <c:pt idx="40">
                  <c:v>0.39549839228295819</c:v>
                </c:pt>
                <c:pt idx="41">
                  <c:v>0.31921824104234525</c:v>
                </c:pt>
                <c:pt idx="42">
                  <c:v>0.33819241982507287</c:v>
                </c:pt>
                <c:pt idx="43">
                  <c:v>0.31451612903225806</c:v>
                </c:pt>
                <c:pt idx="44">
                  <c:v>0.29528535980148884</c:v>
                </c:pt>
                <c:pt idx="45">
                  <c:v>0.26874999999999999</c:v>
                </c:pt>
                <c:pt idx="46">
                  <c:v>0.28779599271402551</c:v>
                </c:pt>
                <c:pt idx="47">
                  <c:v>0.29071803852889666</c:v>
                </c:pt>
                <c:pt idx="48">
                  <c:v>0.28421052631578947</c:v>
                </c:pt>
                <c:pt idx="49">
                  <c:v>0.31314878892733566</c:v>
                </c:pt>
                <c:pt idx="50">
                  <c:v>0.29056603773584905</c:v>
                </c:pt>
                <c:pt idx="51">
                  <c:v>0.29925187032418954</c:v>
                </c:pt>
                <c:pt idx="52">
                  <c:v>0.27466666666666667</c:v>
                </c:pt>
                <c:pt idx="53">
                  <c:v>0.27450980392156865</c:v>
                </c:pt>
                <c:pt idx="54">
                  <c:v>0.26845637583892618</c:v>
                </c:pt>
                <c:pt idx="55">
                  <c:v>0.2947976878612717</c:v>
                </c:pt>
                <c:pt idx="56">
                  <c:v>0.25147928994082841</c:v>
                </c:pt>
                <c:pt idx="57">
                  <c:v>0.22758620689655173</c:v>
                </c:pt>
                <c:pt idx="58">
                  <c:v>0.21843003412969283</c:v>
                </c:pt>
                <c:pt idx="59">
                  <c:v>0.23605150214592274</c:v>
                </c:pt>
                <c:pt idx="60">
                  <c:v>0.20717131474103587</c:v>
                </c:pt>
                <c:pt idx="61">
                  <c:v>0.20209059233449478</c:v>
                </c:pt>
                <c:pt idx="62">
                  <c:v>0.24398625429553264</c:v>
                </c:pt>
                <c:pt idx="63">
                  <c:v>0.19303797468354431</c:v>
                </c:pt>
                <c:pt idx="64">
                  <c:v>0.19453924914675769</c:v>
                </c:pt>
                <c:pt idx="65">
                  <c:v>0.15879828326180256</c:v>
                </c:pt>
                <c:pt idx="66">
                  <c:v>0.20560747663551401</c:v>
                </c:pt>
                <c:pt idx="67">
                  <c:v>0.11224489795918367</c:v>
                </c:pt>
                <c:pt idx="68">
                  <c:v>0.20930232558139536</c:v>
                </c:pt>
                <c:pt idx="69">
                  <c:v>0.20869565217391303</c:v>
                </c:pt>
                <c:pt idx="70">
                  <c:v>0.15841584158415842</c:v>
                </c:pt>
                <c:pt idx="71">
                  <c:v>0.19607843137254902</c:v>
                </c:pt>
                <c:pt idx="72">
                  <c:v>0.11711711711711711</c:v>
                </c:pt>
                <c:pt idx="73">
                  <c:v>0.11904761904761904</c:v>
                </c:pt>
                <c:pt idx="74">
                  <c:v>7.3170731707317069E-2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DCC-489F-A0A1-CF75F6C623B5}"/>
            </c:ext>
          </c:extLst>
        </c:ser>
        <c:ser>
          <c:idx val="2"/>
          <c:order val="2"/>
          <c:tx>
            <c:strRef>
              <c:f>'첫구매-리워드횟수'!$L$1</c:f>
              <c:strCache>
                <c:ptCount val="1"/>
                <c:pt idx="0">
                  <c:v>재구매율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'첫구매-리워드횟수'!$L$2:$L$78</c:f>
              <c:numCache>
                <c:formatCode>0%</c:formatCode>
                <c:ptCount val="77"/>
                <c:pt idx="0">
                  <c:v>0.12365591397849462</c:v>
                </c:pt>
                <c:pt idx="1">
                  <c:v>0.22853535353535354</c:v>
                </c:pt>
                <c:pt idx="2">
                  <c:v>0.34491017964071857</c:v>
                </c:pt>
                <c:pt idx="3">
                  <c:v>0.35196374622356497</c:v>
                </c:pt>
                <c:pt idx="4">
                  <c:v>0.33156966490299822</c:v>
                </c:pt>
                <c:pt idx="5">
                  <c:v>0.3203125</c:v>
                </c:pt>
                <c:pt idx="6">
                  <c:v>0.37777777777777777</c:v>
                </c:pt>
                <c:pt idx="7">
                  <c:v>0.35</c:v>
                </c:pt>
                <c:pt idx="8">
                  <c:v>0.37037037037037035</c:v>
                </c:pt>
                <c:pt idx="9">
                  <c:v>0.31880108991825612</c:v>
                </c:pt>
                <c:pt idx="10">
                  <c:v>0.30994152046783624</c:v>
                </c:pt>
                <c:pt idx="11">
                  <c:v>0.30232558139534882</c:v>
                </c:pt>
                <c:pt idx="12">
                  <c:v>0.29444444444444445</c:v>
                </c:pt>
                <c:pt idx="13">
                  <c:v>0.34739454094292804</c:v>
                </c:pt>
                <c:pt idx="14">
                  <c:v>0.32603406326034062</c:v>
                </c:pt>
                <c:pt idx="15">
                  <c:v>0.30232558139534882</c:v>
                </c:pt>
                <c:pt idx="16">
                  <c:v>0.34139784946236557</c:v>
                </c:pt>
                <c:pt idx="17">
                  <c:v>0.31005586592178769</c:v>
                </c:pt>
                <c:pt idx="18">
                  <c:v>0.3398876404494382</c:v>
                </c:pt>
                <c:pt idx="19">
                  <c:v>0.33595800524934383</c:v>
                </c:pt>
                <c:pt idx="20">
                  <c:v>0.34771573604060912</c:v>
                </c:pt>
                <c:pt idx="21">
                  <c:v>0.35933806146572106</c:v>
                </c:pt>
                <c:pt idx="22">
                  <c:v>0.35763097949886102</c:v>
                </c:pt>
                <c:pt idx="23">
                  <c:v>0.37644341801385683</c:v>
                </c:pt>
                <c:pt idx="24">
                  <c:v>0.28705882352941176</c:v>
                </c:pt>
                <c:pt idx="25">
                  <c:v>0.32075471698113206</c:v>
                </c:pt>
                <c:pt idx="26">
                  <c:v>0.3978102189781022</c:v>
                </c:pt>
                <c:pt idx="27">
                  <c:v>0.38348082595870209</c:v>
                </c:pt>
                <c:pt idx="28">
                  <c:v>0.43106995884773663</c:v>
                </c:pt>
                <c:pt idx="29">
                  <c:v>0.45289443813847902</c:v>
                </c:pt>
                <c:pt idx="30">
                  <c:v>0.48127128263337116</c:v>
                </c:pt>
                <c:pt idx="31">
                  <c:v>0.47457627118644069</c:v>
                </c:pt>
                <c:pt idx="32">
                  <c:v>0.44610281923714762</c:v>
                </c:pt>
                <c:pt idx="33">
                  <c:v>0.30252100840336132</c:v>
                </c:pt>
                <c:pt idx="34">
                  <c:v>0.3110539845758355</c:v>
                </c:pt>
                <c:pt idx="35">
                  <c:v>0.31092436974789917</c:v>
                </c:pt>
                <c:pt idx="36">
                  <c:v>0.29411764705882354</c:v>
                </c:pt>
                <c:pt idx="37">
                  <c:v>0.3048780487804878</c:v>
                </c:pt>
                <c:pt idx="38">
                  <c:v>0.28524590163934427</c:v>
                </c:pt>
                <c:pt idx="39">
                  <c:v>0.2822085889570552</c:v>
                </c:pt>
                <c:pt idx="40">
                  <c:v>0.27009646302250806</c:v>
                </c:pt>
                <c:pt idx="41">
                  <c:v>0.28013029315960913</c:v>
                </c:pt>
                <c:pt idx="42">
                  <c:v>0.28279883381924198</c:v>
                </c:pt>
                <c:pt idx="43">
                  <c:v>0.2768817204301075</c:v>
                </c:pt>
                <c:pt idx="44">
                  <c:v>0.28287841191066998</c:v>
                </c:pt>
                <c:pt idx="45">
                  <c:v>0.26041666666666669</c:v>
                </c:pt>
                <c:pt idx="46">
                  <c:v>0.29143897996357016</c:v>
                </c:pt>
                <c:pt idx="47">
                  <c:v>0.25919439579684761</c:v>
                </c:pt>
                <c:pt idx="48">
                  <c:v>0.22631578947368422</c:v>
                </c:pt>
                <c:pt idx="49">
                  <c:v>0.24394463667820068</c:v>
                </c:pt>
                <c:pt idx="50">
                  <c:v>0.23018867924528302</c:v>
                </c:pt>
                <c:pt idx="51">
                  <c:v>0.22194513715710723</c:v>
                </c:pt>
                <c:pt idx="52">
                  <c:v>0.18666666666666668</c:v>
                </c:pt>
                <c:pt idx="53">
                  <c:v>0.16806722689075632</c:v>
                </c:pt>
                <c:pt idx="54">
                  <c:v>0.16107382550335569</c:v>
                </c:pt>
                <c:pt idx="55">
                  <c:v>0.16763005780346821</c:v>
                </c:pt>
                <c:pt idx="56">
                  <c:v>0.17751479289940827</c:v>
                </c:pt>
                <c:pt idx="57">
                  <c:v>0.18965517241379309</c:v>
                </c:pt>
                <c:pt idx="58">
                  <c:v>0.20819112627986347</c:v>
                </c:pt>
                <c:pt idx="59">
                  <c:v>0.19313304721030042</c:v>
                </c:pt>
                <c:pt idx="60">
                  <c:v>0.2151394422310757</c:v>
                </c:pt>
                <c:pt idx="61">
                  <c:v>0.18466898954703834</c:v>
                </c:pt>
                <c:pt idx="62">
                  <c:v>0.14089347079037801</c:v>
                </c:pt>
                <c:pt idx="63">
                  <c:v>0.14240506329113925</c:v>
                </c:pt>
                <c:pt idx="64">
                  <c:v>0.13651877133105803</c:v>
                </c:pt>
                <c:pt idx="65">
                  <c:v>0.20171673819742489</c:v>
                </c:pt>
                <c:pt idx="66">
                  <c:v>0.13551401869158877</c:v>
                </c:pt>
                <c:pt idx="67">
                  <c:v>0.12755102040816327</c:v>
                </c:pt>
                <c:pt idx="68">
                  <c:v>0.12093023255813953</c:v>
                </c:pt>
                <c:pt idx="69">
                  <c:v>0.15217391304347827</c:v>
                </c:pt>
                <c:pt idx="70">
                  <c:v>0.13366336633663367</c:v>
                </c:pt>
                <c:pt idx="71">
                  <c:v>0.13071895424836602</c:v>
                </c:pt>
                <c:pt idx="72">
                  <c:v>0.1891891891891892</c:v>
                </c:pt>
                <c:pt idx="73">
                  <c:v>0.13095238095238096</c:v>
                </c:pt>
                <c:pt idx="74">
                  <c:v>9.7560975609756101E-2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CC-489F-A0A1-CF75F6C623B5}"/>
            </c:ext>
          </c:extLst>
        </c:ser>
        <c:ser>
          <c:idx val="3"/>
          <c:order val="3"/>
          <c:tx>
            <c:strRef>
              <c:f>'첫구매-리워드횟수'!$Q$1</c:f>
              <c:strCache>
                <c:ptCount val="1"/>
                <c:pt idx="0">
                  <c:v>첫 구매 시 쇼지 사용 비중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'첫구매-리워드횟수'!$Q$2:$Q$78</c:f>
              <c:numCache>
                <c:formatCode>General</c:formatCode>
                <c:ptCount val="77"/>
                <c:pt idx="0">
                  <c:v>0.57400499999999999</c:v>
                </c:pt>
                <c:pt idx="1">
                  <c:v>0.54596</c:v>
                </c:pt>
                <c:pt idx="2">
                  <c:v>0.53862299999999996</c:v>
                </c:pt>
                <c:pt idx="3">
                  <c:v>0.49768899999999999</c:v>
                </c:pt>
                <c:pt idx="4">
                  <c:v>0.51839500000000005</c:v>
                </c:pt>
                <c:pt idx="5">
                  <c:v>0.49363299999999999</c:v>
                </c:pt>
                <c:pt idx="6">
                  <c:v>0.49680800000000003</c:v>
                </c:pt>
                <c:pt idx="7">
                  <c:v>0.48689100000000002</c:v>
                </c:pt>
                <c:pt idx="8">
                  <c:v>0.52236499999999997</c:v>
                </c:pt>
                <c:pt idx="9">
                  <c:v>0.50438700000000003</c:v>
                </c:pt>
                <c:pt idx="10">
                  <c:v>0.54198800000000003</c:v>
                </c:pt>
                <c:pt idx="11">
                  <c:v>0.54320400000000002</c:v>
                </c:pt>
                <c:pt idx="12">
                  <c:v>0.55211100000000002</c:v>
                </c:pt>
                <c:pt idx="13">
                  <c:v>0.54354800000000003</c:v>
                </c:pt>
                <c:pt idx="14">
                  <c:v>0.54513400000000001</c:v>
                </c:pt>
                <c:pt idx="15">
                  <c:v>0.56599500000000003</c:v>
                </c:pt>
                <c:pt idx="16">
                  <c:v>0.60833300000000001</c:v>
                </c:pt>
                <c:pt idx="17">
                  <c:v>0.58349200000000001</c:v>
                </c:pt>
                <c:pt idx="18">
                  <c:v>0.56176999999999999</c:v>
                </c:pt>
                <c:pt idx="19">
                  <c:v>0.56734899999999999</c:v>
                </c:pt>
                <c:pt idx="20">
                  <c:v>0.57913700000000001</c:v>
                </c:pt>
                <c:pt idx="21">
                  <c:v>0.58929100000000001</c:v>
                </c:pt>
                <c:pt idx="22">
                  <c:v>0.59562599999999999</c:v>
                </c:pt>
                <c:pt idx="23">
                  <c:v>0.58353299999999997</c:v>
                </c:pt>
                <c:pt idx="24">
                  <c:v>0.59884700000000002</c:v>
                </c:pt>
                <c:pt idx="25">
                  <c:v>0.63631000000000004</c:v>
                </c:pt>
                <c:pt idx="26">
                  <c:v>0.60930700000000004</c:v>
                </c:pt>
                <c:pt idx="27">
                  <c:v>0.59328899999999996</c:v>
                </c:pt>
                <c:pt idx="28">
                  <c:v>0.57775699999999997</c:v>
                </c:pt>
                <c:pt idx="29">
                  <c:v>0.60215700000000005</c:v>
                </c:pt>
                <c:pt idx="30">
                  <c:v>0.63791100000000001</c:v>
                </c:pt>
                <c:pt idx="31">
                  <c:v>0.62704899999999997</c:v>
                </c:pt>
                <c:pt idx="32">
                  <c:v>0.63383100000000003</c:v>
                </c:pt>
                <c:pt idx="33">
                  <c:v>0.66378199999999998</c:v>
                </c:pt>
                <c:pt idx="34">
                  <c:v>0.67671000000000003</c:v>
                </c:pt>
                <c:pt idx="35">
                  <c:v>0.72358500000000003</c:v>
                </c:pt>
                <c:pt idx="36">
                  <c:v>0.71682400000000002</c:v>
                </c:pt>
                <c:pt idx="37">
                  <c:v>0.73210399999999998</c:v>
                </c:pt>
                <c:pt idx="38">
                  <c:v>0.76544299999999998</c:v>
                </c:pt>
                <c:pt idx="39">
                  <c:v>0.77085899999999996</c:v>
                </c:pt>
                <c:pt idx="40">
                  <c:v>0.77903500000000003</c:v>
                </c:pt>
                <c:pt idx="41">
                  <c:v>0.79934899999999998</c:v>
                </c:pt>
                <c:pt idx="42">
                  <c:v>0.76653099999999996</c:v>
                </c:pt>
                <c:pt idx="43">
                  <c:v>0.79994600000000005</c:v>
                </c:pt>
                <c:pt idx="44">
                  <c:v>0.81903199999999998</c:v>
                </c:pt>
                <c:pt idx="45">
                  <c:v>0.84039600000000003</c:v>
                </c:pt>
                <c:pt idx="46">
                  <c:v>0.86861600000000005</c:v>
                </c:pt>
                <c:pt idx="47">
                  <c:v>0.84835400000000005</c:v>
                </c:pt>
                <c:pt idx="48">
                  <c:v>0.85054399999999997</c:v>
                </c:pt>
                <c:pt idx="49">
                  <c:v>0.86885800000000002</c:v>
                </c:pt>
                <c:pt idx="50">
                  <c:v>0.86618899999999999</c:v>
                </c:pt>
                <c:pt idx="51">
                  <c:v>0.86296799999999996</c:v>
                </c:pt>
                <c:pt idx="52">
                  <c:v>0.85410699999999995</c:v>
                </c:pt>
                <c:pt idx="53">
                  <c:v>0.861232</c:v>
                </c:pt>
                <c:pt idx="54">
                  <c:v>0.861711</c:v>
                </c:pt>
                <c:pt idx="55">
                  <c:v>0.84592500000000004</c:v>
                </c:pt>
                <c:pt idx="56">
                  <c:v>0.844024</c:v>
                </c:pt>
                <c:pt idx="57">
                  <c:v>0.86720699999999995</c:v>
                </c:pt>
                <c:pt idx="58">
                  <c:v>0.88416399999999995</c:v>
                </c:pt>
                <c:pt idx="59">
                  <c:v>0.86102999999999996</c:v>
                </c:pt>
                <c:pt idx="60">
                  <c:v>0.85589599999999999</c:v>
                </c:pt>
                <c:pt idx="61">
                  <c:v>0.86118499999999998</c:v>
                </c:pt>
                <c:pt idx="62">
                  <c:v>0.85453599999999996</c:v>
                </c:pt>
                <c:pt idx="63">
                  <c:v>0.87436700000000001</c:v>
                </c:pt>
                <c:pt idx="64">
                  <c:v>0.87699700000000003</c:v>
                </c:pt>
                <c:pt idx="65">
                  <c:v>0.83995699999999995</c:v>
                </c:pt>
                <c:pt idx="66">
                  <c:v>0.87761699999999998</c:v>
                </c:pt>
                <c:pt idx="67">
                  <c:v>0.845306</c:v>
                </c:pt>
                <c:pt idx="68">
                  <c:v>0.88618600000000003</c:v>
                </c:pt>
                <c:pt idx="69">
                  <c:v>0.87743499999999996</c:v>
                </c:pt>
                <c:pt idx="70">
                  <c:v>0.85470299999999999</c:v>
                </c:pt>
                <c:pt idx="71">
                  <c:v>0.86241800000000002</c:v>
                </c:pt>
                <c:pt idx="72">
                  <c:v>0.88918900000000001</c:v>
                </c:pt>
                <c:pt idx="73">
                  <c:v>0.85535700000000003</c:v>
                </c:pt>
                <c:pt idx="74">
                  <c:v>0.89243899999999998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DCC-489F-A0A1-CF75F6C62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0088656"/>
        <c:axId val="1141167152"/>
      </c:lineChart>
      <c:catAx>
        <c:axId val="11500886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41167152"/>
        <c:crosses val="autoZero"/>
        <c:auto val="1"/>
        <c:lblAlgn val="ctr"/>
        <c:lblOffset val="100"/>
        <c:noMultiLvlLbl val="0"/>
      </c:catAx>
      <c:valAx>
        <c:axId val="114116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50088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200"/>
              <a:t>첫구매 전 축적 일 별</a:t>
            </a:r>
            <a:r>
              <a:rPr lang="en-US" altLang="ko-KR" sz="1200"/>
              <a:t>, </a:t>
            </a:r>
            <a:br>
              <a:rPr lang="en-US" altLang="ko-KR" sz="1200"/>
            </a:br>
            <a:r>
              <a:rPr lang="ko-KR" altLang="en-US" sz="1200"/>
              <a:t>재산과</a:t>
            </a:r>
            <a:r>
              <a:rPr lang="ko-KR" altLang="en-US" sz="1200" baseline="0"/>
              <a:t> 이탈</a:t>
            </a:r>
            <a:r>
              <a:rPr lang="en-US" altLang="ko-KR" sz="1200" baseline="0"/>
              <a:t>/</a:t>
            </a:r>
            <a:r>
              <a:rPr lang="ko-KR" altLang="en-US" sz="1200" baseline="0"/>
              <a:t>재구매 종속 관계</a:t>
            </a:r>
            <a:br>
              <a:rPr lang="en-US" altLang="ko-KR" sz="1200" baseline="0"/>
            </a:br>
            <a:r>
              <a:rPr lang="en-US" altLang="ko-KR" sz="1000" baseline="0"/>
              <a:t>(*</a:t>
            </a:r>
            <a:r>
              <a:rPr lang="ko-KR" altLang="en-US" sz="1000" baseline="0"/>
              <a:t>정규화 지표</a:t>
            </a:r>
            <a:r>
              <a:rPr lang="en-US" altLang="ko-KR" sz="1000" baseline="0"/>
              <a:t>)</a:t>
            </a:r>
            <a:endParaRPr lang="ko-KR" altLang="en-US" sz="1000"/>
          </a:p>
        </c:rich>
      </c:tx>
      <c:overlay val="0"/>
      <c:spPr>
        <a:noFill/>
        <a:ln w="0"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'첫구매-리워드횟수'!$AA$1</c:f>
              <c:strCache>
                <c:ptCount val="1"/>
                <c:pt idx="0">
                  <c:v>첫구매 전 캐시 (정규화)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'첫구매-리워드횟수'!$B$2:$B$76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'첫구매-리워드횟수'!$AA$2:$AA$76</c:f>
              <c:numCache>
                <c:formatCode>0.0%</c:formatCode>
                <c:ptCount val="75"/>
                <c:pt idx="0">
                  <c:v>0.19869480686647981</c:v>
                </c:pt>
                <c:pt idx="1">
                  <c:v>0.23872612344327457</c:v>
                </c:pt>
                <c:pt idx="2">
                  <c:v>0.38824663530411913</c:v>
                </c:pt>
                <c:pt idx="3">
                  <c:v>0.3644068036624788</c:v>
                </c:pt>
                <c:pt idx="4">
                  <c:v>0.40243616146917777</c:v>
                </c:pt>
                <c:pt idx="5">
                  <c:v>0.40773284823570494</c:v>
                </c:pt>
                <c:pt idx="6">
                  <c:v>0.45329951660989598</c:v>
                </c:pt>
                <c:pt idx="7">
                  <c:v>0.42330400677035279</c:v>
                </c:pt>
                <c:pt idx="8">
                  <c:v>0.43243502101939657</c:v>
                </c:pt>
                <c:pt idx="9">
                  <c:v>0.42320277052896055</c:v>
                </c:pt>
                <c:pt idx="10">
                  <c:v>0.37938374049439966</c:v>
                </c:pt>
                <c:pt idx="11">
                  <c:v>0.39143778431352222</c:v>
                </c:pt>
                <c:pt idx="12">
                  <c:v>0.45028835844258025</c:v>
                </c:pt>
                <c:pt idx="13">
                  <c:v>0.37125502051588161</c:v>
                </c:pt>
                <c:pt idx="14">
                  <c:v>0.41896387274397373</c:v>
                </c:pt>
                <c:pt idx="15">
                  <c:v>0.41921272265268922</c:v>
                </c:pt>
                <c:pt idx="16">
                  <c:v>0.39255341260648119</c:v>
                </c:pt>
                <c:pt idx="17">
                  <c:v>0.38716950549933193</c:v>
                </c:pt>
                <c:pt idx="18">
                  <c:v>0.38415038597301221</c:v>
                </c:pt>
                <c:pt idx="19">
                  <c:v>0.40775500453853486</c:v>
                </c:pt>
                <c:pt idx="20">
                  <c:v>0.44565989774521403</c:v>
                </c:pt>
                <c:pt idx="21">
                  <c:v>0.42011957196248195</c:v>
                </c:pt>
                <c:pt idx="22">
                  <c:v>0.42099598574960628</c:v>
                </c:pt>
                <c:pt idx="23">
                  <c:v>0.41457581209684552</c:v>
                </c:pt>
                <c:pt idx="24">
                  <c:v>0.40857084572405639</c:v>
                </c:pt>
                <c:pt idx="25">
                  <c:v>0.35365491268784172</c:v>
                </c:pt>
                <c:pt idx="26">
                  <c:v>0.45331272151343865</c:v>
                </c:pt>
                <c:pt idx="27">
                  <c:v>0.47968889893408218</c:v>
                </c:pt>
                <c:pt idx="28">
                  <c:v>0.55822530254080449</c:v>
                </c:pt>
                <c:pt idx="29">
                  <c:v>0.60042140835998781</c:v>
                </c:pt>
                <c:pt idx="30">
                  <c:v>0.55919670675462385</c:v>
                </c:pt>
                <c:pt idx="31">
                  <c:v>0.6538711868515098</c:v>
                </c:pt>
                <c:pt idx="32">
                  <c:v>0.56287733548234353</c:v>
                </c:pt>
                <c:pt idx="33">
                  <c:v>0.35556113344388962</c:v>
                </c:pt>
                <c:pt idx="34">
                  <c:v>0.40737483776398808</c:v>
                </c:pt>
                <c:pt idx="35">
                  <c:v>0.33962919092206362</c:v>
                </c:pt>
                <c:pt idx="36">
                  <c:v>0.375141792601701</c:v>
                </c:pt>
                <c:pt idx="37">
                  <c:v>0.33664990102759257</c:v>
                </c:pt>
                <c:pt idx="38">
                  <c:v>0.35857260796504098</c:v>
                </c:pt>
                <c:pt idx="39">
                  <c:v>0.31618475161212528</c:v>
                </c:pt>
                <c:pt idx="40">
                  <c:v>0.31616094126213401</c:v>
                </c:pt>
                <c:pt idx="41">
                  <c:v>0.3116398858218774</c:v>
                </c:pt>
                <c:pt idx="42">
                  <c:v>0.32676037408979708</c:v>
                </c:pt>
                <c:pt idx="43">
                  <c:v>0.33831921640577528</c:v>
                </c:pt>
                <c:pt idx="44">
                  <c:v>0.32642015072551217</c:v>
                </c:pt>
                <c:pt idx="45">
                  <c:v>0.32444646771688607</c:v>
                </c:pt>
                <c:pt idx="46">
                  <c:v>0.39845592270638558</c:v>
                </c:pt>
                <c:pt idx="47">
                  <c:v>0.32177734641308731</c:v>
                </c:pt>
                <c:pt idx="48">
                  <c:v>0.24944715409545193</c:v>
                </c:pt>
                <c:pt idx="49">
                  <c:v>0.19554754108398714</c:v>
                </c:pt>
                <c:pt idx="50">
                  <c:v>0.20382257876877855</c:v>
                </c:pt>
                <c:pt idx="51">
                  <c:v>0.16850316993669645</c:v>
                </c:pt>
                <c:pt idx="52">
                  <c:v>0.20204789553797053</c:v>
                </c:pt>
                <c:pt idx="53">
                  <c:v>0.18506358268081696</c:v>
                </c:pt>
                <c:pt idx="54">
                  <c:v>0.17007905781987653</c:v>
                </c:pt>
                <c:pt idx="55">
                  <c:v>0.20323645144668484</c:v>
                </c:pt>
                <c:pt idx="56">
                  <c:v>0.16207165582777849</c:v>
                </c:pt>
                <c:pt idx="57">
                  <c:v>0.17961467598905714</c:v>
                </c:pt>
                <c:pt idx="58">
                  <c:v>0.16885350416199954</c:v>
                </c:pt>
                <c:pt idx="59">
                  <c:v>0.18434740309677344</c:v>
                </c:pt>
                <c:pt idx="60">
                  <c:v>0.18103406772184347</c:v>
                </c:pt>
                <c:pt idx="61">
                  <c:v>0.18096951809231276</c:v>
                </c:pt>
                <c:pt idx="62">
                  <c:v>0.23918218922957937</c:v>
                </c:pt>
                <c:pt idx="63">
                  <c:v>0.19200955559361285</c:v>
                </c:pt>
                <c:pt idx="64">
                  <c:v>0.19515773589256177</c:v>
                </c:pt>
                <c:pt idx="65">
                  <c:v>0.17606985498374317</c:v>
                </c:pt>
                <c:pt idx="66">
                  <c:v>0.14806290791170654</c:v>
                </c:pt>
                <c:pt idx="67">
                  <c:v>0.21220471920964104</c:v>
                </c:pt>
                <c:pt idx="68">
                  <c:v>0.23522257102186547</c:v>
                </c:pt>
                <c:pt idx="69">
                  <c:v>0.20405923665106329</c:v>
                </c:pt>
                <c:pt idx="70">
                  <c:v>0.1485073910787312</c:v>
                </c:pt>
                <c:pt idx="71">
                  <c:v>0.13872458574222063</c:v>
                </c:pt>
                <c:pt idx="72">
                  <c:v>0.21261842615633411</c:v>
                </c:pt>
                <c:pt idx="73">
                  <c:v>0.24530546399616115</c:v>
                </c:pt>
                <c:pt idx="74">
                  <c:v>0.30019388827535953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9-43FA-9BDD-0874E09E56A1}"/>
            </c:ext>
          </c:extLst>
        </c:ser>
        <c:ser>
          <c:idx val="1"/>
          <c:order val="1"/>
          <c:tx>
            <c:strRef>
              <c:f>'첫구매-리워드횟수'!$AB$1</c:f>
              <c:strCache>
                <c:ptCount val="1"/>
                <c:pt idx="0">
                  <c:v>첫구매 전 쇼지 (정규화)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'첫구매-리워드횟수'!$B$2:$B$76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'첫구매-리워드횟수'!$AB$2:$AB$76</c:f>
              <c:numCache>
                <c:formatCode>0.0%</c:formatCode>
                <c:ptCount val="75"/>
                <c:pt idx="0">
                  <c:v>0.35976933198140926</c:v>
                </c:pt>
                <c:pt idx="1">
                  <c:v>0.46797927494938962</c:v>
                </c:pt>
                <c:pt idx="2">
                  <c:v>0.483038806620807</c:v>
                </c:pt>
                <c:pt idx="3">
                  <c:v>0.43187258209631024</c:v>
                </c:pt>
                <c:pt idx="4">
                  <c:v>0.40878769856948693</c:v>
                </c:pt>
                <c:pt idx="5">
                  <c:v>0.41667431437187469</c:v>
                </c:pt>
                <c:pt idx="6">
                  <c:v>0.43945468188682935</c:v>
                </c:pt>
                <c:pt idx="7">
                  <c:v>0.38984321416559298</c:v>
                </c:pt>
                <c:pt idx="8">
                  <c:v>0.38270191223437122</c:v>
                </c:pt>
                <c:pt idx="9">
                  <c:v>0.33828412761842569</c:v>
                </c:pt>
                <c:pt idx="10">
                  <c:v>0.38733429495420724</c:v>
                </c:pt>
                <c:pt idx="11">
                  <c:v>0.31835807516288844</c:v>
                </c:pt>
                <c:pt idx="12">
                  <c:v>0.35642084551052333</c:v>
                </c:pt>
                <c:pt idx="13">
                  <c:v>0.40506109797241158</c:v>
                </c:pt>
                <c:pt idx="14">
                  <c:v>0.35468739608672373</c:v>
                </c:pt>
                <c:pt idx="15">
                  <c:v>0.38453662218542922</c:v>
                </c:pt>
                <c:pt idx="16">
                  <c:v>0.39702065456682517</c:v>
                </c:pt>
                <c:pt idx="17">
                  <c:v>0.35663917886640145</c:v>
                </c:pt>
                <c:pt idx="18">
                  <c:v>0.37428406971558847</c:v>
                </c:pt>
                <c:pt idx="19">
                  <c:v>0.35562860497030691</c:v>
                </c:pt>
                <c:pt idx="20">
                  <c:v>0.3691033557844432</c:v>
                </c:pt>
                <c:pt idx="21">
                  <c:v>0.36587665696196525</c:v>
                </c:pt>
                <c:pt idx="22">
                  <c:v>0.38458164400793265</c:v>
                </c:pt>
                <c:pt idx="23">
                  <c:v>0.35337797829058759</c:v>
                </c:pt>
                <c:pt idx="24">
                  <c:v>0.37998860091347297</c:v>
                </c:pt>
                <c:pt idx="25">
                  <c:v>0.40843046895502061</c:v>
                </c:pt>
                <c:pt idx="26">
                  <c:v>0.37772627916917467</c:v>
                </c:pt>
                <c:pt idx="27">
                  <c:v>0.34521763388323112</c:v>
                </c:pt>
                <c:pt idx="28">
                  <c:v>0.33636349108525876</c:v>
                </c:pt>
                <c:pt idx="29">
                  <c:v>0.34410811490565046</c:v>
                </c:pt>
                <c:pt idx="30">
                  <c:v>0.37742459231580172</c:v>
                </c:pt>
                <c:pt idx="31">
                  <c:v>0.34212855506519951</c:v>
                </c:pt>
                <c:pt idx="32">
                  <c:v>0.35647472425507842</c:v>
                </c:pt>
                <c:pt idx="33">
                  <c:v>0.45559569117064053</c:v>
                </c:pt>
                <c:pt idx="34">
                  <c:v>0.45679200313874618</c:v>
                </c:pt>
                <c:pt idx="35">
                  <c:v>0.51611495956250897</c:v>
                </c:pt>
                <c:pt idx="36">
                  <c:v>0.5348659413146607</c:v>
                </c:pt>
                <c:pt idx="37">
                  <c:v>0.51289454753350461</c:v>
                </c:pt>
                <c:pt idx="38">
                  <c:v>0.55506720445057467</c:v>
                </c:pt>
                <c:pt idx="39">
                  <c:v>0.55590300183652741</c:v>
                </c:pt>
                <c:pt idx="40">
                  <c:v>0.56341554348683631</c:v>
                </c:pt>
                <c:pt idx="41">
                  <c:v>0.58710858961498325</c:v>
                </c:pt>
                <c:pt idx="42">
                  <c:v>0.56977720396784637</c:v>
                </c:pt>
                <c:pt idx="43">
                  <c:v>0.58469654510050906</c:v>
                </c:pt>
                <c:pt idx="44">
                  <c:v>0.57695849382375775</c:v>
                </c:pt>
                <c:pt idx="45">
                  <c:v>0.64682431387398842</c:v>
                </c:pt>
                <c:pt idx="46">
                  <c:v>0.67540428276853859</c:v>
                </c:pt>
                <c:pt idx="47">
                  <c:v>0.71232879729343646</c:v>
                </c:pt>
                <c:pt idx="48">
                  <c:v>0.78248047740530502</c:v>
                </c:pt>
                <c:pt idx="49">
                  <c:v>0.87833544754732729</c:v>
                </c:pt>
                <c:pt idx="50">
                  <c:v>0.88205506674038192</c:v>
                </c:pt>
                <c:pt idx="51">
                  <c:v>0.88761321676415683</c:v>
                </c:pt>
                <c:pt idx="52">
                  <c:v>0.83070645402843424</c:v>
                </c:pt>
                <c:pt idx="53">
                  <c:v>0.81802242041052242</c:v>
                </c:pt>
                <c:pt idx="54">
                  <c:v>0.91520771511761767</c:v>
                </c:pt>
                <c:pt idx="55">
                  <c:v>0.87556934744777326</c:v>
                </c:pt>
                <c:pt idx="56">
                  <c:v>0.85744050391447668</c:v>
                </c:pt>
                <c:pt idx="57">
                  <c:v>0.89262999617246697</c:v>
                </c:pt>
                <c:pt idx="58">
                  <c:v>0.88834872088426742</c:v>
                </c:pt>
                <c:pt idx="59">
                  <c:v>0.82614831238977471</c:v>
                </c:pt>
                <c:pt idx="60">
                  <c:v>0.85990287332244764</c:v>
                </c:pt>
                <c:pt idx="61">
                  <c:v>0.82085189328942787</c:v>
                </c:pt>
                <c:pt idx="62">
                  <c:v>0.83952981875130717</c:v>
                </c:pt>
                <c:pt idx="63">
                  <c:v>0.91923188057844096</c:v>
                </c:pt>
                <c:pt idx="64">
                  <c:v>0.91687705182563028</c:v>
                </c:pt>
                <c:pt idx="65">
                  <c:v>0.90851333705398185</c:v>
                </c:pt>
                <c:pt idx="66">
                  <c:v>0.87146054568566444</c:v>
                </c:pt>
                <c:pt idx="67">
                  <c:v>0.87711059191972562</c:v>
                </c:pt>
                <c:pt idx="68">
                  <c:v>0.87302141812210599</c:v>
                </c:pt>
                <c:pt idx="69">
                  <c:v>0.85405581359301486</c:v>
                </c:pt>
                <c:pt idx="70">
                  <c:v>0.96651365536030842</c:v>
                </c:pt>
                <c:pt idx="71">
                  <c:v>0.9663370628006287</c:v>
                </c:pt>
                <c:pt idx="72">
                  <c:v>0.96401818321558819</c:v>
                </c:pt>
                <c:pt idx="73">
                  <c:v>1</c:v>
                </c:pt>
                <c:pt idx="74">
                  <c:v>0.90382185372265089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09-43FA-9BDD-0874E09E56A1}"/>
            </c:ext>
          </c:extLst>
        </c:ser>
        <c:ser>
          <c:idx val="2"/>
          <c:order val="2"/>
          <c:tx>
            <c:strRef>
              <c:f>'첫구매-리워드횟수'!$AD$1</c:f>
              <c:strCache>
                <c:ptCount val="1"/>
                <c:pt idx="0">
                  <c:v>이탈율 (정규화)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'첫구매-리워드횟수'!$B$2:$B$76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'첫구매-리워드횟수'!$AD$2:$AD$76</c:f>
              <c:numCache>
                <c:formatCode>0%</c:formatCode>
                <c:ptCount val="75"/>
                <c:pt idx="0">
                  <c:v>1</c:v>
                </c:pt>
                <c:pt idx="1">
                  <c:v>0.80759837177747629</c:v>
                </c:pt>
                <c:pt idx="2">
                  <c:v>0.62238269729198326</c:v>
                </c:pt>
                <c:pt idx="3">
                  <c:v>0.63909455742435861</c:v>
                </c:pt>
                <c:pt idx="4">
                  <c:v>0.66587696438442701</c:v>
                </c:pt>
                <c:pt idx="5">
                  <c:v>0.61595149253731341</c:v>
                </c:pt>
                <c:pt idx="6">
                  <c:v>0.57204884667571232</c:v>
                </c:pt>
                <c:pt idx="7">
                  <c:v>0.55522388059701488</c:v>
                </c:pt>
                <c:pt idx="8">
                  <c:v>0.61691542288557222</c:v>
                </c:pt>
                <c:pt idx="9">
                  <c:v>0.57791695473585758</c:v>
                </c:pt>
                <c:pt idx="10">
                  <c:v>0.65587850222571353</c:v>
                </c:pt>
                <c:pt idx="11">
                  <c:v>0.61978479694550503</c:v>
                </c:pt>
                <c:pt idx="12">
                  <c:v>0.58606965174129355</c:v>
                </c:pt>
                <c:pt idx="13">
                  <c:v>0.59517795637198623</c:v>
                </c:pt>
                <c:pt idx="14">
                  <c:v>0.529556596579148</c:v>
                </c:pt>
                <c:pt idx="15">
                  <c:v>0.55378919356704848</c:v>
                </c:pt>
                <c:pt idx="16">
                  <c:v>0.5432835820895523</c:v>
                </c:pt>
                <c:pt idx="17">
                  <c:v>0.51490035854248317</c:v>
                </c:pt>
                <c:pt idx="18">
                  <c:v>0.55522388059701488</c:v>
                </c:pt>
                <c:pt idx="19">
                  <c:v>0.51879186743448114</c:v>
                </c:pt>
                <c:pt idx="20">
                  <c:v>0.46785362527464203</c:v>
                </c:pt>
                <c:pt idx="21">
                  <c:v>0.49615751032073674</c:v>
                </c:pt>
                <c:pt idx="22">
                  <c:v>0.51854622105871551</c:v>
                </c:pt>
                <c:pt idx="23">
                  <c:v>0.45135982903036781</c:v>
                </c:pt>
                <c:pt idx="24">
                  <c:v>0.50166110623353821</c:v>
                </c:pt>
                <c:pt idx="25">
                  <c:v>0.50051628649206792</c:v>
                </c:pt>
                <c:pt idx="26">
                  <c:v>0.48632748665431969</c:v>
                </c:pt>
                <c:pt idx="27">
                  <c:v>0.45695416721701226</c:v>
                </c:pt>
                <c:pt idx="28">
                  <c:v>0.37471899760456978</c:v>
                </c:pt>
                <c:pt idx="29">
                  <c:v>0.36804852016873635</c:v>
                </c:pt>
                <c:pt idx="30">
                  <c:v>0.33527707659206801</c:v>
                </c:pt>
                <c:pt idx="31">
                  <c:v>0.28785285933245042</c:v>
                </c:pt>
                <c:pt idx="32">
                  <c:v>0.37014925373134328</c:v>
                </c:pt>
                <c:pt idx="33">
                  <c:v>0.46035369371629253</c:v>
                </c:pt>
                <c:pt idx="34">
                  <c:v>0.43104784560488052</c:v>
                </c:pt>
                <c:pt idx="35">
                  <c:v>0.41058572682804467</c:v>
                </c:pt>
                <c:pt idx="36">
                  <c:v>0.36906057945566284</c:v>
                </c:pt>
                <c:pt idx="37">
                  <c:v>0.42657444484892615</c:v>
                </c:pt>
                <c:pt idx="38">
                  <c:v>0.42961585515047718</c:v>
                </c:pt>
                <c:pt idx="39">
                  <c:v>0.43941031041113449</c:v>
                </c:pt>
                <c:pt idx="40">
                  <c:v>0.43918030426644911</c:v>
                </c:pt>
                <c:pt idx="41">
                  <c:v>0.35447518109776849</c:v>
                </c:pt>
                <c:pt idx="42">
                  <c:v>0.3755450154475436</c:v>
                </c:pt>
                <c:pt idx="43">
                  <c:v>0.34925373134328358</c:v>
                </c:pt>
                <c:pt idx="44">
                  <c:v>0.3278989667049369</c:v>
                </c:pt>
                <c:pt idx="45">
                  <c:v>0.29843283582089553</c:v>
                </c:pt>
                <c:pt idx="46">
                  <c:v>0.31958241578990298</c:v>
                </c:pt>
                <c:pt idx="47">
                  <c:v>0.32282719502313301</c:v>
                </c:pt>
                <c:pt idx="48">
                  <c:v>0.31560094265514532</c:v>
                </c:pt>
                <c:pt idx="49">
                  <c:v>0.34773537158498169</c:v>
                </c:pt>
                <c:pt idx="50">
                  <c:v>0.32265840608279356</c:v>
                </c:pt>
                <c:pt idx="51">
                  <c:v>0.33230356943462241</c:v>
                </c:pt>
                <c:pt idx="52">
                  <c:v>0.30500298507462686</c:v>
                </c:pt>
                <c:pt idx="53">
                  <c:v>0.30482879719051803</c:v>
                </c:pt>
                <c:pt idx="54">
                  <c:v>0.29810678152859865</c:v>
                </c:pt>
                <c:pt idx="55">
                  <c:v>0.32735743249072558</c:v>
                </c:pt>
                <c:pt idx="56">
                  <c:v>0.27925461450145722</c:v>
                </c:pt>
                <c:pt idx="57">
                  <c:v>0.25272259392691715</c:v>
                </c:pt>
                <c:pt idx="58">
                  <c:v>0.24255514237685294</c:v>
                </c:pt>
                <c:pt idx="59">
                  <c:v>0.26212286208442764</c:v>
                </c:pt>
                <c:pt idx="60">
                  <c:v>0.23005292263780699</c:v>
                </c:pt>
                <c:pt idx="61">
                  <c:v>0.2244110458162151</c:v>
                </c:pt>
                <c:pt idx="62">
                  <c:v>0.27093398984459149</c:v>
                </c:pt>
                <c:pt idx="63">
                  <c:v>0.21435858681277159</c:v>
                </c:pt>
                <c:pt idx="64">
                  <c:v>0.21602567367938466</c:v>
                </c:pt>
                <c:pt idx="65">
                  <c:v>0.17633719812952406</c:v>
                </c:pt>
                <c:pt idx="66">
                  <c:v>0.22831636211466033</c:v>
                </c:pt>
                <c:pt idx="67">
                  <c:v>0.12464209564422785</c:v>
                </c:pt>
                <c:pt idx="68">
                  <c:v>0.23241929885456442</c:v>
                </c:pt>
                <c:pt idx="69">
                  <c:v>0.2317456197274497</c:v>
                </c:pt>
                <c:pt idx="70">
                  <c:v>0.17591251662479682</c:v>
                </c:pt>
                <c:pt idx="71">
                  <c:v>0.21773485513608429</c:v>
                </c:pt>
                <c:pt idx="72">
                  <c:v>0.1300524405002017</c:v>
                </c:pt>
                <c:pt idx="73">
                  <c:v>0.13219616204690832</c:v>
                </c:pt>
                <c:pt idx="74">
                  <c:v>8.1252275209319255E-2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09-43FA-9BDD-0874E09E56A1}"/>
            </c:ext>
          </c:extLst>
        </c:ser>
        <c:ser>
          <c:idx val="3"/>
          <c:order val="3"/>
          <c:tx>
            <c:strRef>
              <c:f>'첫구매-리워드횟수'!$AE$1</c:f>
              <c:strCache>
                <c:ptCount val="1"/>
                <c:pt idx="0">
                  <c:v>재구매율 (정규화)</c:v>
                </c:pt>
              </c:strCache>
            </c:strRef>
          </c:tx>
          <c:spPr>
            <a:ln w="15875" cap="rnd" cmpd="dbl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cat>
            <c:numRef>
              <c:f>'첫구매-리워드횟수'!$B$2:$B$76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'첫구매-리워드횟수'!$AE$2:$AE$76</c:f>
              <c:numCache>
                <c:formatCode>0%</c:formatCode>
                <c:ptCount val="75"/>
                <c:pt idx="0">
                  <c:v>0.25693599107324</c:v>
                </c:pt>
                <c:pt idx="1">
                  <c:v>0.4748576567562417</c:v>
                </c:pt>
                <c:pt idx="2">
                  <c:v>0.71666478364026664</c:v>
                </c:pt>
                <c:pt idx="3">
                  <c:v>0.73132089722396398</c:v>
                </c:pt>
                <c:pt idx="4">
                  <c:v>0.68894545938571095</c:v>
                </c:pt>
                <c:pt idx="5">
                  <c:v>0.66555498231132082</c:v>
                </c:pt>
                <c:pt idx="6">
                  <c:v>0.784958071278826</c:v>
                </c:pt>
                <c:pt idx="7">
                  <c:v>0.72724056603773579</c:v>
                </c:pt>
                <c:pt idx="8">
                  <c:v>0.76956673654786856</c:v>
                </c:pt>
                <c:pt idx="9">
                  <c:v>0.66241452881599916</c:v>
                </c:pt>
                <c:pt idx="10">
                  <c:v>0.64400584795321636</c:v>
                </c:pt>
                <c:pt idx="11">
                  <c:v>0.62818121983326014</c:v>
                </c:pt>
                <c:pt idx="12">
                  <c:v>0.6118055555555556</c:v>
                </c:pt>
                <c:pt idx="13">
                  <c:v>0.72182686455358402</c:v>
                </c:pt>
                <c:pt idx="14">
                  <c:v>0.67744341918009454</c:v>
                </c:pt>
                <c:pt idx="15">
                  <c:v>0.62818121983326014</c:v>
                </c:pt>
                <c:pt idx="16">
                  <c:v>0.70936675796307569</c:v>
                </c:pt>
                <c:pt idx="17">
                  <c:v>0.64424343838937492</c:v>
                </c:pt>
                <c:pt idx="18">
                  <c:v>0.70622880008479971</c:v>
                </c:pt>
                <c:pt idx="19">
                  <c:v>0.69806368543554698</c:v>
                </c:pt>
                <c:pt idx="20">
                  <c:v>0.72249425342400153</c:v>
                </c:pt>
                <c:pt idx="21">
                  <c:v>0.74664347205495341</c:v>
                </c:pt>
                <c:pt idx="22">
                  <c:v>0.7430964456096617</c:v>
                </c:pt>
                <c:pt idx="23">
                  <c:v>0.78218549827879214</c:v>
                </c:pt>
                <c:pt idx="24">
                  <c:v>0.59645948945615979</c:v>
                </c:pt>
                <c:pt idx="25">
                  <c:v>0.66647383410466354</c:v>
                </c:pt>
                <c:pt idx="26">
                  <c:v>0.82658208235780206</c:v>
                </c:pt>
                <c:pt idx="27">
                  <c:v>0.79680803695664282</c:v>
                </c:pt>
                <c:pt idx="28">
                  <c:v>0.89569017392654715</c:v>
                </c:pt>
                <c:pt idx="29">
                  <c:v>0.9410377358490567</c:v>
                </c:pt>
                <c:pt idx="30">
                  <c:v>1</c:v>
                </c:pt>
                <c:pt idx="31">
                  <c:v>0.9860889031020148</c:v>
                </c:pt>
                <c:pt idx="32">
                  <c:v>0.9269259050658657</c:v>
                </c:pt>
                <c:pt idx="33">
                  <c:v>0.62858728397019181</c:v>
                </c:pt>
                <c:pt idx="34">
                  <c:v>0.64631735946063928</c:v>
                </c:pt>
                <c:pt idx="35">
                  <c:v>0.64604804185825282</c:v>
                </c:pt>
                <c:pt idx="36">
                  <c:v>0.61112652608213103</c:v>
                </c:pt>
                <c:pt idx="37">
                  <c:v>0.63348481362172115</c:v>
                </c:pt>
                <c:pt idx="38">
                  <c:v>0.59269254562326013</c:v>
                </c:pt>
                <c:pt idx="39">
                  <c:v>0.5863815256395416</c:v>
                </c:pt>
                <c:pt idx="40">
                  <c:v>0.56121458472365471</c:v>
                </c:pt>
                <c:pt idx="41">
                  <c:v>0.58206317989060297</c:v>
                </c:pt>
                <c:pt idx="42">
                  <c:v>0.58760795423290613</c:v>
                </c:pt>
                <c:pt idx="43">
                  <c:v>0.57531319740312437</c:v>
                </c:pt>
                <c:pt idx="44">
                  <c:v>0.5877733039936327</c:v>
                </c:pt>
                <c:pt idx="45">
                  <c:v>0.54110161163522019</c:v>
                </c:pt>
                <c:pt idx="46">
                  <c:v>0.60556071072619178</c:v>
                </c:pt>
                <c:pt idx="47">
                  <c:v>0.53856194032316684</c:v>
                </c:pt>
                <c:pt idx="48">
                  <c:v>0.47024577954319763</c:v>
                </c:pt>
                <c:pt idx="49">
                  <c:v>0.50687553045635569</c:v>
                </c:pt>
                <c:pt idx="50">
                  <c:v>0.47829298682805271</c:v>
                </c:pt>
                <c:pt idx="51">
                  <c:v>0.46116430621559312</c:v>
                </c:pt>
                <c:pt idx="52">
                  <c:v>0.38786163522012579</c:v>
                </c:pt>
                <c:pt idx="53">
                  <c:v>0.34921515776121775</c:v>
                </c:pt>
                <c:pt idx="54">
                  <c:v>0.3346840572369254</c:v>
                </c:pt>
                <c:pt idx="55">
                  <c:v>0.34830679463409314</c:v>
                </c:pt>
                <c:pt idx="56">
                  <c:v>0.36884559562353464</c:v>
                </c:pt>
                <c:pt idx="57">
                  <c:v>0.3940712426805465</c:v>
                </c:pt>
                <c:pt idx="58">
                  <c:v>0.43258580719943329</c:v>
                </c:pt>
                <c:pt idx="59">
                  <c:v>0.40129767592517612</c:v>
                </c:pt>
                <c:pt idx="60">
                  <c:v>0.44702322784334364</c:v>
                </c:pt>
                <c:pt idx="61">
                  <c:v>0.38371080139372826</c:v>
                </c:pt>
                <c:pt idx="62">
                  <c:v>0.29275270699604489</c:v>
                </c:pt>
                <c:pt idx="63">
                  <c:v>0.29589353952710773</c:v>
                </c:pt>
                <c:pt idx="64">
                  <c:v>0.28366282439307106</c:v>
                </c:pt>
                <c:pt idx="65">
                  <c:v>0.41913312818851728</c:v>
                </c:pt>
                <c:pt idx="66">
                  <c:v>0.28157511902662669</c:v>
                </c:pt>
                <c:pt idx="67">
                  <c:v>0.26502936080092415</c:v>
                </c:pt>
                <c:pt idx="68">
                  <c:v>0.25127248793330409</c:v>
                </c:pt>
                <c:pt idx="69">
                  <c:v>0.31619155045118952</c:v>
                </c:pt>
                <c:pt idx="70">
                  <c:v>0.27772977769475066</c:v>
                </c:pt>
                <c:pt idx="71">
                  <c:v>0.27161178936983599</c:v>
                </c:pt>
                <c:pt idx="72">
                  <c:v>0.39310300866904646</c:v>
                </c:pt>
                <c:pt idx="73">
                  <c:v>0.27209681042228212</c:v>
                </c:pt>
                <c:pt idx="74">
                  <c:v>0.20271514035895077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09-43FA-9BDD-0874E09E56A1}"/>
            </c:ext>
          </c:extLst>
        </c:ser>
        <c:ser>
          <c:idx val="4"/>
          <c:order val="4"/>
          <c:tx>
            <c:strRef>
              <c:f>'첫구매-리워드횟수'!$AG$1</c:f>
              <c:strCache>
                <c:ptCount val="1"/>
                <c:pt idx="0">
                  <c:v>군집 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25"/>
              <c:layout>
                <c:manualLayout>
                  <c:x val="-5.5555555555555558E-3"/>
                  <c:y val="-2.7160180070442652E-17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군집 </a:t>
                    </a:r>
                    <a:r>
                      <a:rPr lang="en-US" altLang="ko-KR"/>
                      <a:t>B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FE0-419C-A91C-A8DADAEEA7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dashDot"/>
                <a:round/>
              </a:ln>
              <a:effectLst/>
            </c:spPr>
          </c:errBars>
          <c:cat>
            <c:numRef>
              <c:f>'첫구매-리워드횟수'!$B$2:$B$76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'첫구매-리워드횟수'!$AG$2:$AG$76</c:f>
              <c:numCache>
                <c:formatCode>0%</c:formatCode>
                <c:ptCount val="75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E0-419C-A91C-A8DADAEEA763}"/>
            </c:ext>
          </c:extLst>
        </c:ser>
        <c:ser>
          <c:idx val="5"/>
          <c:order val="5"/>
          <c:tx>
            <c:strRef>
              <c:f>'첫구매-리워드횟수'!$AH$1</c:f>
              <c:strCache>
                <c:ptCount val="1"/>
                <c:pt idx="0">
                  <c:v>군집 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4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FE0-419C-A91C-A8DADAEEA763}"/>
              </c:ext>
            </c:extLst>
          </c:dPt>
          <c:dLbls>
            <c:dLbl>
              <c:idx val="44"/>
              <c:tx>
                <c:rich>
                  <a:bodyPr/>
                  <a:lstStyle/>
                  <a:p>
                    <a:fld id="{3BC2FEDD-FFD2-4097-AF47-4A8C7D409C68}" type="SERIESNAME">
                      <a:rPr lang="en-US" altLang="ko-KR"/>
                      <a:pPr/>
                      <a:t>[계열 이름]</a:t>
                    </a:fld>
                    <a:endParaRPr lang="ko-KR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CFE0-419C-A91C-A8DADAEEA7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dashDot"/>
                <a:round/>
              </a:ln>
              <a:effectLst/>
            </c:spPr>
          </c:errBars>
          <c:val>
            <c:numRef>
              <c:f>'첫구매-리워드횟수'!$AH$2:$AH$76</c:f>
              <c:numCache>
                <c:formatCode>0%</c:formatCode>
                <c:ptCount val="75"/>
                <c:pt idx="4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E0-419C-A91C-A8DADAEEA763}"/>
            </c:ext>
          </c:extLst>
        </c:ser>
        <c:ser>
          <c:idx val="6"/>
          <c:order val="6"/>
          <c:tx>
            <c:strRef>
              <c:f>'첫구매-리워드횟수'!$AF$1</c:f>
              <c:strCache>
                <c:ptCount val="1"/>
                <c:pt idx="0">
                  <c:v>군집 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FE0-419C-A91C-A8DADAEEA76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dashDot"/>
                <a:round/>
              </a:ln>
              <a:effectLst/>
            </c:spPr>
          </c:errBars>
          <c:val>
            <c:numRef>
              <c:f>'첫구매-리워드횟수'!$AF$2:$AF$76</c:f>
              <c:numCache>
                <c:formatCode>0%</c:formatCode>
                <c:ptCount val="75"/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E0-419C-A91C-A8DADAEE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5185056"/>
        <c:axId val="1399442816"/>
      </c:lineChart>
      <c:catAx>
        <c:axId val="146518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9442816"/>
        <c:crosses val="autoZero"/>
        <c:auto val="1"/>
        <c:lblAlgn val="ctr"/>
        <c:lblOffset val="100"/>
        <c:noMultiLvlLbl val="0"/>
      </c:catAx>
      <c:valAx>
        <c:axId val="1399442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65185056"/>
        <c:crosses val="autoZero"/>
        <c:crossBetween val="between"/>
      </c:valAx>
      <c:spPr>
        <a:noFill/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ko-KR" sz="1200" b="0" i="0" baseline="0">
                <a:effectLst/>
              </a:rPr>
              <a:t>첫구매 전 축적 일</a:t>
            </a:r>
            <a:r>
              <a:rPr lang="en-US" altLang="ko-KR" sz="1200" b="0" i="0" baseline="0">
                <a:effectLst/>
              </a:rPr>
              <a:t> </a:t>
            </a:r>
            <a:r>
              <a:rPr lang="ko-KR" altLang="en-US" sz="1200" b="0" i="0" baseline="0">
                <a:effectLst/>
              </a:rPr>
              <a:t>코호트</a:t>
            </a:r>
            <a:r>
              <a:rPr lang="ko-KR" altLang="ko-KR" sz="1200" b="0" i="0" baseline="0">
                <a:effectLst/>
              </a:rPr>
              <a:t> 별</a:t>
            </a:r>
            <a:r>
              <a:rPr lang="en-US" altLang="ko-KR" sz="1200" b="0" i="0" baseline="0">
                <a:effectLst/>
              </a:rPr>
              <a:t>, </a:t>
            </a:r>
            <a:br>
              <a:rPr lang="en-US" altLang="ko-KR" sz="1200" b="0" i="0" baseline="0">
                <a:effectLst/>
              </a:rPr>
            </a:br>
            <a:r>
              <a:rPr lang="ko-KR" altLang="en-US" sz="1200" b="0" i="0" baseline="0">
                <a:effectLst/>
              </a:rPr>
              <a:t>첫구매</a:t>
            </a:r>
            <a:r>
              <a:rPr lang="en-US" altLang="ko-KR" sz="1200" b="0" i="0" baseline="0">
                <a:effectLst/>
              </a:rPr>
              <a:t> </a:t>
            </a:r>
            <a:r>
              <a:rPr lang="ko-KR" altLang="en-US" sz="1200" b="0" i="0" baseline="0">
                <a:effectLst/>
              </a:rPr>
              <a:t>및</a:t>
            </a:r>
            <a:r>
              <a:rPr lang="en-US" altLang="ko-KR" sz="1200" b="0" i="0" baseline="0">
                <a:effectLst/>
              </a:rPr>
              <a:t> </a:t>
            </a:r>
            <a:r>
              <a:rPr lang="ko-KR" altLang="en-US" sz="1200" b="0" i="0" baseline="0">
                <a:effectLst/>
              </a:rPr>
              <a:t>재구매 시점의 재산</a:t>
            </a:r>
            <a:br>
              <a:rPr lang="en-US" altLang="ko-KR" sz="1200" b="0" i="0" baseline="0">
                <a:effectLst/>
              </a:rPr>
            </a:br>
            <a:r>
              <a:rPr lang="en-US" altLang="ko-KR" sz="1200" b="0" i="0" baseline="0">
                <a:effectLst/>
              </a:rPr>
              <a:t>(</a:t>
            </a:r>
            <a:r>
              <a:rPr lang="ko-KR" altLang="en-US" sz="1200" b="0" i="0" baseline="0">
                <a:effectLst/>
              </a:rPr>
              <a:t>당시 소유 재산 및 축적 기간</a:t>
            </a:r>
            <a:r>
              <a:rPr lang="en-US" altLang="ko-KR" sz="1200" b="0" i="0" baseline="0">
                <a:effectLst/>
              </a:rPr>
              <a:t>)</a:t>
            </a:r>
            <a:endParaRPr lang="ko-KR" altLang="ko-KR" sz="105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5"/>
          <c:tx>
            <c:strRef>
              <c:f>'첫구매-리워드횟수'!$Y$1</c:f>
              <c:strCache>
                <c:ptCount val="1"/>
                <c:pt idx="0">
                  <c:v> 첫 구매 후 재구매 까지 수령한 보상 액 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val>
            <c:numRef>
              <c:f>'첫구매-리워드횟수'!$Y$2:$Y$76</c:f>
              <c:numCache>
                <c:formatCode>_("₩"* #,##0_);_("₩"* \(#,##0\);_("₩"* "-"_);_(@_)</c:formatCode>
                <c:ptCount val="75"/>
                <c:pt idx="0">
                  <c:v>482.30302999999998</c:v>
                </c:pt>
                <c:pt idx="1">
                  <c:v>1447.954839</c:v>
                </c:pt>
                <c:pt idx="2">
                  <c:v>2592.156489</c:v>
                </c:pt>
                <c:pt idx="3">
                  <c:v>2432.3732060000002</c:v>
                </c:pt>
                <c:pt idx="4">
                  <c:v>2093.578313</c:v>
                </c:pt>
                <c:pt idx="5">
                  <c:v>2459.4726030000002</c:v>
                </c:pt>
                <c:pt idx="6">
                  <c:v>2438.9821430000002</c:v>
                </c:pt>
                <c:pt idx="7">
                  <c:v>2048.6959459999998</c:v>
                </c:pt>
                <c:pt idx="8">
                  <c:v>1834.5391299999999</c:v>
                </c:pt>
                <c:pt idx="9">
                  <c:v>1250.333333</c:v>
                </c:pt>
                <c:pt idx="10">
                  <c:v>1415.030612</c:v>
                </c:pt>
                <c:pt idx="11">
                  <c:v>2025.069307</c:v>
                </c:pt>
                <c:pt idx="12">
                  <c:v>1360.153061</c:v>
                </c:pt>
                <c:pt idx="13">
                  <c:v>2068.8828119999998</c:v>
                </c:pt>
                <c:pt idx="14">
                  <c:v>1631.1120000000001</c:v>
                </c:pt>
                <c:pt idx="15">
                  <c:v>2461.3000000000002</c:v>
                </c:pt>
                <c:pt idx="16">
                  <c:v>1693.5338979999999</c:v>
                </c:pt>
                <c:pt idx="17">
                  <c:v>1765.1844659999999</c:v>
                </c:pt>
                <c:pt idx="18">
                  <c:v>1719.7894739999999</c:v>
                </c:pt>
                <c:pt idx="19">
                  <c:v>2096.4545450000001</c:v>
                </c:pt>
                <c:pt idx="20">
                  <c:v>1634.765625</c:v>
                </c:pt>
                <c:pt idx="21">
                  <c:v>1925.881944</c:v>
                </c:pt>
                <c:pt idx="22">
                  <c:v>1846.7671230000001</c:v>
                </c:pt>
                <c:pt idx="23">
                  <c:v>1537.025478</c:v>
                </c:pt>
                <c:pt idx="24">
                  <c:v>1516.321739</c:v>
                </c:pt>
                <c:pt idx="25">
                  <c:v>1690.410959</c:v>
                </c:pt>
                <c:pt idx="26">
                  <c:v>1574.339806</c:v>
                </c:pt>
                <c:pt idx="27">
                  <c:v>1914.1434260000001</c:v>
                </c:pt>
                <c:pt idx="28">
                  <c:v>2108.034314</c:v>
                </c:pt>
                <c:pt idx="29">
                  <c:v>2208.932292</c:v>
                </c:pt>
                <c:pt idx="30">
                  <c:v>2124.6561740000002</c:v>
                </c:pt>
                <c:pt idx="31">
                  <c:v>2671.2141329999999</c:v>
                </c:pt>
                <c:pt idx="32">
                  <c:v>2041.0490569999999</c:v>
                </c:pt>
                <c:pt idx="33">
                  <c:v>1509.5333330000001</c:v>
                </c:pt>
                <c:pt idx="34">
                  <c:v>1305.594595</c:v>
                </c:pt>
                <c:pt idx="35">
                  <c:v>1676.0272729999999</c:v>
                </c:pt>
                <c:pt idx="36">
                  <c:v>1258.659574</c:v>
                </c:pt>
                <c:pt idx="37">
                  <c:v>1256.572917</c:v>
                </c:pt>
                <c:pt idx="38">
                  <c:v>1336.379747</c:v>
                </c:pt>
                <c:pt idx="39">
                  <c:v>1478.5625</c:v>
                </c:pt>
                <c:pt idx="40">
                  <c:v>2043.6111109999999</c:v>
                </c:pt>
                <c:pt idx="41">
                  <c:v>2055.2771080000002</c:v>
                </c:pt>
                <c:pt idx="42">
                  <c:v>1407.877778</c:v>
                </c:pt>
                <c:pt idx="43">
                  <c:v>2239.583333</c:v>
                </c:pt>
                <c:pt idx="44">
                  <c:v>1432.6538459999999</c:v>
                </c:pt>
                <c:pt idx="45">
                  <c:v>1507.4</c:v>
                </c:pt>
                <c:pt idx="46">
                  <c:v>1881.8993290000001</c:v>
                </c:pt>
                <c:pt idx="47">
                  <c:v>1526.681818</c:v>
                </c:pt>
                <c:pt idx="48">
                  <c:v>1607.540984</c:v>
                </c:pt>
                <c:pt idx="49">
                  <c:v>1582.1692310000001</c:v>
                </c:pt>
                <c:pt idx="50">
                  <c:v>1519.8103450000001</c:v>
                </c:pt>
                <c:pt idx="51">
                  <c:v>1264.8117649999999</c:v>
                </c:pt>
                <c:pt idx="52">
                  <c:v>1308.4000000000001</c:v>
                </c:pt>
                <c:pt idx="53">
                  <c:v>2952.421053</c:v>
                </c:pt>
                <c:pt idx="54">
                  <c:v>1292.5</c:v>
                </c:pt>
                <c:pt idx="55">
                  <c:v>1512.314815</c:v>
                </c:pt>
                <c:pt idx="56">
                  <c:v>1782.96</c:v>
                </c:pt>
                <c:pt idx="57">
                  <c:v>1726</c:v>
                </c:pt>
                <c:pt idx="58">
                  <c:v>1265.87931</c:v>
                </c:pt>
                <c:pt idx="59">
                  <c:v>1413.6744189999999</c:v>
                </c:pt>
                <c:pt idx="60">
                  <c:v>1266.6734690000001</c:v>
                </c:pt>
                <c:pt idx="61">
                  <c:v>1108.6199999999999</c:v>
                </c:pt>
                <c:pt idx="62">
                  <c:v>1208.358974</c:v>
                </c:pt>
                <c:pt idx="63">
                  <c:v>1206.9534880000001</c:v>
                </c:pt>
                <c:pt idx="64">
                  <c:v>1401.4594589999999</c:v>
                </c:pt>
                <c:pt idx="65">
                  <c:v>1350.2750000000001</c:v>
                </c:pt>
                <c:pt idx="66">
                  <c:v>1272.8</c:v>
                </c:pt>
                <c:pt idx="67">
                  <c:v>1307.0952380000001</c:v>
                </c:pt>
                <c:pt idx="68">
                  <c:v>1919</c:v>
                </c:pt>
                <c:pt idx="69">
                  <c:v>947.96875</c:v>
                </c:pt>
                <c:pt idx="70">
                  <c:v>907.5</c:v>
                </c:pt>
                <c:pt idx="71">
                  <c:v>1467.444444</c:v>
                </c:pt>
                <c:pt idx="72">
                  <c:v>2133.7142859999999</c:v>
                </c:pt>
                <c:pt idx="73">
                  <c:v>1025.2</c:v>
                </c:pt>
                <c:pt idx="74">
                  <c:v>1377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821-490F-9C9A-D7813DA4E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76213488"/>
        <c:axId val="1399775312"/>
      </c:barChart>
      <c:lineChart>
        <c:grouping val="standard"/>
        <c:varyColors val="0"/>
        <c:ser>
          <c:idx val="0"/>
          <c:order val="0"/>
          <c:tx>
            <c:strRef>
              <c:f>'첫구매-리워드횟수'!$E$1</c:f>
              <c:strCache>
                <c:ptCount val="1"/>
                <c:pt idx="0">
                  <c:v>첫구매 전 쇼지</c:v>
                </c:pt>
              </c:strCache>
            </c:strRef>
          </c:tx>
          <c:spPr>
            <a:ln w="28575" cap="rnd">
              <a:solidFill>
                <a:schemeClr val="accent6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'첫구매-리워드횟수'!$E$2:$E$76</c:f>
              <c:numCache>
                <c:formatCode>General</c:formatCode>
                <c:ptCount val="75"/>
                <c:pt idx="0">
                  <c:v>6207.0403230000002</c:v>
                </c:pt>
                <c:pt idx="1">
                  <c:v>8073.9684340000003</c:v>
                </c:pt>
                <c:pt idx="2">
                  <c:v>8333.7880239999995</c:v>
                </c:pt>
                <c:pt idx="3">
                  <c:v>7451.0256799999997</c:v>
                </c:pt>
                <c:pt idx="4">
                  <c:v>7052.746032</c:v>
                </c:pt>
                <c:pt idx="5">
                  <c:v>7188.8125</c:v>
                </c:pt>
                <c:pt idx="6">
                  <c:v>7581.8383839999997</c:v>
                </c:pt>
                <c:pt idx="7">
                  <c:v>6725.9</c:v>
                </c:pt>
                <c:pt idx="8">
                  <c:v>6602.6923079999997</c:v>
                </c:pt>
                <c:pt idx="9">
                  <c:v>5836.3596729999999</c:v>
                </c:pt>
                <c:pt idx="10">
                  <c:v>6682.6140349999996</c:v>
                </c:pt>
                <c:pt idx="11">
                  <c:v>5492.5788110000003</c:v>
                </c:pt>
                <c:pt idx="12">
                  <c:v>6149.2694439999996</c:v>
                </c:pt>
                <c:pt idx="13">
                  <c:v>6988.4516130000002</c:v>
                </c:pt>
                <c:pt idx="14">
                  <c:v>6119.3625300000003</c:v>
                </c:pt>
                <c:pt idx="15">
                  <c:v>6634.3462529999997</c:v>
                </c:pt>
                <c:pt idx="16">
                  <c:v>6849.7311829999999</c:v>
                </c:pt>
                <c:pt idx="17">
                  <c:v>6153.0363129999996</c:v>
                </c:pt>
                <c:pt idx="18">
                  <c:v>6457.4606739999999</c:v>
                </c:pt>
                <c:pt idx="19">
                  <c:v>6135.6010500000002</c:v>
                </c:pt>
                <c:pt idx="20">
                  <c:v>6368.0786799999996</c:v>
                </c:pt>
                <c:pt idx="21">
                  <c:v>6312.4089830000003</c:v>
                </c:pt>
                <c:pt idx="22">
                  <c:v>6635.1230070000001</c:v>
                </c:pt>
                <c:pt idx="23">
                  <c:v>6096.7713629999998</c:v>
                </c:pt>
                <c:pt idx="24">
                  <c:v>6555.88</c:v>
                </c:pt>
                <c:pt idx="25">
                  <c:v>7046.5828090000005</c:v>
                </c:pt>
                <c:pt idx="26">
                  <c:v>6516.84854</c:v>
                </c:pt>
                <c:pt idx="27">
                  <c:v>5955.982301</c:v>
                </c:pt>
                <c:pt idx="28">
                  <c:v>5803.2232510000003</c:v>
                </c:pt>
                <c:pt idx="29">
                  <c:v>5936.8399550000004</c:v>
                </c:pt>
                <c:pt idx="30">
                  <c:v>6511.6435869999996</c:v>
                </c:pt>
                <c:pt idx="31">
                  <c:v>5902.6869390000002</c:v>
                </c:pt>
                <c:pt idx="32">
                  <c:v>6150.1990050000004</c:v>
                </c:pt>
                <c:pt idx="33">
                  <c:v>7860.316527</c:v>
                </c:pt>
                <c:pt idx="34">
                  <c:v>7880.9562980000001</c:v>
                </c:pt>
                <c:pt idx="35">
                  <c:v>8904.4453780000003</c:v>
                </c:pt>
                <c:pt idx="36">
                  <c:v>9227.9529409999996</c:v>
                </c:pt>
                <c:pt idx="37">
                  <c:v>8848.8841460000003</c:v>
                </c:pt>
                <c:pt idx="38">
                  <c:v>9576.4819669999997</c:v>
                </c:pt>
                <c:pt idx="39">
                  <c:v>9590.9018400000004</c:v>
                </c:pt>
                <c:pt idx="40">
                  <c:v>9720.5144689999997</c:v>
                </c:pt>
                <c:pt idx="41">
                  <c:v>10129.286645</c:v>
                </c:pt>
                <c:pt idx="42">
                  <c:v>9830.2711369999997</c:v>
                </c:pt>
                <c:pt idx="43">
                  <c:v>10087.672043</c:v>
                </c:pt>
                <c:pt idx="44">
                  <c:v>9954.1687340000008</c:v>
                </c:pt>
                <c:pt idx="45">
                  <c:v>11159.552083</c:v>
                </c:pt>
                <c:pt idx="46">
                  <c:v>11652.637522999999</c:v>
                </c:pt>
                <c:pt idx="47">
                  <c:v>12289.690017999999</c:v>
                </c:pt>
                <c:pt idx="48">
                  <c:v>13500.005262999999</c:v>
                </c:pt>
                <c:pt idx="49">
                  <c:v>15153.775087</c:v>
                </c:pt>
                <c:pt idx="50">
                  <c:v>15217.949057</c:v>
                </c:pt>
                <c:pt idx="51">
                  <c:v>15313.842892999999</c:v>
                </c:pt>
                <c:pt idx="52">
                  <c:v>14332.04</c:v>
                </c:pt>
                <c:pt idx="53">
                  <c:v>14113.204481999999</c:v>
                </c:pt>
                <c:pt idx="54">
                  <c:v>15789.926174</c:v>
                </c:pt>
                <c:pt idx="55">
                  <c:v>15106.052023</c:v>
                </c:pt>
                <c:pt idx="56">
                  <c:v>14793.278107</c:v>
                </c:pt>
                <c:pt idx="57">
                  <c:v>15400.396552</c:v>
                </c:pt>
                <c:pt idx="58">
                  <c:v>15326.532423000001</c:v>
                </c:pt>
                <c:pt idx="59">
                  <c:v>14253.399142</c:v>
                </c:pt>
                <c:pt idx="60">
                  <c:v>14835.760956</c:v>
                </c:pt>
                <c:pt idx="61">
                  <c:v>14162.020906</c:v>
                </c:pt>
                <c:pt idx="62">
                  <c:v>14484.268040999999</c:v>
                </c:pt>
                <c:pt idx="63">
                  <c:v>15859.354429999999</c:v>
                </c:pt>
                <c:pt idx="64">
                  <c:v>15818.726962000001</c:v>
                </c:pt>
                <c:pt idx="65">
                  <c:v>15674.429185000001</c:v>
                </c:pt>
                <c:pt idx="66">
                  <c:v>15035.163551</c:v>
                </c:pt>
                <c:pt idx="67">
                  <c:v>15132.642857000001</c:v>
                </c:pt>
                <c:pt idx="68">
                  <c:v>15062.093022999999</c:v>
                </c:pt>
                <c:pt idx="69">
                  <c:v>14734.882609</c:v>
                </c:pt>
                <c:pt idx="70">
                  <c:v>16675.099010000002</c:v>
                </c:pt>
                <c:pt idx="71">
                  <c:v>16672.052287999999</c:v>
                </c:pt>
                <c:pt idx="72">
                  <c:v>16632.045044999999</c:v>
                </c:pt>
                <c:pt idx="73">
                  <c:v>17252.833332999999</c:v>
                </c:pt>
                <c:pt idx="74">
                  <c:v>15593.487805000001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21-490F-9C9A-D7813DA4EB17}"/>
            </c:ext>
          </c:extLst>
        </c:ser>
        <c:ser>
          <c:idx val="1"/>
          <c:order val="1"/>
          <c:tx>
            <c:strRef>
              <c:f>'첫구매-리워드횟수'!$F$1</c:f>
              <c:strCache>
                <c:ptCount val="1"/>
                <c:pt idx="0">
                  <c:v>첫구매 전 캐시</c:v>
                </c:pt>
              </c:strCache>
            </c:strRef>
          </c:tx>
          <c:spPr>
            <a:ln w="2857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'첫구매-리워드횟수'!$F$2:$F$76</c:f>
              <c:numCache>
                <c:formatCode>General</c:formatCode>
                <c:ptCount val="75"/>
                <c:pt idx="0">
                  <c:v>3428.0483869999998</c:v>
                </c:pt>
                <c:pt idx="1">
                  <c:v>4118.7020199999997</c:v>
                </c:pt>
                <c:pt idx="2">
                  <c:v>6698.3544910000001</c:v>
                </c:pt>
                <c:pt idx="3">
                  <c:v>6287.049849</c:v>
                </c:pt>
                <c:pt idx="4">
                  <c:v>6943.1640209999996</c:v>
                </c:pt>
                <c:pt idx="5">
                  <c:v>7034.546875</c:v>
                </c:pt>
                <c:pt idx="6">
                  <c:v>7820.7010099999998</c:v>
                </c:pt>
                <c:pt idx="7">
                  <c:v>7303.1934780000001</c:v>
                </c:pt>
                <c:pt idx="8">
                  <c:v>7460.7293449999997</c:v>
                </c:pt>
                <c:pt idx="9">
                  <c:v>7301.4468660000002</c:v>
                </c:pt>
                <c:pt idx="10">
                  <c:v>6545.4444439999997</c:v>
                </c:pt>
                <c:pt idx="11">
                  <c:v>6753.4108530000003</c:v>
                </c:pt>
                <c:pt idx="12">
                  <c:v>7768.75</c:v>
                </c:pt>
                <c:pt idx="13">
                  <c:v>6405.2009930000004</c:v>
                </c:pt>
                <c:pt idx="14">
                  <c:v>7228.3138689999996</c:v>
                </c:pt>
                <c:pt idx="15">
                  <c:v>7232.6072350000004</c:v>
                </c:pt>
                <c:pt idx="16">
                  <c:v>6772.6586020000004</c:v>
                </c:pt>
                <c:pt idx="17">
                  <c:v>6679.7709500000001</c:v>
                </c:pt>
                <c:pt idx="18">
                  <c:v>6627.6825840000001</c:v>
                </c:pt>
                <c:pt idx="19">
                  <c:v>7034.929134</c:v>
                </c:pt>
                <c:pt idx="20">
                  <c:v>7688.895939</c:v>
                </c:pt>
                <c:pt idx="21">
                  <c:v>7248.2529549999999</c:v>
                </c:pt>
                <c:pt idx="22">
                  <c:v>7263.373576</c:v>
                </c:pt>
                <c:pt idx="23">
                  <c:v>7152.6073900000001</c:v>
                </c:pt>
                <c:pt idx="24">
                  <c:v>7049.0047059999997</c:v>
                </c:pt>
                <c:pt idx="25">
                  <c:v>6101.549266</c:v>
                </c:pt>
                <c:pt idx="26">
                  <c:v>7820.9288319999996</c:v>
                </c:pt>
                <c:pt idx="27">
                  <c:v>8275.9926250000008</c:v>
                </c:pt>
                <c:pt idx="28">
                  <c:v>9630.9681070000006</c:v>
                </c:pt>
                <c:pt idx="29">
                  <c:v>10358.970488000001</c:v>
                </c:pt>
                <c:pt idx="30">
                  <c:v>9647.7275819999995</c:v>
                </c:pt>
                <c:pt idx="31">
                  <c:v>11281.130607999999</c:v>
                </c:pt>
                <c:pt idx="32">
                  <c:v>9711.2288559999997</c:v>
                </c:pt>
                <c:pt idx="33">
                  <c:v>6134.4369749999996</c:v>
                </c:pt>
                <c:pt idx="34">
                  <c:v>7028.3701799999999</c:v>
                </c:pt>
                <c:pt idx="35">
                  <c:v>5859.565826</c:v>
                </c:pt>
                <c:pt idx="36">
                  <c:v>6472.2588239999995</c:v>
                </c:pt>
                <c:pt idx="37">
                  <c:v>5808.1646339999998</c:v>
                </c:pt>
                <c:pt idx="38">
                  <c:v>6186.3934429999999</c:v>
                </c:pt>
                <c:pt idx="39">
                  <c:v>5455.0828220000003</c:v>
                </c:pt>
                <c:pt idx="40">
                  <c:v>5454.6720260000002</c:v>
                </c:pt>
                <c:pt idx="41">
                  <c:v>5376.67101</c:v>
                </c:pt>
                <c:pt idx="42">
                  <c:v>5637.5422740000004</c:v>
                </c:pt>
                <c:pt idx="43">
                  <c:v>5836.9650540000002</c:v>
                </c:pt>
                <c:pt idx="44">
                  <c:v>5631.6724569999997</c:v>
                </c:pt>
                <c:pt idx="45">
                  <c:v>5597.6208329999999</c:v>
                </c:pt>
                <c:pt idx="46">
                  <c:v>6874.4936250000001</c:v>
                </c:pt>
                <c:pt idx="47">
                  <c:v>5551.5709280000001</c:v>
                </c:pt>
                <c:pt idx="48">
                  <c:v>4303.6701750000002</c:v>
                </c:pt>
                <c:pt idx="49">
                  <c:v>3373.749135</c:v>
                </c:pt>
                <c:pt idx="50">
                  <c:v>3516.5169810000002</c:v>
                </c:pt>
                <c:pt idx="51">
                  <c:v>2907.157107</c:v>
                </c:pt>
                <c:pt idx="52">
                  <c:v>3485.8986669999999</c:v>
                </c:pt>
                <c:pt idx="53">
                  <c:v>3192.8711480000002</c:v>
                </c:pt>
                <c:pt idx="54">
                  <c:v>2934.3456379999998</c:v>
                </c:pt>
                <c:pt idx="55">
                  <c:v>3506.4046239999998</c:v>
                </c:pt>
                <c:pt idx="56">
                  <c:v>2796.1952660000002</c:v>
                </c:pt>
                <c:pt idx="57">
                  <c:v>3098.8620689999998</c:v>
                </c:pt>
                <c:pt idx="58">
                  <c:v>2913.2013649999999</c:v>
                </c:pt>
                <c:pt idx="59">
                  <c:v>3180.5150210000002</c:v>
                </c:pt>
                <c:pt idx="60">
                  <c:v>3123.350598</c:v>
                </c:pt>
                <c:pt idx="61">
                  <c:v>3122.236934</c:v>
                </c:pt>
                <c:pt idx="62">
                  <c:v>4126.5704470000001</c:v>
                </c:pt>
                <c:pt idx="63">
                  <c:v>3312.7088610000001</c:v>
                </c:pt>
                <c:pt idx="64">
                  <c:v>3367.0238909999998</c:v>
                </c:pt>
                <c:pt idx="65">
                  <c:v>3037.7038630000002</c:v>
                </c:pt>
                <c:pt idx="66">
                  <c:v>2554.5046729999999</c:v>
                </c:pt>
                <c:pt idx="67">
                  <c:v>3661.1326530000001</c:v>
                </c:pt>
                <c:pt idx="68">
                  <c:v>4058.2558140000001</c:v>
                </c:pt>
                <c:pt idx="69">
                  <c:v>3520.6</c:v>
                </c:pt>
                <c:pt idx="70">
                  <c:v>2562.1732670000001</c:v>
                </c:pt>
                <c:pt idx="71">
                  <c:v>2393.3921570000002</c:v>
                </c:pt>
                <c:pt idx="72">
                  <c:v>3668.27027</c:v>
                </c:pt>
                <c:pt idx="73">
                  <c:v>4232.2142860000004</c:v>
                </c:pt>
                <c:pt idx="74">
                  <c:v>5179.1951220000001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821-490F-9C9A-D7813DA4EB17}"/>
            </c:ext>
          </c:extLst>
        </c:ser>
        <c:ser>
          <c:idx val="2"/>
          <c:order val="2"/>
          <c:tx>
            <c:strRef>
              <c:f>'첫구매-리워드횟수'!$S$1</c:f>
              <c:strCache>
                <c:ptCount val="1"/>
                <c:pt idx="0">
                  <c:v> 재구매 전 쇼지 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'첫구매-리워드횟수'!$S$2:$S$76</c:f>
              <c:numCache>
                <c:formatCode>_("₩"* #,##0_);_("₩"* \(#,##0\);_("₩"* "-"_);_(@_)</c:formatCode>
                <c:ptCount val="75"/>
                <c:pt idx="0">
                  <c:v>5370.0217389999998</c:v>
                </c:pt>
                <c:pt idx="1">
                  <c:v>7401.3756910000002</c:v>
                </c:pt>
                <c:pt idx="2">
                  <c:v>8656.7743059999993</c:v>
                </c:pt>
                <c:pt idx="3">
                  <c:v>6696.48927</c:v>
                </c:pt>
                <c:pt idx="4">
                  <c:v>6689.7021279999999</c:v>
                </c:pt>
                <c:pt idx="5">
                  <c:v>7381.1463409999997</c:v>
                </c:pt>
                <c:pt idx="6">
                  <c:v>7210.2245990000001</c:v>
                </c:pt>
                <c:pt idx="7">
                  <c:v>7537.4968939999999</c:v>
                </c:pt>
                <c:pt idx="8">
                  <c:v>7561.0846149999998</c:v>
                </c:pt>
                <c:pt idx="9">
                  <c:v>5886.7094020000004</c:v>
                </c:pt>
                <c:pt idx="10">
                  <c:v>8069.4245279999996</c:v>
                </c:pt>
                <c:pt idx="11">
                  <c:v>6303.4188029999996</c:v>
                </c:pt>
                <c:pt idx="12">
                  <c:v>7620.7547169999998</c:v>
                </c:pt>
                <c:pt idx="13">
                  <c:v>6761.95</c:v>
                </c:pt>
                <c:pt idx="14">
                  <c:v>8253.4850750000005</c:v>
                </c:pt>
                <c:pt idx="15">
                  <c:v>9891.2820510000001</c:v>
                </c:pt>
                <c:pt idx="16">
                  <c:v>7720.8031499999997</c:v>
                </c:pt>
                <c:pt idx="17">
                  <c:v>7468.9909909999997</c:v>
                </c:pt>
                <c:pt idx="18">
                  <c:v>8865.5123970000004</c:v>
                </c:pt>
                <c:pt idx="19">
                  <c:v>9382.9296880000002</c:v>
                </c:pt>
                <c:pt idx="20">
                  <c:v>8367.9854009999999</c:v>
                </c:pt>
                <c:pt idx="21">
                  <c:v>9148.9276320000008</c:v>
                </c:pt>
                <c:pt idx="22">
                  <c:v>9529.611465</c:v>
                </c:pt>
                <c:pt idx="23">
                  <c:v>8923.2638040000002</c:v>
                </c:pt>
                <c:pt idx="24">
                  <c:v>10403.122950999999</c:v>
                </c:pt>
                <c:pt idx="25">
                  <c:v>9091.4509799999996</c:v>
                </c:pt>
                <c:pt idx="26">
                  <c:v>10100.266055</c:v>
                </c:pt>
                <c:pt idx="27">
                  <c:v>9991.042308</c:v>
                </c:pt>
                <c:pt idx="28">
                  <c:v>10889.961814</c:v>
                </c:pt>
                <c:pt idx="29">
                  <c:v>13025.661654</c:v>
                </c:pt>
                <c:pt idx="30">
                  <c:v>12163.070755000001</c:v>
                </c:pt>
                <c:pt idx="31">
                  <c:v>13982.75</c:v>
                </c:pt>
                <c:pt idx="32">
                  <c:v>11406.033457</c:v>
                </c:pt>
                <c:pt idx="33">
                  <c:v>10374.935185</c:v>
                </c:pt>
                <c:pt idx="34">
                  <c:v>10126.859504</c:v>
                </c:pt>
                <c:pt idx="35">
                  <c:v>9756.3333330000005</c:v>
                </c:pt>
                <c:pt idx="36">
                  <c:v>10976.64</c:v>
                </c:pt>
                <c:pt idx="37">
                  <c:v>7989.73</c:v>
                </c:pt>
                <c:pt idx="38">
                  <c:v>8959.3678159999999</c:v>
                </c:pt>
                <c:pt idx="39">
                  <c:v>8990.8478259999993</c:v>
                </c:pt>
                <c:pt idx="40">
                  <c:v>9252.2619049999994</c:v>
                </c:pt>
                <c:pt idx="41">
                  <c:v>10123.639535</c:v>
                </c:pt>
                <c:pt idx="42">
                  <c:v>7774.9793810000001</c:v>
                </c:pt>
                <c:pt idx="43">
                  <c:v>11217.961165000001</c:v>
                </c:pt>
                <c:pt idx="44">
                  <c:v>9928.421053</c:v>
                </c:pt>
                <c:pt idx="45">
                  <c:v>9706.2479999999996</c:v>
                </c:pt>
                <c:pt idx="46">
                  <c:v>11402.987499999999</c:v>
                </c:pt>
                <c:pt idx="47">
                  <c:v>10015.202703000001</c:v>
                </c:pt>
                <c:pt idx="48">
                  <c:v>10816.310078</c:v>
                </c:pt>
                <c:pt idx="49">
                  <c:v>12167.943262000001</c:v>
                </c:pt>
                <c:pt idx="50">
                  <c:v>11328.016393</c:v>
                </c:pt>
                <c:pt idx="51">
                  <c:v>10247.314607</c:v>
                </c:pt>
                <c:pt idx="52">
                  <c:v>10044.200000000001</c:v>
                </c:pt>
                <c:pt idx="53">
                  <c:v>11728.683333000001</c:v>
                </c:pt>
                <c:pt idx="54">
                  <c:v>12009.333333</c:v>
                </c:pt>
                <c:pt idx="55">
                  <c:v>10363.189655</c:v>
                </c:pt>
                <c:pt idx="56">
                  <c:v>11284.7</c:v>
                </c:pt>
                <c:pt idx="57">
                  <c:v>11647.109091</c:v>
                </c:pt>
                <c:pt idx="58">
                  <c:v>10884.213115</c:v>
                </c:pt>
                <c:pt idx="59">
                  <c:v>11461.955556000001</c:v>
                </c:pt>
                <c:pt idx="60">
                  <c:v>9768.1296299999995</c:v>
                </c:pt>
                <c:pt idx="61">
                  <c:v>11697.849056999999</c:v>
                </c:pt>
                <c:pt idx="62">
                  <c:v>9901.2682929999992</c:v>
                </c:pt>
                <c:pt idx="63">
                  <c:v>12274.666667</c:v>
                </c:pt>
                <c:pt idx="64">
                  <c:v>10946.55</c:v>
                </c:pt>
                <c:pt idx="65">
                  <c:v>13035.255319</c:v>
                </c:pt>
                <c:pt idx="66">
                  <c:v>9034</c:v>
                </c:pt>
                <c:pt idx="67">
                  <c:v>10994.8</c:v>
                </c:pt>
                <c:pt idx="68">
                  <c:v>14076.769231</c:v>
                </c:pt>
                <c:pt idx="69">
                  <c:v>9158.2285709999996</c:v>
                </c:pt>
                <c:pt idx="70">
                  <c:v>14080.074074</c:v>
                </c:pt>
                <c:pt idx="71">
                  <c:v>10983.2</c:v>
                </c:pt>
                <c:pt idx="72">
                  <c:v>15910.714286</c:v>
                </c:pt>
                <c:pt idx="73">
                  <c:v>12862.272727</c:v>
                </c:pt>
                <c:pt idx="74">
                  <c:v>10661.75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21-490F-9C9A-D7813DA4EB17}"/>
            </c:ext>
          </c:extLst>
        </c:ser>
        <c:ser>
          <c:idx val="3"/>
          <c:order val="3"/>
          <c:tx>
            <c:strRef>
              <c:f>'첫구매-리워드횟수'!$T$1</c:f>
              <c:strCache>
                <c:ptCount val="1"/>
                <c:pt idx="0">
                  <c:v> 재구매 전 캐시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'첫구매-리워드횟수'!$T$2:$T$76</c:f>
              <c:numCache>
                <c:formatCode>_("₩"* #,##0_);_("₩"* \(#,##0\);_("₩"* "-"_);_(@_)</c:formatCode>
                <c:ptCount val="75"/>
                <c:pt idx="0">
                  <c:v>2597.681818</c:v>
                </c:pt>
                <c:pt idx="1">
                  <c:v>4702.859649</c:v>
                </c:pt>
                <c:pt idx="2">
                  <c:v>6158.8535709999996</c:v>
                </c:pt>
                <c:pt idx="3">
                  <c:v>6464.9115039999997</c:v>
                </c:pt>
                <c:pt idx="4">
                  <c:v>7230.9518719999996</c:v>
                </c:pt>
                <c:pt idx="5">
                  <c:v>6768.4012350000003</c:v>
                </c:pt>
                <c:pt idx="6">
                  <c:v>8175.9135139999999</c:v>
                </c:pt>
                <c:pt idx="7">
                  <c:v>7414.9808919999996</c:v>
                </c:pt>
                <c:pt idx="8">
                  <c:v>6998.4765619999998</c:v>
                </c:pt>
                <c:pt idx="9">
                  <c:v>6598.1217390000002</c:v>
                </c:pt>
                <c:pt idx="10">
                  <c:v>6186.87619</c:v>
                </c:pt>
                <c:pt idx="11">
                  <c:v>5342.7350429999997</c:v>
                </c:pt>
                <c:pt idx="12">
                  <c:v>6962.8942310000002</c:v>
                </c:pt>
                <c:pt idx="13">
                  <c:v>5899.5652170000003</c:v>
                </c:pt>
                <c:pt idx="14">
                  <c:v>6204.4696970000005</c:v>
                </c:pt>
                <c:pt idx="15">
                  <c:v>5912.7982460000003</c:v>
                </c:pt>
                <c:pt idx="16">
                  <c:v>5898.3412699999999</c:v>
                </c:pt>
                <c:pt idx="17">
                  <c:v>4566.7592590000004</c:v>
                </c:pt>
                <c:pt idx="18">
                  <c:v>4195.0166669999999</c:v>
                </c:pt>
                <c:pt idx="19">
                  <c:v>4250.2698410000003</c:v>
                </c:pt>
                <c:pt idx="20">
                  <c:v>6537.9927010000001</c:v>
                </c:pt>
                <c:pt idx="21">
                  <c:v>4835.597315</c:v>
                </c:pt>
                <c:pt idx="22">
                  <c:v>5261.4172189999999</c:v>
                </c:pt>
                <c:pt idx="23">
                  <c:v>3818.9378879999999</c:v>
                </c:pt>
                <c:pt idx="24">
                  <c:v>4602.7768599999999</c:v>
                </c:pt>
                <c:pt idx="25">
                  <c:v>2908.2466669999999</c:v>
                </c:pt>
                <c:pt idx="26">
                  <c:v>3764.22381</c:v>
                </c:pt>
                <c:pt idx="27">
                  <c:v>3813.1312739999998</c:v>
                </c:pt>
                <c:pt idx="28">
                  <c:v>4491.179177</c:v>
                </c:pt>
                <c:pt idx="29">
                  <c:v>4256.9238580000001</c:v>
                </c:pt>
                <c:pt idx="30">
                  <c:v>3575.0023919999999</c:v>
                </c:pt>
                <c:pt idx="31">
                  <c:v>3413.77234</c:v>
                </c:pt>
                <c:pt idx="32">
                  <c:v>4173.2172280000004</c:v>
                </c:pt>
                <c:pt idx="33">
                  <c:v>3381.0648150000002</c:v>
                </c:pt>
                <c:pt idx="34">
                  <c:v>4134.8083329999999</c:v>
                </c:pt>
                <c:pt idx="35">
                  <c:v>3231.1651379999998</c:v>
                </c:pt>
                <c:pt idx="36">
                  <c:v>3359.0808080000002</c:v>
                </c:pt>
                <c:pt idx="37">
                  <c:v>2982.76</c:v>
                </c:pt>
                <c:pt idx="38">
                  <c:v>3560.3953489999999</c:v>
                </c:pt>
                <c:pt idx="39">
                  <c:v>2712.2921350000001</c:v>
                </c:pt>
                <c:pt idx="40">
                  <c:v>2548.2738100000001</c:v>
                </c:pt>
                <c:pt idx="41">
                  <c:v>2329.117647</c:v>
                </c:pt>
                <c:pt idx="42">
                  <c:v>4289.5979379999999</c:v>
                </c:pt>
                <c:pt idx="43">
                  <c:v>1681.47</c:v>
                </c:pt>
                <c:pt idx="44">
                  <c:v>1961.0973449999999</c:v>
                </c:pt>
                <c:pt idx="45">
                  <c:v>2830.5039999999999</c:v>
                </c:pt>
                <c:pt idx="46">
                  <c:v>2312.893082</c:v>
                </c:pt>
                <c:pt idx="47">
                  <c:v>2060.2465750000001</c:v>
                </c:pt>
                <c:pt idx="48">
                  <c:v>1646.0930229999999</c:v>
                </c:pt>
                <c:pt idx="49">
                  <c:v>1345.6571429999999</c:v>
                </c:pt>
                <c:pt idx="50">
                  <c:v>1358.3109240000001</c:v>
                </c:pt>
                <c:pt idx="51">
                  <c:v>1269.090909</c:v>
                </c:pt>
                <c:pt idx="52">
                  <c:v>2276.3142859999998</c:v>
                </c:pt>
                <c:pt idx="53">
                  <c:v>1431.59322</c:v>
                </c:pt>
                <c:pt idx="54">
                  <c:v>1431.479167</c:v>
                </c:pt>
                <c:pt idx="55">
                  <c:v>1823.568966</c:v>
                </c:pt>
                <c:pt idx="56">
                  <c:v>2033.866667</c:v>
                </c:pt>
                <c:pt idx="57">
                  <c:v>2285.8363639999998</c:v>
                </c:pt>
                <c:pt idx="58">
                  <c:v>1626.0983610000001</c:v>
                </c:pt>
                <c:pt idx="59">
                  <c:v>740.71111099999996</c:v>
                </c:pt>
                <c:pt idx="60">
                  <c:v>2384.7547169999998</c:v>
                </c:pt>
                <c:pt idx="61">
                  <c:v>2626.5294119999999</c:v>
                </c:pt>
                <c:pt idx="62">
                  <c:v>3699.3658540000001</c:v>
                </c:pt>
                <c:pt idx="63">
                  <c:v>2151.2045450000001</c:v>
                </c:pt>
                <c:pt idx="64">
                  <c:v>1114.625</c:v>
                </c:pt>
                <c:pt idx="65">
                  <c:v>1501.4347829999999</c:v>
                </c:pt>
                <c:pt idx="66">
                  <c:v>3216.3103449999999</c:v>
                </c:pt>
                <c:pt idx="67">
                  <c:v>1563.56</c:v>
                </c:pt>
                <c:pt idx="68">
                  <c:v>4195.3461539999998</c:v>
                </c:pt>
                <c:pt idx="69">
                  <c:v>1937.2352940000001</c:v>
                </c:pt>
                <c:pt idx="70">
                  <c:v>704.25925900000004</c:v>
                </c:pt>
                <c:pt idx="71">
                  <c:v>1557.9</c:v>
                </c:pt>
                <c:pt idx="72">
                  <c:v>1712.666667</c:v>
                </c:pt>
                <c:pt idx="73">
                  <c:v>4712.0909089999996</c:v>
                </c:pt>
                <c:pt idx="74">
                  <c:v>16446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21-490F-9C9A-D7813DA4EB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6213488"/>
        <c:axId val="1399775312"/>
      </c:lineChart>
      <c:scatterChart>
        <c:scatterStyle val="lineMarker"/>
        <c:varyColors val="0"/>
        <c:ser>
          <c:idx val="4"/>
          <c:order val="4"/>
          <c:tx>
            <c:strRef>
              <c:f>'첫구매-리워드횟수'!$X$1</c:f>
              <c:strCache>
                <c:ptCount val="1"/>
                <c:pt idx="0">
                  <c:v> 첫 구매 후 재구매 까지 보상을 수령한 횟수 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40000"/>
                  <a:lumOff val="60000"/>
                </a:schemeClr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'첫구매-리워드횟수'!$X$2:$X$76</c:f>
              <c:numCache>
                <c:formatCode>_-* #,##0.0_-;\-* #,##0.0_-;_-* "-"_-;_-@_-</c:formatCode>
                <c:ptCount val="75"/>
                <c:pt idx="0">
                  <c:v>7.7272730000000003</c:v>
                </c:pt>
                <c:pt idx="1">
                  <c:v>22.045161</c:v>
                </c:pt>
                <c:pt idx="2">
                  <c:v>28.633588</c:v>
                </c:pt>
                <c:pt idx="3">
                  <c:v>23.425837000000001</c:v>
                </c:pt>
                <c:pt idx="4">
                  <c:v>26.072289000000001</c:v>
                </c:pt>
                <c:pt idx="5">
                  <c:v>23.328766999999999</c:v>
                </c:pt>
                <c:pt idx="6">
                  <c:v>31.059524</c:v>
                </c:pt>
                <c:pt idx="7">
                  <c:v>27.641891999999999</c:v>
                </c:pt>
                <c:pt idx="8">
                  <c:v>24.130434999999999</c:v>
                </c:pt>
                <c:pt idx="9">
                  <c:v>22.083333</c:v>
                </c:pt>
                <c:pt idx="10">
                  <c:v>22.479592</c:v>
                </c:pt>
                <c:pt idx="11">
                  <c:v>32.118811999999998</c:v>
                </c:pt>
                <c:pt idx="12">
                  <c:v>19.908162999999998</c:v>
                </c:pt>
                <c:pt idx="13">
                  <c:v>25.945312000000001</c:v>
                </c:pt>
                <c:pt idx="14">
                  <c:v>26.384</c:v>
                </c:pt>
                <c:pt idx="15">
                  <c:v>26.963636000000001</c:v>
                </c:pt>
                <c:pt idx="16">
                  <c:v>25.627119</c:v>
                </c:pt>
                <c:pt idx="17">
                  <c:v>26.398057999999999</c:v>
                </c:pt>
                <c:pt idx="18">
                  <c:v>29.438596</c:v>
                </c:pt>
                <c:pt idx="19">
                  <c:v>27.809916999999999</c:v>
                </c:pt>
                <c:pt idx="20">
                  <c:v>27.023437999999999</c:v>
                </c:pt>
                <c:pt idx="21">
                  <c:v>30.069444000000001</c:v>
                </c:pt>
                <c:pt idx="22">
                  <c:v>28.952055000000001</c:v>
                </c:pt>
                <c:pt idx="23">
                  <c:v>24.031846999999999</c:v>
                </c:pt>
                <c:pt idx="24">
                  <c:v>24.008696</c:v>
                </c:pt>
                <c:pt idx="25">
                  <c:v>27.342466000000002</c:v>
                </c:pt>
                <c:pt idx="26">
                  <c:v>26.300971000000001</c:v>
                </c:pt>
                <c:pt idx="27">
                  <c:v>26.992031999999998</c:v>
                </c:pt>
                <c:pt idx="28">
                  <c:v>32.046568999999998</c:v>
                </c:pt>
                <c:pt idx="29">
                  <c:v>31.179687999999999</c:v>
                </c:pt>
                <c:pt idx="30">
                  <c:v>29.777239999999999</c:v>
                </c:pt>
                <c:pt idx="31">
                  <c:v>33.982869000000001</c:v>
                </c:pt>
                <c:pt idx="32">
                  <c:v>28.483018999999999</c:v>
                </c:pt>
                <c:pt idx="33">
                  <c:v>24.247619</c:v>
                </c:pt>
                <c:pt idx="34">
                  <c:v>20.693694000000001</c:v>
                </c:pt>
                <c:pt idx="35">
                  <c:v>25.763636000000002</c:v>
                </c:pt>
                <c:pt idx="36">
                  <c:v>19.808510999999999</c:v>
                </c:pt>
                <c:pt idx="37">
                  <c:v>18.59375</c:v>
                </c:pt>
                <c:pt idx="38">
                  <c:v>18.126581999999999</c:v>
                </c:pt>
                <c:pt idx="39">
                  <c:v>22.162500000000001</c:v>
                </c:pt>
                <c:pt idx="40">
                  <c:v>23.041667</c:v>
                </c:pt>
                <c:pt idx="41">
                  <c:v>22.120481999999999</c:v>
                </c:pt>
                <c:pt idx="42">
                  <c:v>20.222221999999999</c:v>
                </c:pt>
                <c:pt idx="43">
                  <c:v>18.666667</c:v>
                </c:pt>
                <c:pt idx="44">
                  <c:v>23.086538000000001</c:v>
                </c:pt>
                <c:pt idx="45">
                  <c:v>22.626086999999998</c:v>
                </c:pt>
                <c:pt idx="46">
                  <c:v>23.214765</c:v>
                </c:pt>
                <c:pt idx="47">
                  <c:v>22.371212</c:v>
                </c:pt>
                <c:pt idx="48">
                  <c:v>22.778689</c:v>
                </c:pt>
                <c:pt idx="49">
                  <c:v>23.284614999999999</c:v>
                </c:pt>
                <c:pt idx="50">
                  <c:v>20.672414</c:v>
                </c:pt>
                <c:pt idx="51">
                  <c:v>18.976471</c:v>
                </c:pt>
                <c:pt idx="52">
                  <c:v>18.566666999999999</c:v>
                </c:pt>
                <c:pt idx="53">
                  <c:v>23.719297999999998</c:v>
                </c:pt>
                <c:pt idx="54">
                  <c:v>19.826087000000001</c:v>
                </c:pt>
                <c:pt idx="55">
                  <c:v>22.111111000000001</c:v>
                </c:pt>
                <c:pt idx="56">
                  <c:v>18.72</c:v>
                </c:pt>
                <c:pt idx="57">
                  <c:v>22.686274999999998</c:v>
                </c:pt>
                <c:pt idx="58">
                  <c:v>20.137930999999998</c:v>
                </c:pt>
                <c:pt idx="59">
                  <c:v>17.674419</c:v>
                </c:pt>
                <c:pt idx="60">
                  <c:v>19.102041</c:v>
                </c:pt>
                <c:pt idx="61">
                  <c:v>15.64</c:v>
                </c:pt>
                <c:pt idx="62">
                  <c:v>18.794872000000002</c:v>
                </c:pt>
                <c:pt idx="63">
                  <c:v>17.302326000000001</c:v>
                </c:pt>
                <c:pt idx="64">
                  <c:v>20.162161999999999</c:v>
                </c:pt>
                <c:pt idx="65">
                  <c:v>19.925000000000001</c:v>
                </c:pt>
                <c:pt idx="66">
                  <c:v>18.16</c:v>
                </c:pt>
                <c:pt idx="67">
                  <c:v>16.809524</c:v>
                </c:pt>
                <c:pt idx="68">
                  <c:v>23.142856999999999</c:v>
                </c:pt>
                <c:pt idx="69">
                  <c:v>16.25</c:v>
                </c:pt>
                <c:pt idx="70">
                  <c:v>14.083333</c:v>
                </c:pt>
                <c:pt idx="71">
                  <c:v>20.555555999999999</c:v>
                </c:pt>
                <c:pt idx="72">
                  <c:v>20.523810000000001</c:v>
                </c:pt>
                <c:pt idx="73">
                  <c:v>14.2</c:v>
                </c:pt>
                <c:pt idx="74">
                  <c:v>17.5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821-490F-9C9A-D7813DA4EB17}"/>
            </c:ext>
          </c:extLst>
        </c:ser>
        <c:ser>
          <c:idx val="6"/>
          <c:order val="6"/>
          <c:tx>
            <c:strRef>
              <c:f>'첫구매-리워드횟수'!$AF$1</c:f>
              <c:strCache>
                <c:ptCount val="1"/>
                <c:pt idx="0">
                  <c:v>군집 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-3.9273441335297005E-3"/>
                  <c:y val="-0.35398230088495575"/>
                </c:manualLayout>
              </c:layout>
              <c:tx>
                <c:rich>
                  <a:bodyPr/>
                  <a:lstStyle/>
                  <a:p>
                    <a:fld id="{44822071-E2CF-46F2-92BC-1BDB5B792806}" type="SERIESNAME">
                      <a:rPr lang="en-US" altLang="ko-KR"/>
                      <a:pPr/>
                      <a:t>[계열 이름]</a:t>
                    </a:fld>
                    <a:endParaRPr lang="ko-KR" alt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5A8-47B1-A8AB-E22AACF24F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plus"/>
            <c:errValType val="fixedVal"/>
            <c:noEndCap val="1"/>
            <c:val val="4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dashDot"/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'첫구매-리워드횟수'!$AF$2:$AF$76</c:f>
              <c:numCache>
                <c:formatCode>0%</c:formatCode>
                <c:ptCount val="75"/>
                <c:pt idx="3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A8-47B1-A8AB-E22AACF24F48}"/>
            </c:ext>
          </c:extLst>
        </c:ser>
        <c:ser>
          <c:idx val="7"/>
          <c:order val="7"/>
          <c:tx>
            <c:strRef>
              <c:f>'첫구매-리워드횟수'!$AG$1</c:f>
              <c:strCache>
                <c:ptCount val="1"/>
                <c:pt idx="0">
                  <c:v>군집 B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dLbls>
            <c:dLbl>
              <c:idx val="25"/>
              <c:layout>
                <c:manualLayout>
                  <c:x val="-9.8183603338242512E-3"/>
                  <c:y val="-0.34808259587020651"/>
                </c:manualLayout>
              </c:layout>
              <c:tx>
                <c:rich>
                  <a:bodyPr/>
                  <a:lstStyle/>
                  <a:p>
                    <a:fld id="{D9390F14-1400-42F9-B724-F5C34DAEBCBA}" type="SERIESNAME">
                      <a:rPr lang="en-US" altLang="ko-KR"/>
                      <a:pPr/>
                      <a:t>[계열 이름]</a:t>
                    </a:fld>
                    <a:endParaRPr lang="ko-KR" alt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A5A8-47B1-A8AB-E22AACF24F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plus"/>
            <c:errValType val="fixedVal"/>
            <c:noEndCap val="1"/>
            <c:val val="4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dashDot"/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'첫구매-리워드횟수'!$AG$2:$AG$76</c:f>
              <c:numCache>
                <c:formatCode>0%</c:formatCode>
                <c:ptCount val="75"/>
                <c:pt idx="25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5A8-47B1-A8AB-E22AACF24F48}"/>
            </c:ext>
          </c:extLst>
        </c:ser>
        <c:ser>
          <c:idx val="8"/>
          <c:order val="8"/>
          <c:tx>
            <c:strRef>
              <c:f>'첫구매-리워드횟수'!$AH$1</c:f>
              <c:strCache>
                <c:ptCount val="1"/>
                <c:pt idx="0">
                  <c:v>군집 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dLbls>
            <c:dLbl>
              <c:idx val="44"/>
              <c:layout>
                <c:manualLayout>
                  <c:x val="-1.1782032400589101E-2"/>
                  <c:y val="-0.35398230088495575"/>
                </c:manualLayout>
              </c:layout>
              <c:tx>
                <c:rich>
                  <a:bodyPr/>
                  <a:lstStyle/>
                  <a:p>
                    <a:fld id="{76DFA5C7-F378-4EBA-B854-D0C999102220}" type="SERIESNAME">
                      <a:rPr lang="en-US" altLang="ko-KR"/>
                      <a:pPr/>
                      <a:t>[계열 이름]</a:t>
                    </a:fld>
                    <a:endParaRPr lang="ko-KR" altLang="en-US"/>
                  </a:p>
                </c:rich>
              </c:tx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5A8-47B1-A8AB-E22AACF24F4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plus"/>
            <c:errValType val="fixedVal"/>
            <c:noEndCap val="0"/>
            <c:val val="4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dashDot"/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yVal>
            <c:numRef>
              <c:f>'첫구매-리워드횟수'!$AH$2:$AH$76</c:f>
              <c:numCache>
                <c:formatCode>0%</c:formatCode>
                <c:ptCount val="75"/>
                <c:pt idx="4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5A8-47B1-A8AB-E22AACF24F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2699728"/>
        <c:axId val="1274939552"/>
      </c:scatterChart>
      <c:catAx>
        <c:axId val="15762134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9775312"/>
        <c:crosses val="autoZero"/>
        <c:auto val="1"/>
        <c:lblAlgn val="ctr"/>
        <c:lblOffset val="100"/>
        <c:noMultiLvlLbl val="0"/>
      </c:catAx>
      <c:valAx>
        <c:axId val="1399775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₩&quot;* #,##0_);_(&quot;₩&quot;* \(#,##0\);_(&quot;₩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76213488"/>
        <c:crosses val="autoZero"/>
        <c:crossBetween val="between"/>
      </c:valAx>
      <c:valAx>
        <c:axId val="1274939552"/>
        <c:scaling>
          <c:orientation val="minMax"/>
        </c:scaling>
        <c:delete val="0"/>
        <c:axPos val="r"/>
        <c:numFmt formatCode="_-* #,##0.0_-;\-* #,##0.0_-;_-* &quot;-&quot;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2699728"/>
        <c:crosses val="max"/>
        <c:crossBetween val="midCat"/>
      </c:valAx>
      <c:valAx>
        <c:axId val="1392699728"/>
        <c:scaling>
          <c:orientation val="minMax"/>
        </c:scaling>
        <c:delete val="1"/>
        <c:axPos val="b"/>
        <c:majorTickMark val="out"/>
        <c:minorTickMark val="none"/>
        <c:tickLblPos val="nextTo"/>
        <c:crossAx val="1274939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200"/>
              <a:t>첫구매 전 축적 일 별</a:t>
            </a:r>
            <a:r>
              <a:rPr lang="en-US" altLang="ko-KR" sz="1200"/>
              <a:t>, </a:t>
            </a:r>
            <a:br>
              <a:rPr lang="en-US" altLang="ko-KR" sz="1200"/>
            </a:br>
            <a:r>
              <a:rPr lang="ko-KR" altLang="en-US" sz="1200"/>
              <a:t>재산과</a:t>
            </a:r>
            <a:r>
              <a:rPr lang="ko-KR" altLang="en-US" sz="1200" baseline="0"/>
              <a:t> 이탈</a:t>
            </a:r>
            <a:r>
              <a:rPr lang="en-US" altLang="ko-KR" sz="1200" baseline="0"/>
              <a:t>/</a:t>
            </a:r>
            <a:r>
              <a:rPr lang="ko-KR" altLang="en-US" sz="1200" baseline="0"/>
              <a:t>재구매 종속 관계</a:t>
            </a:r>
            <a:br>
              <a:rPr lang="en-US" altLang="ko-KR" sz="1200" baseline="0"/>
            </a:br>
            <a:r>
              <a:rPr lang="en-US" altLang="ko-KR" sz="1000" baseline="0"/>
              <a:t>(*</a:t>
            </a:r>
            <a:r>
              <a:rPr lang="ko-KR" altLang="en-US" sz="1000" baseline="0"/>
              <a:t>정규화 지표</a:t>
            </a:r>
            <a:r>
              <a:rPr lang="en-US" altLang="ko-KR" sz="1000" baseline="0"/>
              <a:t>)</a:t>
            </a:r>
            <a:endParaRPr lang="ko-KR" altLang="en-US" sz="1000"/>
          </a:p>
        </c:rich>
      </c:tx>
      <c:overlay val="0"/>
      <c:spPr>
        <a:noFill/>
        <a:ln w="0"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'첫구매-리워드횟수'!$D$1</c:f>
              <c:strCache>
                <c:ptCount val="1"/>
                <c:pt idx="0">
                  <c:v>user_id</c:v>
                </c:pt>
              </c:strCache>
            </c:strRef>
          </c:tx>
          <c:spPr>
            <a:solidFill>
              <a:schemeClr val="bg1">
                <a:lumMod val="65000"/>
                <a:alpha val="33000"/>
              </a:schemeClr>
            </a:solidFill>
            <a:ln w="0">
              <a:noFill/>
            </a:ln>
            <a:effectLst/>
          </c:spPr>
          <c:invertIfNegative val="0"/>
          <c:val>
            <c:numRef>
              <c:f>'첫구매-리워드횟수'!$D$2:$D$76</c:f>
              <c:numCache>
                <c:formatCode>General</c:formatCode>
                <c:ptCount val="75"/>
                <c:pt idx="0">
                  <c:v>372</c:v>
                </c:pt>
                <c:pt idx="1">
                  <c:v>792</c:v>
                </c:pt>
                <c:pt idx="2">
                  <c:v>835</c:v>
                </c:pt>
                <c:pt idx="3">
                  <c:v>662</c:v>
                </c:pt>
                <c:pt idx="4">
                  <c:v>567</c:v>
                </c:pt>
                <c:pt idx="5">
                  <c:v>512</c:v>
                </c:pt>
                <c:pt idx="6">
                  <c:v>495</c:v>
                </c:pt>
                <c:pt idx="7">
                  <c:v>460</c:v>
                </c:pt>
                <c:pt idx="8">
                  <c:v>351</c:v>
                </c:pt>
                <c:pt idx="9">
                  <c:v>367</c:v>
                </c:pt>
                <c:pt idx="10">
                  <c:v>342</c:v>
                </c:pt>
                <c:pt idx="11">
                  <c:v>387</c:v>
                </c:pt>
                <c:pt idx="12">
                  <c:v>360</c:v>
                </c:pt>
                <c:pt idx="13">
                  <c:v>403</c:v>
                </c:pt>
                <c:pt idx="14">
                  <c:v>411</c:v>
                </c:pt>
                <c:pt idx="15">
                  <c:v>387</c:v>
                </c:pt>
                <c:pt idx="16">
                  <c:v>372</c:v>
                </c:pt>
                <c:pt idx="17">
                  <c:v>358</c:v>
                </c:pt>
                <c:pt idx="18">
                  <c:v>356</c:v>
                </c:pt>
                <c:pt idx="19">
                  <c:v>381</c:v>
                </c:pt>
                <c:pt idx="20">
                  <c:v>394</c:v>
                </c:pt>
                <c:pt idx="21">
                  <c:v>423</c:v>
                </c:pt>
                <c:pt idx="22">
                  <c:v>439</c:v>
                </c:pt>
                <c:pt idx="23">
                  <c:v>433</c:v>
                </c:pt>
                <c:pt idx="24">
                  <c:v>425</c:v>
                </c:pt>
                <c:pt idx="25">
                  <c:v>477</c:v>
                </c:pt>
                <c:pt idx="26">
                  <c:v>548</c:v>
                </c:pt>
                <c:pt idx="27">
                  <c:v>678</c:v>
                </c:pt>
                <c:pt idx="28">
                  <c:v>972</c:v>
                </c:pt>
                <c:pt idx="29">
                  <c:v>881</c:v>
                </c:pt>
                <c:pt idx="30">
                  <c:v>881</c:v>
                </c:pt>
                <c:pt idx="31">
                  <c:v>1003</c:v>
                </c:pt>
                <c:pt idx="32">
                  <c:v>603</c:v>
                </c:pt>
                <c:pt idx="33">
                  <c:v>357</c:v>
                </c:pt>
                <c:pt idx="34">
                  <c:v>389</c:v>
                </c:pt>
                <c:pt idx="35">
                  <c:v>357</c:v>
                </c:pt>
                <c:pt idx="36">
                  <c:v>340</c:v>
                </c:pt>
                <c:pt idx="37">
                  <c:v>328</c:v>
                </c:pt>
                <c:pt idx="38">
                  <c:v>305</c:v>
                </c:pt>
                <c:pt idx="39">
                  <c:v>326</c:v>
                </c:pt>
                <c:pt idx="40">
                  <c:v>311</c:v>
                </c:pt>
                <c:pt idx="41">
                  <c:v>307</c:v>
                </c:pt>
                <c:pt idx="42">
                  <c:v>343</c:v>
                </c:pt>
                <c:pt idx="43">
                  <c:v>372</c:v>
                </c:pt>
                <c:pt idx="44">
                  <c:v>403</c:v>
                </c:pt>
                <c:pt idx="45">
                  <c:v>480</c:v>
                </c:pt>
                <c:pt idx="46">
                  <c:v>549</c:v>
                </c:pt>
                <c:pt idx="47">
                  <c:v>571</c:v>
                </c:pt>
                <c:pt idx="48">
                  <c:v>570</c:v>
                </c:pt>
                <c:pt idx="49">
                  <c:v>578</c:v>
                </c:pt>
                <c:pt idx="50">
                  <c:v>530</c:v>
                </c:pt>
                <c:pt idx="51">
                  <c:v>401</c:v>
                </c:pt>
                <c:pt idx="52">
                  <c:v>375</c:v>
                </c:pt>
                <c:pt idx="53">
                  <c:v>357</c:v>
                </c:pt>
                <c:pt idx="54">
                  <c:v>298</c:v>
                </c:pt>
                <c:pt idx="55">
                  <c:v>346</c:v>
                </c:pt>
                <c:pt idx="56">
                  <c:v>338</c:v>
                </c:pt>
                <c:pt idx="57">
                  <c:v>290</c:v>
                </c:pt>
                <c:pt idx="58">
                  <c:v>293</c:v>
                </c:pt>
                <c:pt idx="59">
                  <c:v>233</c:v>
                </c:pt>
                <c:pt idx="60">
                  <c:v>251</c:v>
                </c:pt>
                <c:pt idx="61">
                  <c:v>287</c:v>
                </c:pt>
                <c:pt idx="62">
                  <c:v>291</c:v>
                </c:pt>
                <c:pt idx="63">
                  <c:v>316</c:v>
                </c:pt>
                <c:pt idx="64">
                  <c:v>293</c:v>
                </c:pt>
                <c:pt idx="65">
                  <c:v>233</c:v>
                </c:pt>
                <c:pt idx="66">
                  <c:v>214</c:v>
                </c:pt>
                <c:pt idx="67">
                  <c:v>196</c:v>
                </c:pt>
                <c:pt idx="68">
                  <c:v>215</c:v>
                </c:pt>
                <c:pt idx="69">
                  <c:v>230</c:v>
                </c:pt>
                <c:pt idx="70">
                  <c:v>202</c:v>
                </c:pt>
                <c:pt idx="71">
                  <c:v>153</c:v>
                </c:pt>
                <c:pt idx="72">
                  <c:v>111</c:v>
                </c:pt>
                <c:pt idx="73">
                  <c:v>84</c:v>
                </c:pt>
                <c:pt idx="74">
                  <c:v>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94A-4150-926E-7235BBB84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58081904"/>
        <c:axId val="1399647952"/>
      </c:barChart>
      <c:lineChart>
        <c:grouping val="standard"/>
        <c:varyColors val="0"/>
        <c:ser>
          <c:idx val="0"/>
          <c:order val="0"/>
          <c:tx>
            <c:strRef>
              <c:f>'첫구매-리워드횟수'!$AA$1</c:f>
              <c:strCache>
                <c:ptCount val="1"/>
                <c:pt idx="0">
                  <c:v>첫구매 전 캐시 (정규화)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'첫구매-리워드횟수'!$AA$2:$AA$76</c:f>
              <c:numCache>
                <c:formatCode>0.0%</c:formatCode>
                <c:ptCount val="75"/>
                <c:pt idx="0">
                  <c:v>0.19869480686647981</c:v>
                </c:pt>
                <c:pt idx="1">
                  <c:v>0.23872612344327457</c:v>
                </c:pt>
                <c:pt idx="2">
                  <c:v>0.38824663530411913</c:v>
                </c:pt>
                <c:pt idx="3">
                  <c:v>0.3644068036624788</c:v>
                </c:pt>
                <c:pt idx="4">
                  <c:v>0.40243616146917777</c:v>
                </c:pt>
                <c:pt idx="5">
                  <c:v>0.40773284823570494</c:v>
                </c:pt>
                <c:pt idx="6">
                  <c:v>0.45329951660989598</c:v>
                </c:pt>
                <c:pt idx="7">
                  <c:v>0.42330400677035279</c:v>
                </c:pt>
                <c:pt idx="8">
                  <c:v>0.43243502101939657</c:v>
                </c:pt>
                <c:pt idx="9">
                  <c:v>0.42320277052896055</c:v>
                </c:pt>
                <c:pt idx="10">
                  <c:v>0.37938374049439966</c:v>
                </c:pt>
                <c:pt idx="11">
                  <c:v>0.39143778431352222</c:v>
                </c:pt>
                <c:pt idx="12">
                  <c:v>0.45028835844258025</c:v>
                </c:pt>
                <c:pt idx="13">
                  <c:v>0.37125502051588161</c:v>
                </c:pt>
                <c:pt idx="14">
                  <c:v>0.41896387274397373</c:v>
                </c:pt>
                <c:pt idx="15">
                  <c:v>0.41921272265268922</c:v>
                </c:pt>
                <c:pt idx="16">
                  <c:v>0.39255341260648119</c:v>
                </c:pt>
                <c:pt idx="17">
                  <c:v>0.38716950549933193</c:v>
                </c:pt>
                <c:pt idx="18">
                  <c:v>0.38415038597301221</c:v>
                </c:pt>
                <c:pt idx="19">
                  <c:v>0.40775500453853486</c:v>
                </c:pt>
                <c:pt idx="20">
                  <c:v>0.44565989774521403</c:v>
                </c:pt>
                <c:pt idx="21">
                  <c:v>0.42011957196248195</c:v>
                </c:pt>
                <c:pt idx="22">
                  <c:v>0.42099598574960628</c:v>
                </c:pt>
                <c:pt idx="23">
                  <c:v>0.41457581209684552</c:v>
                </c:pt>
                <c:pt idx="24">
                  <c:v>0.40857084572405639</c:v>
                </c:pt>
                <c:pt idx="25">
                  <c:v>0.35365491268784172</c:v>
                </c:pt>
                <c:pt idx="26">
                  <c:v>0.45331272151343865</c:v>
                </c:pt>
                <c:pt idx="27">
                  <c:v>0.47968889893408218</c:v>
                </c:pt>
                <c:pt idx="28">
                  <c:v>0.55822530254080449</c:v>
                </c:pt>
                <c:pt idx="29">
                  <c:v>0.60042140835998781</c:v>
                </c:pt>
                <c:pt idx="30">
                  <c:v>0.55919670675462385</c:v>
                </c:pt>
                <c:pt idx="31">
                  <c:v>0.6538711868515098</c:v>
                </c:pt>
                <c:pt idx="32">
                  <c:v>0.56287733548234353</c:v>
                </c:pt>
                <c:pt idx="33">
                  <c:v>0.35556113344388962</c:v>
                </c:pt>
                <c:pt idx="34">
                  <c:v>0.40737483776398808</c:v>
                </c:pt>
                <c:pt idx="35">
                  <c:v>0.33962919092206362</c:v>
                </c:pt>
                <c:pt idx="36">
                  <c:v>0.375141792601701</c:v>
                </c:pt>
                <c:pt idx="37">
                  <c:v>0.33664990102759257</c:v>
                </c:pt>
                <c:pt idx="38">
                  <c:v>0.35857260796504098</c:v>
                </c:pt>
                <c:pt idx="39">
                  <c:v>0.31618475161212528</c:v>
                </c:pt>
                <c:pt idx="40">
                  <c:v>0.31616094126213401</c:v>
                </c:pt>
                <c:pt idx="41">
                  <c:v>0.3116398858218774</c:v>
                </c:pt>
                <c:pt idx="42">
                  <c:v>0.32676037408979708</c:v>
                </c:pt>
                <c:pt idx="43">
                  <c:v>0.33831921640577528</c:v>
                </c:pt>
                <c:pt idx="44">
                  <c:v>0.32642015072551217</c:v>
                </c:pt>
                <c:pt idx="45">
                  <c:v>0.32444646771688607</c:v>
                </c:pt>
                <c:pt idx="46">
                  <c:v>0.39845592270638558</c:v>
                </c:pt>
                <c:pt idx="47">
                  <c:v>0.32177734641308731</c:v>
                </c:pt>
                <c:pt idx="48">
                  <c:v>0.24944715409545193</c:v>
                </c:pt>
                <c:pt idx="49">
                  <c:v>0.19554754108398714</c:v>
                </c:pt>
                <c:pt idx="50">
                  <c:v>0.20382257876877855</c:v>
                </c:pt>
                <c:pt idx="51">
                  <c:v>0.16850316993669645</c:v>
                </c:pt>
                <c:pt idx="52">
                  <c:v>0.20204789553797053</c:v>
                </c:pt>
                <c:pt idx="53">
                  <c:v>0.18506358268081696</c:v>
                </c:pt>
                <c:pt idx="54">
                  <c:v>0.17007905781987653</c:v>
                </c:pt>
                <c:pt idx="55">
                  <c:v>0.20323645144668484</c:v>
                </c:pt>
                <c:pt idx="56">
                  <c:v>0.16207165582777849</c:v>
                </c:pt>
                <c:pt idx="57">
                  <c:v>0.17961467598905714</c:v>
                </c:pt>
                <c:pt idx="58">
                  <c:v>0.16885350416199954</c:v>
                </c:pt>
                <c:pt idx="59">
                  <c:v>0.18434740309677344</c:v>
                </c:pt>
                <c:pt idx="60">
                  <c:v>0.18103406772184347</c:v>
                </c:pt>
                <c:pt idx="61">
                  <c:v>0.18096951809231276</c:v>
                </c:pt>
                <c:pt idx="62">
                  <c:v>0.23918218922957937</c:v>
                </c:pt>
                <c:pt idx="63">
                  <c:v>0.19200955559361285</c:v>
                </c:pt>
                <c:pt idx="64">
                  <c:v>0.19515773589256177</c:v>
                </c:pt>
                <c:pt idx="65">
                  <c:v>0.17606985498374317</c:v>
                </c:pt>
                <c:pt idx="66">
                  <c:v>0.14806290791170654</c:v>
                </c:pt>
                <c:pt idx="67">
                  <c:v>0.21220471920964104</c:v>
                </c:pt>
                <c:pt idx="68">
                  <c:v>0.23522257102186547</c:v>
                </c:pt>
                <c:pt idx="69">
                  <c:v>0.20405923665106329</c:v>
                </c:pt>
                <c:pt idx="70">
                  <c:v>0.1485073910787312</c:v>
                </c:pt>
                <c:pt idx="71">
                  <c:v>0.13872458574222063</c:v>
                </c:pt>
                <c:pt idx="72">
                  <c:v>0.21261842615633411</c:v>
                </c:pt>
                <c:pt idx="73">
                  <c:v>0.24530546399616115</c:v>
                </c:pt>
                <c:pt idx="74">
                  <c:v>0.30019388827535953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4A-4150-926E-7235BBB84E8B}"/>
            </c:ext>
          </c:extLst>
        </c:ser>
        <c:ser>
          <c:idx val="1"/>
          <c:order val="1"/>
          <c:tx>
            <c:strRef>
              <c:f>'첫구매-리워드횟수'!$AB$1</c:f>
              <c:strCache>
                <c:ptCount val="1"/>
                <c:pt idx="0">
                  <c:v>첫구매 전 쇼지 (정규화)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'첫구매-리워드횟수'!$AB$2:$AB$76</c:f>
              <c:numCache>
                <c:formatCode>0.0%</c:formatCode>
                <c:ptCount val="75"/>
                <c:pt idx="0">
                  <c:v>0.35976933198140926</c:v>
                </c:pt>
                <c:pt idx="1">
                  <c:v>0.46797927494938962</c:v>
                </c:pt>
                <c:pt idx="2">
                  <c:v>0.483038806620807</c:v>
                </c:pt>
                <c:pt idx="3">
                  <c:v>0.43187258209631024</c:v>
                </c:pt>
                <c:pt idx="4">
                  <c:v>0.40878769856948693</c:v>
                </c:pt>
                <c:pt idx="5">
                  <c:v>0.41667431437187469</c:v>
                </c:pt>
                <c:pt idx="6">
                  <c:v>0.43945468188682935</c:v>
                </c:pt>
                <c:pt idx="7">
                  <c:v>0.38984321416559298</c:v>
                </c:pt>
                <c:pt idx="8">
                  <c:v>0.38270191223437122</c:v>
                </c:pt>
                <c:pt idx="9">
                  <c:v>0.33828412761842569</c:v>
                </c:pt>
                <c:pt idx="10">
                  <c:v>0.38733429495420724</c:v>
                </c:pt>
                <c:pt idx="11">
                  <c:v>0.31835807516288844</c:v>
                </c:pt>
                <c:pt idx="12">
                  <c:v>0.35642084551052333</c:v>
                </c:pt>
                <c:pt idx="13">
                  <c:v>0.40506109797241158</c:v>
                </c:pt>
                <c:pt idx="14">
                  <c:v>0.35468739608672373</c:v>
                </c:pt>
                <c:pt idx="15">
                  <c:v>0.38453662218542922</c:v>
                </c:pt>
                <c:pt idx="16">
                  <c:v>0.39702065456682517</c:v>
                </c:pt>
                <c:pt idx="17">
                  <c:v>0.35663917886640145</c:v>
                </c:pt>
                <c:pt idx="18">
                  <c:v>0.37428406971558847</c:v>
                </c:pt>
                <c:pt idx="19">
                  <c:v>0.35562860497030691</c:v>
                </c:pt>
                <c:pt idx="20">
                  <c:v>0.3691033557844432</c:v>
                </c:pt>
                <c:pt idx="21">
                  <c:v>0.36587665696196525</c:v>
                </c:pt>
                <c:pt idx="22">
                  <c:v>0.38458164400793265</c:v>
                </c:pt>
                <c:pt idx="23">
                  <c:v>0.35337797829058759</c:v>
                </c:pt>
                <c:pt idx="24">
                  <c:v>0.37998860091347297</c:v>
                </c:pt>
                <c:pt idx="25">
                  <c:v>0.40843046895502061</c:v>
                </c:pt>
                <c:pt idx="26">
                  <c:v>0.37772627916917467</c:v>
                </c:pt>
                <c:pt idx="27">
                  <c:v>0.34521763388323112</c:v>
                </c:pt>
                <c:pt idx="28">
                  <c:v>0.33636349108525876</c:v>
                </c:pt>
                <c:pt idx="29">
                  <c:v>0.34410811490565046</c:v>
                </c:pt>
                <c:pt idx="30">
                  <c:v>0.37742459231580172</c:v>
                </c:pt>
                <c:pt idx="31">
                  <c:v>0.34212855506519951</c:v>
                </c:pt>
                <c:pt idx="32">
                  <c:v>0.35647472425507842</c:v>
                </c:pt>
                <c:pt idx="33">
                  <c:v>0.45559569117064053</c:v>
                </c:pt>
                <c:pt idx="34">
                  <c:v>0.45679200313874618</c:v>
                </c:pt>
                <c:pt idx="35">
                  <c:v>0.51611495956250897</c:v>
                </c:pt>
                <c:pt idx="36">
                  <c:v>0.5348659413146607</c:v>
                </c:pt>
                <c:pt idx="37">
                  <c:v>0.51289454753350461</c:v>
                </c:pt>
                <c:pt idx="38">
                  <c:v>0.55506720445057467</c:v>
                </c:pt>
                <c:pt idx="39">
                  <c:v>0.55590300183652741</c:v>
                </c:pt>
                <c:pt idx="40">
                  <c:v>0.56341554348683631</c:v>
                </c:pt>
                <c:pt idx="41">
                  <c:v>0.58710858961498325</c:v>
                </c:pt>
                <c:pt idx="42">
                  <c:v>0.56977720396784637</c:v>
                </c:pt>
                <c:pt idx="43">
                  <c:v>0.58469654510050906</c:v>
                </c:pt>
                <c:pt idx="44">
                  <c:v>0.57695849382375775</c:v>
                </c:pt>
                <c:pt idx="45">
                  <c:v>0.64682431387398842</c:v>
                </c:pt>
                <c:pt idx="46">
                  <c:v>0.67540428276853859</c:v>
                </c:pt>
                <c:pt idx="47">
                  <c:v>0.71232879729343646</c:v>
                </c:pt>
                <c:pt idx="48">
                  <c:v>0.78248047740530502</c:v>
                </c:pt>
                <c:pt idx="49">
                  <c:v>0.87833544754732729</c:v>
                </c:pt>
                <c:pt idx="50">
                  <c:v>0.88205506674038192</c:v>
                </c:pt>
                <c:pt idx="51">
                  <c:v>0.88761321676415683</c:v>
                </c:pt>
                <c:pt idx="52">
                  <c:v>0.83070645402843424</c:v>
                </c:pt>
                <c:pt idx="53">
                  <c:v>0.81802242041052242</c:v>
                </c:pt>
                <c:pt idx="54">
                  <c:v>0.91520771511761767</c:v>
                </c:pt>
                <c:pt idx="55">
                  <c:v>0.87556934744777326</c:v>
                </c:pt>
                <c:pt idx="56">
                  <c:v>0.85744050391447668</c:v>
                </c:pt>
                <c:pt idx="57">
                  <c:v>0.89262999617246697</c:v>
                </c:pt>
                <c:pt idx="58">
                  <c:v>0.88834872088426742</c:v>
                </c:pt>
                <c:pt idx="59">
                  <c:v>0.82614831238977471</c:v>
                </c:pt>
                <c:pt idx="60">
                  <c:v>0.85990287332244764</c:v>
                </c:pt>
                <c:pt idx="61">
                  <c:v>0.82085189328942787</c:v>
                </c:pt>
                <c:pt idx="62">
                  <c:v>0.83952981875130717</c:v>
                </c:pt>
                <c:pt idx="63">
                  <c:v>0.91923188057844096</c:v>
                </c:pt>
                <c:pt idx="64">
                  <c:v>0.91687705182563028</c:v>
                </c:pt>
                <c:pt idx="65">
                  <c:v>0.90851333705398185</c:v>
                </c:pt>
                <c:pt idx="66">
                  <c:v>0.87146054568566444</c:v>
                </c:pt>
                <c:pt idx="67">
                  <c:v>0.87711059191972562</c:v>
                </c:pt>
                <c:pt idx="68">
                  <c:v>0.87302141812210599</c:v>
                </c:pt>
                <c:pt idx="69">
                  <c:v>0.85405581359301486</c:v>
                </c:pt>
                <c:pt idx="70">
                  <c:v>0.96651365536030842</c:v>
                </c:pt>
                <c:pt idx="71">
                  <c:v>0.9663370628006287</c:v>
                </c:pt>
                <c:pt idx="72">
                  <c:v>0.96401818321558819</c:v>
                </c:pt>
                <c:pt idx="73">
                  <c:v>1</c:v>
                </c:pt>
                <c:pt idx="74">
                  <c:v>0.90382185372265089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4A-4150-926E-7235BBB84E8B}"/>
            </c:ext>
          </c:extLst>
        </c:ser>
        <c:ser>
          <c:idx val="2"/>
          <c:order val="2"/>
          <c:tx>
            <c:strRef>
              <c:f>'첫구매-리워드횟수'!$AD$1</c:f>
              <c:strCache>
                <c:ptCount val="1"/>
                <c:pt idx="0">
                  <c:v>이탈율 (정규화)</c:v>
                </c:pt>
              </c:strCache>
            </c:strRef>
          </c:tx>
          <c:spPr>
            <a:ln w="127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'첫구매-리워드횟수'!$AD$2:$AD$76</c:f>
              <c:numCache>
                <c:formatCode>0%</c:formatCode>
                <c:ptCount val="75"/>
                <c:pt idx="0">
                  <c:v>1</c:v>
                </c:pt>
                <c:pt idx="1">
                  <c:v>0.80759837177747629</c:v>
                </c:pt>
                <c:pt idx="2">
                  <c:v>0.62238269729198326</c:v>
                </c:pt>
                <c:pt idx="3">
                  <c:v>0.63909455742435861</c:v>
                </c:pt>
                <c:pt idx="4">
                  <c:v>0.66587696438442701</c:v>
                </c:pt>
                <c:pt idx="5">
                  <c:v>0.61595149253731341</c:v>
                </c:pt>
                <c:pt idx="6">
                  <c:v>0.57204884667571232</c:v>
                </c:pt>
                <c:pt idx="7">
                  <c:v>0.55522388059701488</c:v>
                </c:pt>
                <c:pt idx="8">
                  <c:v>0.61691542288557222</c:v>
                </c:pt>
                <c:pt idx="9">
                  <c:v>0.57791695473585758</c:v>
                </c:pt>
                <c:pt idx="10">
                  <c:v>0.65587850222571353</c:v>
                </c:pt>
                <c:pt idx="11">
                  <c:v>0.61978479694550503</c:v>
                </c:pt>
                <c:pt idx="12">
                  <c:v>0.58606965174129355</c:v>
                </c:pt>
                <c:pt idx="13">
                  <c:v>0.59517795637198623</c:v>
                </c:pt>
                <c:pt idx="14">
                  <c:v>0.529556596579148</c:v>
                </c:pt>
                <c:pt idx="15">
                  <c:v>0.55378919356704848</c:v>
                </c:pt>
                <c:pt idx="16">
                  <c:v>0.5432835820895523</c:v>
                </c:pt>
                <c:pt idx="17">
                  <c:v>0.51490035854248317</c:v>
                </c:pt>
                <c:pt idx="18">
                  <c:v>0.55522388059701488</c:v>
                </c:pt>
                <c:pt idx="19">
                  <c:v>0.51879186743448114</c:v>
                </c:pt>
                <c:pt idx="20">
                  <c:v>0.46785362527464203</c:v>
                </c:pt>
                <c:pt idx="21">
                  <c:v>0.49615751032073674</c:v>
                </c:pt>
                <c:pt idx="22">
                  <c:v>0.51854622105871551</c:v>
                </c:pt>
                <c:pt idx="23">
                  <c:v>0.45135982903036781</c:v>
                </c:pt>
                <c:pt idx="24">
                  <c:v>0.50166110623353821</c:v>
                </c:pt>
                <c:pt idx="25">
                  <c:v>0.50051628649206792</c:v>
                </c:pt>
                <c:pt idx="26">
                  <c:v>0.48632748665431969</c:v>
                </c:pt>
                <c:pt idx="27">
                  <c:v>0.45695416721701226</c:v>
                </c:pt>
                <c:pt idx="28">
                  <c:v>0.37471899760456978</c:v>
                </c:pt>
                <c:pt idx="29">
                  <c:v>0.36804852016873635</c:v>
                </c:pt>
                <c:pt idx="30">
                  <c:v>0.33527707659206801</c:v>
                </c:pt>
                <c:pt idx="31">
                  <c:v>0.28785285933245042</c:v>
                </c:pt>
                <c:pt idx="32">
                  <c:v>0.37014925373134328</c:v>
                </c:pt>
                <c:pt idx="33">
                  <c:v>0.46035369371629253</c:v>
                </c:pt>
                <c:pt idx="34">
                  <c:v>0.43104784560488052</c:v>
                </c:pt>
                <c:pt idx="35">
                  <c:v>0.41058572682804467</c:v>
                </c:pt>
                <c:pt idx="36">
                  <c:v>0.36906057945566284</c:v>
                </c:pt>
                <c:pt idx="37">
                  <c:v>0.42657444484892615</c:v>
                </c:pt>
                <c:pt idx="38">
                  <c:v>0.42961585515047718</c:v>
                </c:pt>
                <c:pt idx="39">
                  <c:v>0.43941031041113449</c:v>
                </c:pt>
                <c:pt idx="40">
                  <c:v>0.43918030426644911</c:v>
                </c:pt>
                <c:pt idx="41">
                  <c:v>0.35447518109776849</c:v>
                </c:pt>
                <c:pt idx="42">
                  <c:v>0.3755450154475436</c:v>
                </c:pt>
                <c:pt idx="43">
                  <c:v>0.34925373134328358</c:v>
                </c:pt>
                <c:pt idx="44">
                  <c:v>0.3278989667049369</c:v>
                </c:pt>
                <c:pt idx="45">
                  <c:v>0.29843283582089553</c:v>
                </c:pt>
                <c:pt idx="46">
                  <c:v>0.31958241578990298</c:v>
                </c:pt>
                <c:pt idx="47">
                  <c:v>0.32282719502313301</c:v>
                </c:pt>
                <c:pt idx="48">
                  <c:v>0.31560094265514532</c:v>
                </c:pt>
                <c:pt idx="49">
                  <c:v>0.34773537158498169</c:v>
                </c:pt>
                <c:pt idx="50">
                  <c:v>0.32265840608279356</c:v>
                </c:pt>
                <c:pt idx="51">
                  <c:v>0.33230356943462241</c:v>
                </c:pt>
                <c:pt idx="52">
                  <c:v>0.30500298507462686</c:v>
                </c:pt>
                <c:pt idx="53">
                  <c:v>0.30482879719051803</c:v>
                </c:pt>
                <c:pt idx="54">
                  <c:v>0.29810678152859865</c:v>
                </c:pt>
                <c:pt idx="55">
                  <c:v>0.32735743249072558</c:v>
                </c:pt>
                <c:pt idx="56">
                  <c:v>0.27925461450145722</c:v>
                </c:pt>
                <c:pt idx="57">
                  <c:v>0.25272259392691715</c:v>
                </c:pt>
                <c:pt idx="58">
                  <c:v>0.24255514237685294</c:v>
                </c:pt>
                <c:pt idx="59">
                  <c:v>0.26212286208442764</c:v>
                </c:pt>
                <c:pt idx="60">
                  <c:v>0.23005292263780699</c:v>
                </c:pt>
                <c:pt idx="61">
                  <c:v>0.2244110458162151</c:v>
                </c:pt>
                <c:pt idx="62">
                  <c:v>0.27093398984459149</c:v>
                </c:pt>
                <c:pt idx="63">
                  <c:v>0.21435858681277159</c:v>
                </c:pt>
                <c:pt idx="64">
                  <c:v>0.21602567367938466</c:v>
                </c:pt>
                <c:pt idx="65">
                  <c:v>0.17633719812952406</c:v>
                </c:pt>
                <c:pt idx="66">
                  <c:v>0.22831636211466033</c:v>
                </c:pt>
                <c:pt idx="67">
                  <c:v>0.12464209564422785</c:v>
                </c:pt>
                <c:pt idx="68">
                  <c:v>0.23241929885456442</c:v>
                </c:pt>
                <c:pt idx="69">
                  <c:v>0.2317456197274497</c:v>
                </c:pt>
                <c:pt idx="70">
                  <c:v>0.17591251662479682</c:v>
                </c:pt>
                <c:pt idx="71">
                  <c:v>0.21773485513608429</c:v>
                </c:pt>
                <c:pt idx="72">
                  <c:v>0.1300524405002017</c:v>
                </c:pt>
                <c:pt idx="73">
                  <c:v>0.13219616204690832</c:v>
                </c:pt>
                <c:pt idx="74">
                  <c:v>8.1252275209319255E-2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4A-4150-926E-7235BBB84E8B}"/>
            </c:ext>
          </c:extLst>
        </c:ser>
        <c:ser>
          <c:idx val="3"/>
          <c:order val="3"/>
          <c:tx>
            <c:strRef>
              <c:f>'첫구매-리워드횟수'!$AE$1</c:f>
              <c:strCache>
                <c:ptCount val="1"/>
                <c:pt idx="0">
                  <c:v>재구매율 (정규화)</c:v>
                </c:pt>
              </c:strCache>
            </c:strRef>
          </c:tx>
          <c:spPr>
            <a:ln w="15875" cap="rnd" cmpd="dbl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'첫구매-리워드횟수'!$AE$2:$AE$76</c:f>
              <c:numCache>
                <c:formatCode>0%</c:formatCode>
                <c:ptCount val="75"/>
                <c:pt idx="0">
                  <c:v>0.25693599107324</c:v>
                </c:pt>
                <c:pt idx="1">
                  <c:v>0.4748576567562417</c:v>
                </c:pt>
                <c:pt idx="2">
                  <c:v>0.71666478364026664</c:v>
                </c:pt>
                <c:pt idx="3">
                  <c:v>0.73132089722396398</c:v>
                </c:pt>
                <c:pt idx="4">
                  <c:v>0.68894545938571095</c:v>
                </c:pt>
                <c:pt idx="5">
                  <c:v>0.66555498231132082</c:v>
                </c:pt>
                <c:pt idx="6">
                  <c:v>0.784958071278826</c:v>
                </c:pt>
                <c:pt idx="7">
                  <c:v>0.72724056603773579</c:v>
                </c:pt>
                <c:pt idx="8">
                  <c:v>0.76956673654786856</c:v>
                </c:pt>
                <c:pt idx="9">
                  <c:v>0.66241452881599916</c:v>
                </c:pt>
                <c:pt idx="10">
                  <c:v>0.64400584795321636</c:v>
                </c:pt>
                <c:pt idx="11">
                  <c:v>0.62818121983326014</c:v>
                </c:pt>
                <c:pt idx="12">
                  <c:v>0.6118055555555556</c:v>
                </c:pt>
                <c:pt idx="13">
                  <c:v>0.72182686455358402</c:v>
                </c:pt>
                <c:pt idx="14">
                  <c:v>0.67744341918009454</c:v>
                </c:pt>
                <c:pt idx="15">
                  <c:v>0.62818121983326014</c:v>
                </c:pt>
                <c:pt idx="16">
                  <c:v>0.70936675796307569</c:v>
                </c:pt>
                <c:pt idx="17">
                  <c:v>0.64424343838937492</c:v>
                </c:pt>
                <c:pt idx="18">
                  <c:v>0.70622880008479971</c:v>
                </c:pt>
                <c:pt idx="19">
                  <c:v>0.69806368543554698</c:v>
                </c:pt>
                <c:pt idx="20">
                  <c:v>0.72249425342400153</c:v>
                </c:pt>
                <c:pt idx="21">
                  <c:v>0.74664347205495341</c:v>
                </c:pt>
                <c:pt idx="22">
                  <c:v>0.7430964456096617</c:v>
                </c:pt>
                <c:pt idx="23">
                  <c:v>0.78218549827879214</c:v>
                </c:pt>
                <c:pt idx="24">
                  <c:v>0.59645948945615979</c:v>
                </c:pt>
                <c:pt idx="25">
                  <c:v>0.66647383410466354</c:v>
                </c:pt>
                <c:pt idx="26">
                  <c:v>0.82658208235780206</c:v>
                </c:pt>
                <c:pt idx="27">
                  <c:v>0.79680803695664282</c:v>
                </c:pt>
                <c:pt idx="28">
                  <c:v>0.89569017392654715</c:v>
                </c:pt>
                <c:pt idx="29">
                  <c:v>0.9410377358490567</c:v>
                </c:pt>
                <c:pt idx="30">
                  <c:v>1</c:v>
                </c:pt>
                <c:pt idx="31">
                  <c:v>0.9860889031020148</c:v>
                </c:pt>
                <c:pt idx="32">
                  <c:v>0.9269259050658657</c:v>
                </c:pt>
                <c:pt idx="33">
                  <c:v>0.62858728397019181</c:v>
                </c:pt>
                <c:pt idx="34">
                  <c:v>0.64631735946063928</c:v>
                </c:pt>
                <c:pt idx="35">
                  <c:v>0.64604804185825282</c:v>
                </c:pt>
                <c:pt idx="36">
                  <c:v>0.61112652608213103</c:v>
                </c:pt>
                <c:pt idx="37">
                  <c:v>0.63348481362172115</c:v>
                </c:pt>
                <c:pt idx="38">
                  <c:v>0.59269254562326013</c:v>
                </c:pt>
                <c:pt idx="39">
                  <c:v>0.5863815256395416</c:v>
                </c:pt>
                <c:pt idx="40">
                  <c:v>0.56121458472365471</c:v>
                </c:pt>
                <c:pt idx="41">
                  <c:v>0.58206317989060297</c:v>
                </c:pt>
                <c:pt idx="42">
                  <c:v>0.58760795423290613</c:v>
                </c:pt>
                <c:pt idx="43">
                  <c:v>0.57531319740312437</c:v>
                </c:pt>
                <c:pt idx="44">
                  <c:v>0.5877733039936327</c:v>
                </c:pt>
                <c:pt idx="45">
                  <c:v>0.54110161163522019</c:v>
                </c:pt>
                <c:pt idx="46">
                  <c:v>0.60556071072619178</c:v>
                </c:pt>
                <c:pt idx="47">
                  <c:v>0.53856194032316684</c:v>
                </c:pt>
                <c:pt idx="48">
                  <c:v>0.47024577954319763</c:v>
                </c:pt>
                <c:pt idx="49">
                  <c:v>0.50687553045635569</c:v>
                </c:pt>
                <c:pt idx="50">
                  <c:v>0.47829298682805271</c:v>
                </c:pt>
                <c:pt idx="51">
                  <c:v>0.46116430621559312</c:v>
                </c:pt>
                <c:pt idx="52">
                  <c:v>0.38786163522012579</c:v>
                </c:pt>
                <c:pt idx="53">
                  <c:v>0.34921515776121775</c:v>
                </c:pt>
                <c:pt idx="54">
                  <c:v>0.3346840572369254</c:v>
                </c:pt>
                <c:pt idx="55">
                  <c:v>0.34830679463409314</c:v>
                </c:pt>
                <c:pt idx="56">
                  <c:v>0.36884559562353464</c:v>
                </c:pt>
                <c:pt idx="57">
                  <c:v>0.3940712426805465</c:v>
                </c:pt>
                <c:pt idx="58">
                  <c:v>0.43258580719943329</c:v>
                </c:pt>
                <c:pt idx="59">
                  <c:v>0.40129767592517612</c:v>
                </c:pt>
                <c:pt idx="60">
                  <c:v>0.44702322784334364</c:v>
                </c:pt>
                <c:pt idx="61">
                  <c:v>0.38371080139372826</c:v>
                </c:pt>
                <c:pt idx="62">
                  <c:v>0.29275270699604489</c:v>
                </c:pt>
                <c:pt idx="63">
                  <c:v>0.29589353952710773</c:v>
                </c:pt>
                <c:pt idx="64">
                  <c:v>0.28366282439307106</c:v>
                </c:pt>
                <c:pt idx="65">
                  <c:v>0.41913312818851728</c:v>
                </c:pt>
                <c:pt idx="66">
                  <c:v>0.28157511902662669</c:v>
                </c:pt>
                <c:pt idx="67">
                  <c:v>0.26502936080092415</c:v>
                </c:pt>
                <c:pt idx="68">
                  <c:v>0.25127248793330409</c:v>
                </c:pt>
                <c:pt idx="69">
                  <c:v>0.31619155045118952</c:v>
                </c:pt>
                <c:pt idx="70">
                  <c:v>0.27772977769475066</c:v>
                </c:pt>
                <c:pt idx="71">
                  <c:v>0.27161178936983599</c:v>
                </c:pt>
                <c:pt idx="72">
                  <c:v>0.39310300866904646</c:v>
                </c:pt>
                <c:pt idx="73">
                  <c:v>0.27209681042228212</c:v>
                </c:pt>
                <c:pt idx="74">
                  <c:v>0.20271514035895077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4A-4150-926E-7235BBB84E8B}"/>
            </c:ext>
          </c:extLst>
        </c:ser>
        <c:ser>
          <c:idx val="5"/>
          <c:order val="5"/>
          <c:tx>
            <c:strRef>
              <c:f>'첫구매-리워드횟수'!$AC$1</c:f>
              <c:strCache>
                <c:ptCount val="1"/>
                <c:pt idx="0">
                  <c:v>첫구매 전 총 재산 (정규화)</c:v>
                </c:pt>
              </c:strCache>
            </c:strRef>
          </c:tx>
          <c:spPr>
            <a:ln w="47625" cap="rnd">
              <a:solidFill>
                <a:schemeClr val="accent6">
                  <a:lumMod val="75000"/>
                  <a:alpha val="66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'첫구매-리워드횟수'!$AC$2:$AC$76</c:f>
              <c:numCache>
                <c:formatCode>0.0%</c:formatCode>
                <c:ptCount val="75"/>
                <c:pt idx="0">
                  <c:v>0.29531641821988175</c:v>
                </c:pt>
                <c:pt idx="1">
                  <c:v>0.45462625031586912</c:v>
                </c:pt>
                <c:pt idx="2">
                  <c:v>0.5225585197591095</c:v>
                </c:pt>
                <c:pt idx="3">
                  <c:v>0.47266941833977366</c:v>
                </c:pt>
                <c:pt idx="4">
                  <c:v>0.51387380239968272</c:v>
                </c:pt>
                <c:pt idx="5">
                  <c:v>0.51208056190572804</c:v>
                </c:pt>
                <c:pt idx="6">
                  <c:v>0.55922254207745015</c:v>
                </c:pt>
                <c:pt idx="7">
                  <c:v>0.53720200237939331</c:v>
                </c:pt>
                <c:pt idx="8">
                  <c:v>0.53277891009028788</c:v>
                </c:pt>
                <c:pt idx="9">
                  <c:v>0.46161931071372581</c:v>
                </c:pt>
                <c:pt idx="10">
                  <c:v>0.52873861851315584</c:v>
                </c:pt>
                <c:pt idx="11">
                  <c:v>0.42962451129289592</c:v>
                </c:pt>
                <c:pt idx="12">
                  <c:v>0.54156879630364008</c:v>
                </c:pt>
                <c:pt idx="13">
                  <c:v>0.47048714209036158</c:v>
                </c:pt>
                <c:pt idx="14">
                  <c:v>0.53142272014460801</c:v>
                </c:pt>
                <c:pt idx="15">
                  <c:v>0.58551100570869952</c:v>
                </c:pt>
                <c:pt idx="16">
                  <c:v>0.49793643913640934</c:v>
                </c:pt>
                <c:pt idx="17">
                  <c:v>0.44983445693574714</c:v>
                </c:pt>
                <c:pt idx="18">
                  <c:v>0.47593369671035035</c:v>
                </c:pt>
                <c:pt idx="19">
                  <c:v>0.50478389228172749</c:v>
                </c:pt>
                <c:pt idx="20">
                  <c:v>0.5498788391511652</c:v>
                </c:pt>
                <c:pt idx="21">
                  <c:v>0.51860822137580587</c:v>
                </c:pt>
                <c:pt idx="22">
                  <c:v>0.54470920899004904</c:v>
                </c:pt>
                <c:pt idx="23">
                  <c:v>0.46632649747765859</c:v>
                </c:pt>
                <c:pt idx="24">
                  <c:v>0.55536555944333266</c:v>
                </c:pt>
                <c:pt idx="25">
                  <c:v>0.44635230393522146</c:v>
                </c:pt>
                <c:pt idx="26">
                  <c:v>0.50899905185786354</c:v>
                </c:pt>
                <c:pt idx="27">
                  <c:v>0.51027265741347039</c:v>
                </c:pt>
                <c:pt idx="28">
                  <c:v>0.56810152059835284</c:v>
                </c:pt>
                <c:pt idx="29">
                  <c:v>0.63419170355341181</c:v>
                </c:pt>
                <c:pt idx="30">
                  <c:v>0.58036793536903653</c:v>
                </c:pt>
                <c:pt idx="31">
                  <c:v>0.64137534664440976</c:v>
                </c:pt>
                <c:pt idx="32">
                  <c:v>0.57399329221348139</c:v>
                </c:pt>
                <c:pt idx="33">
                  <c:v>0.50745635473250272</c:v>
                </c:pt>
                <c:pt idx="34">
                  <c:v>0.52859944727983699</c:v>
                </c:pt>
                <c:pt idx="35">
                  <c:v>0.48079246101207218</c:v>
                </c:pt>
                <c:pt idx="36">
                  <c:v>0.52513589379421011</c:v>
                </c:pt>
                <c:pt idx="37">
                  <c:v>0.40477317372338167</c:v>
                </c:pt>
                <c:pt idx="38">
                  <c:v>0.45709789078768986</c:v>
                </c:pt>
                <c:pt idx="39">
                  <c:v>0.43168549481236917</c:v>
                </c:pt>
                <c:pt idx="40">
                  <c:v>0.43531963051156958</c:v>
                </c:pt>
                <c:pt idx="41">
                  <c:v>0.46087753284577287</c:v>
                </c:pt>
                <c:pt idx="42">
                  <c:v>0.44506007765306971</c:v>
                </c:pt>
                <c:pt idx="43">
                  <c:v>0.4738235375492249</c:v>
                </c:pt>
                <c:pt idx="44">
                  <c:v>0.43791153673764882</c:v>
                </c:pt>
                <c:pt idx="45">
                  <c:v>0.46247851629146647</c:v>
                </c:pt>
                <c:pt idx="46">
                  <c:v>0.5023806404072636</c:v>
                </c:pt>
                <c:pt idx="47">
                  <c:v>0.44670690772933935</c:v>
                </c:pt>
                <c:pt idx="48">
                  <c:v>0.45973579883981519</c:v>
                </c:pt>
                <c:pt idx="49">
                  <c:v>0.50058061941695642</c:v>
                </c:pt>
                <c:pt idx="50">
                  <c:v>0.47059598524407226</c:v>
                </c:pt>
                <c:pt idx="51">
                  <c:v>0.42432430847266928</c:v>
                </c:pt>
                <c:pt idx="52">
                  <c:v>0.454501546089218</c:v>
                </c:pt>
                <c:pt idx="53">
                  <c:v>0.49047578330920122</c:v>
                </c:pt>
                <c:pt idx="54">
                  <c:v>0.49582914480176332</c:v>
                </c:pt>
                <c:pt idx="55">
                  <c:v>0.44956732377272185</c:v>
                </c:pt>
                <c:pt idx="56">
                  <c:v>0.49131951810829005</c:v>
                </c:pt>
                <c:pt idx="57">
                  <c:v>0.51398384059909064</c:v>
                </c:pt>
                <c:pt idx="58">
                  <c:v>0.46150313010117033</c:v>
                </c:pt>
                <c:pt idx="59">
                  <c:v>0.45015416871558872</c:v>
                </c:pt>
                <c:pt idx="60">
                  <c:v>0.42940376132286889</c:v>
                </c:pt>
                <c:pt idx="61">
                  <c:v>0.53306512263098194</c:v>
                </c:pt>
                <c:pt idx="62">
                  <c:v>0.50172493644806371</c:v>
                </c:pt>
                <c:pt idx="63">
                  <c:v>0.52837036707214724</c:v>
                </c:pt>
                <c:pt idx="64">
                  <c:v>0.44493456668295966</c:v>
                </c:pt>
                <c:pt idx="65">
                  <c:v>0.53184854482574173</c:v>
                </c:pt>
                <c:pt idx="66">
                  <c:v>0.45191173538932594</c:v>
                </c:pt>
                <c:pt idx="67">
                  <c:v>0.46327563150759471</c:v>
                </c:pt>
                <c:pt idx="68">
                  <c:v>0.67405503536811429</c:v>
                </c:pt>
                <c:pt idx="69">
                  <c:v>0.39887225653180364</c:v>
                </c:pt>
                <c:pt idx="70">
                  <c:v>0.54539138560005906</c:v>
                </c:pt>
                <c:pt idx="71">
                  <c:v>0.46263891322592249</c:v>
                </c:pt>
                <c:pt idx="72">
                  <c:v>0.65012333934022559</c:v>
                </c:pt>
                <c:pt idx="73">
                  <c:v>0.64831509940884058</c:v>
                </c:pt>
                <c:pt idx="7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94A-4150-926E-7235BBB84E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5185056"/>
        <c:axId val="1399442816"/>
      </c:lineChart>
      <c:catAx>
        <c:axId val="14651850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9442816"/>
        <c:crosses val="autoZero"/>
        <c:auto val="1"/>
        <c:lblAlgn val="ctr"/>
        <c:lblOffset val="100"/>
        <c:noMultiLvlLbl val="0"/>
      </c:catAx>
      <c:valAx>
        <c:axId val="1399442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65185056"/>
        <c:crosses val="autoZero"/>
        <c:crossBetween val="between"/>
      </c:valAx>
      <c:valAx>
        <c:axId val="13996479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58081904"/>
        <c:crosses val="max"/>
        <c:crossBetween val="between"/>
      </c:valAx>
      <c:catAx>
        <c:axId val="14580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1399647952"/>
        <c:crosses val="autoZero"/>
        <c:auto val="1"/>
        <c:lblAlgn val="ctr"/>
        <c:lblOffset val="100"/>
        <c:noMultiLvlLbl val="0"/>
      </c:catAx>
      <c:spPr>
        <a:noFill/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 sz="1200" b="1"/>
              <a:t>첫구매 전 축적 일 별</a:t>
            </a:r>
            <a:r>
              <a:rPr lang="en-US" altLang="ko-KR" sz="1200" b="1"/>
              <a:t>, </a:t>
            </a:r>
            <a:br>
              <a:rPr lang="en-US" altLang="ko-KR" sz="1200" b="1"/>
            </a:br>
            <a:r>
              <a:rPr lang="ko-KR" altLang="en-US" sz="1200" b="1"/>
              <a:t>재산과</a:t>
            </a:r>
            <a:r>
              <a:rPr lang="ko-KR" altLang="en-US" sz="1200" b="1" baseline="0"/>
              <a:t> 이탈</a:t>
            </a:r>
            <a:r>
              <a:rPr lang="en-US" altLang="ko-KR" sz="1200" b="1" baseline="0"/>
              <a:t>/</a:t>
            </a:r>
            <a:r>
              <a:rPr lang="ko-KR" altLang="en-US" sz="1200" b="1" baseline="0"/>
              <a:t>재구매 종속 관계</a:t>
            </a:r>
            <a:br>
              <a:rPr lang="en-US" altLang="ko-KR" sz="1200" baseline="0"/>
            </a:br>
            <a:r>
              <a:rPr lang="en-US" altLang="ko-KR" sz="1100" i="1" baseline="0"/>
              <a:t>24</a:t>
            </a:r>
            <a:r>
              <a:rPr lang="ko-KR" altLang="en-US" sz="1100" i="1" baseline="0"/>
              <a:t>년 발소가입 </a:t>
            </a:r>
            <a:r>
              <a:rPr lang="en-US" altLang="ko-KR" sz="1100" i="1" baseline="0"/>
              <a:t>&amp;</a:t>
            </a:r>
            <a:r>
              <a:rPr lang="ko-KR" altLang="en-US" sz="1100" i="1" baseline="0"/>
              <a:t> </a:t>
            </a:r>
            <a:r>
              <a:rPr lang="en-US" altLang="ko-KR" sz="1100" i="1" baseline="0"/>
              <a:t>12/31 ~ 3/13 </a:t>
            </a:r>
            <a:r>
              <a:rPr lang="ko-KR" altLang="en-US" sz="1100" i="1" baseline="0"/>
              <a:t>첫구매</a:t>
            </a:r>
            <a:endParaRPr lang="ko-KR" altLang="en-US" sz="1000" i="1"/>
          </a:p>
        </c:rich>
      </c:tx>
      <c:overlay val="0"/>
      <c:spPr>
        <a:noFill/>
        <a:ln w="0"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'첫구매-리워드횟수'!$K$1</c:f>
              <c:strCache>
                <c:ptCount val="1"/>
                <c:pt idx="0">
                  <c:v>이탈율</c:v>
                </c:pt>
              </c:strCache>
            </c:strRef>
          </c:tx>
          <c:spPr>
            <a:ln w="158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'첫구매-리워드횟수'!$B$2:$B$76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'첫구매-리워드횟수'!$K$2:$K$76</c:f>
              <c:numCache>
                <c:formatCode>0%</c:formatCode>
                <c:ptCount val="75"/>
                <c:pt idx="0">
                  <c:v>0.90053763440860213</c:v>
                </c:pt>
                <c:pt idx="1">
                  <c:v>0.72727272727272729</c:v>
                </c:pt>
                <c:pt idx="2">
                  <c:v>0.56047904191616771</c:v>
                </c:pt>
                <c:pt idx="3">
                  <c:v>0.57552870090634445</c:v>
                </c:pt>
                <c:pt idx="4">
                  <c:v>0.59964726631393295</c:v>
                </c:pt>
                <c:pt idx="5">
                  <c:v>0.5546875</c:v>
                </c:pt>
                <c:pt idx="6">
                  <c:v>0.51515151515151514</c:v>
                </c:pt>
                <c:pt idx="7">
                  <c:v>0.5</c:v>
                </c:pt>
                <c:pt idx="8">
                  <c:v>0.55555555555555558</c:v>
                </c:pt>
                <c:pt idx="9">
                  <c:v>0.52043596730245234</c:v>
                </c:pt>
                <c:pt idx="10">
                  <c:v>0.59064327485380119</c:v>
                </c:pt>
                <c:pt idx="11">
                  <c:v>0.55813953488372092</c:v>
                </c:pt>
                <c:pt idx="12">
                  <c:v>0.52777777777777779</c:v>
                </c:pt>
                <c:pt idx="13">
                  <c:v>0.53598014888337464</c:v>
                </c:pt>
                <c:pt idx="14">
                  <c:v>0.47688564476885642</c:v>
                </c:pt>
                <c:pt idx="15">
                  <c:v>0.49870801033591733</c:v>
                </c:pt>
                <c:pt idx="16">
                  <c:v>0.489247311827957</c:v>
                </c:pt>
                <c:pt idx="17">
                  <c:v>0.46368715083798884</c:v>
                </c:pt>
                <c:pt idx="18">
                  <c:v>0.5</c:v>
                </c:pt>
                <c:pt idx="19">
                  <c:v>0.46719160104986879</c:v>
                </c:pt>
                <c:pt idx="20">
                  <c:v>0.42131979695431471</c:v>
                </c:pt>
                <c:pt idx="21">
                  <c:v>0.44680851063829785</c:v>
                </c:pt>
                <c:pt idx="22">
                  <c:v>0.46697038724373574</c:v>
                </c:pt>
                <c:pt idx="23">
                  <c:v>0.40646651270207851</c:v>
                </c:pt>
                <c:pt idx="24">
                  <c:v>0.45176470588235296</c:v>
                </c:pt>
                <c:pt idx="25">
                  <c:v>0.45073375262054505</c:v>
                </c:pt>
                <c:pt idx="26">
                  <c:v>0.43795620437956206</c:v>
                </c:pt>
                <c:pt idx="27">
                  <c:v>0.41150442477876104</c:v>
                </c:pt>
                <c:pt idx="28">
                  <c:v>0.33744855967078191</c:v>
                </c:pt>
                <c:pt idx="29">
                  <c:v>0.33144154370034051</c:v>
                </c:pt>
                <c:pt idx="30">
                  <c:v>0.30192962542565266</c:v>
                </c:pt>
                <c:pt idx="31">
                  <c:v>0.25922233300099701</c:v>
                </c:pt>
                <c:pt idx="32">
                  <c:v>0.33333333333333331</c:v>
                </c:pt>
                <c:pt idx="33">
                  <c:v>0.41456582633053224</c:v>
                </c:pt>
                <c:pt idx="34">
                  <c:v>0.38817480719794345</c:v>
                </c:pt>
                <c:pt idx="35">
                  <c:v>0.36974789915966388</c:v>
                </c:pt>
                <c:pt idx="36">
                  <c:v>0.33235294117647057</c:v>
                </c:pt>
                <c:pt idx="37">
                  <c:v>0.38414634146341464</c:v>
                </c:pt>
                <c:pt idx="38">
                  <c:v>0.38688524590163936</c:v>
                </c:pt>
                <c:pt idx="39">
                  <c:v>0.39570552147239263</c:v>
                </c:pt>
                <c:pt idx="40">
                  <c:v>0.39549839228295819</c:v>
                </c:pt>
                <c:pt idx="41">
                  <c:v>0.31921824104234525</c:v>
                </c:pt>
                <c:pt idx="42">
                  <c:v>0.33819241982507287</c:v>
                </c:pt>
                <c:pt idx="43">
                  <c:v>0.31451612903225806</c:v>
                </c:pt>
                <c:pt idx="44">
                  <c:v>0.29528535980148884</c:v>
                </c:pt>
                <c:pt idx="45">
                  <c:v>0.26874999999999999</c:v>
                </c:pt>
                <c:pt idx="46">
                  <c:v>0.28779599271402551</c:v>
                </c:pt>
                <c:pt idx="47">
                  <c:v>0.29071803852889666</c:v>
                </c:pt>
                <c:pt idx="48">
                  <c:v>0.28421052631578947</c:v>
                </c:pt>
                <c:pt idx="49">
                  <c:v>0.31314878892733566</c:v>
                </c:pt>
                <c:pt idx="50">
                  <c:v>0.29056603773584905</c:v>
                </c:pt>
                <c:pt idx="51">
                  <c:v>0.29925187032418954</c:v>
                </c:pt>
                <c:pt idx="52">
                  <c:v>0.27466666666666667</c:v>
                </c:pt>
                <c:pt idx="53">
                  <c:v>0.27450980392156865</c:v>
                </c:pt>
                <c:pt idx="54">
                  <c:v>0.26845637583892618</c:v>
                </c:pt>
                <c:pt idx="55">
                  <c:v>0.2947976878612717</c:v>
                </c:pt>
                <c:pt idx="56">
                  <c:v>0.25147928994082841</c:v>
                </c:pt>
                <c:pt idx="57">
                  <c:v>0.22758620689655173</c:v>
                </c:pt>
                <c:pt idx="58">
                  <c:v>0.21843003412969283</c:v>
                </c:pt>
                <c:pt idx="59">
                  <c:v>0.23605150214592274</c:v>
                </c:pt>
                <c:pt idx="60">
                  <c:v>0.20717131474103587</c:v>
                </c:pt>
                <c:pt idx="61">
                  <c:v>0.20209059233449478</c:v>
                </c:pt>
                <c:pt idx="62">
                  <c:v>0.24398625429553264</c:v>
                </c:pt>
                <c:pt idx="63">
                  <c:v>0.19303797468354431</c:v>
                </c:pt>
                <c:pt idx="64">
                  <c:v>0.19453924914675769</c:v>
                </c:pt>
                <c:pt idx="65">
                  <c:v>0.15879828326180256</c:v>
                </c:pt>
                <c:pt idx="66">
                  <c:v>0.20560747663551401</c:v>
                </c:pt>
                <c:pt idx="67">
                  <c:v>0.11224489795918367</c:v>
                </c:pt>
                <c:pt idx="68">
                  <c:v>0.20930232558139536</c:v>
                </c:pt>
                <c:pt idx="69">
                  <c:v>0.20869565217391303</c:v>
                </c:pt>
                <c:pt idx="70">
                  <c:v>0.15841584158415842</c:v>
                </c:pt>
                <c:pt idx="71">
                  <c:v>0.19607843137254902</c:v>
                </c:pt>
                <c:pt idx="72">
                  <c:v>0.11711711711711711</c:v>
                </c:pt>
                <c:pt idx="73">
                  <c:v>0.11904761904761904</c:v>
                </c:pt>
                <c:pt idx="74">
                  <c:v>7.3170731707317069E-2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CC4-4F44-B58F-65254F17F40B}"/>
            </c:ext>
          </c:extLst>
        </c:ser>
        <c:ser>
          <c:idx val="3"/>
          <c:order val="3"/>
          <c:tx>
            <c:strRef>
              <c:f>'첫구매-리워드횟수'!$L$1</c:f>
              <c:strCache>
                <c:ptCount val="1"/>
                <c:pt idx="0">
                  <c:v>재구매율</c:v>
                </c:pt>
              </c:strCache>
            </c:strRef>
          </c:tx>
          <c:spPr>
            <a:ln w="38100" cap="rnd" cmpd="tri">
              <a:solidFill>
                <a:srgbClr val="FF0000">
                  <a:alpha val="60000"/>
                </a:srgbClr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'첫구매-리워드횟수'!$B$2:$B$76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'첫구매-리워드횟수'!$L$2:$L$76</c:f>
              <c:numCache>
                <c:formatCode>0%</c:formatCode>
                <c:ptCount val="75"/>
                <c:pt idx="0">
                  <c:v>0.12365591397849462</c:v>
                </c:pt>
                <c:pt idx="1">
                  <c:v>0.22853535353535354</c:v>
                </c:pt>
                <c:pt idx="2">
                  <c:v>0.34491017964071857</c:v>
                </c:pt>
                <c:pt idx="3">
                  <c:v>0.35196374622356497</c:v>
                </c:pt>
                <c:pt idx="4">
                  <c:v>0.33156966490299822</c:v>
                </c:pt>
                <c:pt idx="5">
                  <c:v>0.3203125</c:v>
                </c:pt>
                <c:pt idx="6">
                  <c:v>0.37777777777777777</c:v>
                </c:pt>
                <c:pt idx="7">
                  <c:v>0.35</c:v>
                </c:pt>
                <c:pt idx="8">
                  <c:v>0.37037037037037035</c:v>
                </c:pt>
                <c:pt idx="9">
                  <c:v>0.31880108991825612</c:v>
                </c:pt>
                <c:pt idx="10">
                  <c:v>0.30994152046783624</c:v>
                </c:pt>
                <c:pt idx="11">
                  <c:v>0.30232558139534882</c:v>
                </c:pt>
                <c:pt idx="12">
                  <c:v>0.29444444444444445</c:v>
                </c:pt>
                <c:pt idx="13">
                  <c:v>0.34739454094292804</c:v>
                </c:pt>
                <c:pt idx="14">
                  <c:v>0.32603406326034062</c:v>
                </c:pt>
                <c:pt idx="15">
                  <c:v>0.30232558139534882</c:v>
                </c:pt>
                <c:pt idx="16">
                  <c:v>0.34139784946236557</c:v>
                </c:pt>
                <c:pt idx="17">
                  <c:v>0.31005586592178769</c:v>
                </c:pt>
                <c:pt idx="18">
                  <c:v>0.3398876404494382</c:v>
                </c:pt>
                <c:pt idx="19">
                  <c:v>0.33595800524934383</c:v>
                </c:pt>
                <c:pt idx="20">
                  <c:v>0.34771573604060912</c:v>
                </c:pt>
                <c:pt idx="21">
                  <c:v>0.35933806146572106</c:v>
                </c:pt>
                <c:pt idx="22">
                  <c:v>0.35763097949886102</c:v>
                </c:pt>
                <c:pt idx="23">
                  <c:v>0.37644341801385683</c:v>
                </c:pt>
                <c:pt idx="24">
                  <c:v>0.28705882352941176</c:v>
                </c:pt>
                <c:pt idx="25">
                  <c:v>0.32075471698113206</c:v>
                </c:pt>
                <c:pt idx="26">
                  <c:v>0.3978102189781022</c:v>
                </c:pt>
                <c:pt idx="27">
                  <c:v>0.38348082595870209</c:v>
                </c:pt>
                <c:pt idx="28">
                  <c:v>0.43106995884773663</c:v>
                </c:pt>
                <c:pt idx="29">
                  <c:v>0.45289443813847902</c:v>
                </c:pt>
                <c:pt idx="30">
                  <c:v>0.48127128263337116</c:v>
                </c:pt>
                <c:pt idx="31">
                  <c:v>0.47457627118644069</c:v>
                </c:pt>
                <c:pt idx="32">
                  <c:v>0.44610281923714762</c:v>
                </c:pt>
                <c:pt idx="33">
                  <c:v>0.30252100840336132</c:v>
                </c:pt>
                <c:pt idx="34">
                  <c:v>0.3110539845758355</c:v>
                </c:pt>
                <c:pt idx="35">
                  <c:v>0.31092436974789917</c:v>
                </c:pt>
                <c:pt idx="36">
                  <c:v>0.29411764705882354</c:v>
                </c:pt>
                <c:pt idx="37">
                  <c:v>0.3048780487804878</c:v>
                </c:pt>
                <c:pt idx="38">
                  <c:v>0.28524590163934427</c:v>
                </c:pt>
                <c:pt idx="39">
                  <c:v>0.2822085889570552</c:v>
                </c:pt>
                <c:pt idx="40">
                  <c:v>0.27009646302250806</c:v>
                </c:pt>
                <c:pt idx="41">
                  <c:v>0.28013029315960913</c:v>
                </c:pt>
                <c:pt idx="42">
                  <c:v>0.28279883381924198</c:v>
                </c:pt>
                <c:pt idx="43">
                  <c:v>0.2768817204301075</c:v>
                </c:pt>
                <c:pt idx="44">
                  <c:v>0.28287841191066998</c:v>
                </c:pt>
                <c:pt idx="45">
                  <c:v>0.26041666666666669</c:v>
                </c:pt>
                <c:pt idx="46">
                  <c:v>0.29143897996357016</c:v>
                </c:pt>
                <c:pt idx="47">
                  <c:v>0.25919439579684761</c:v>
                </c:pt>
                <c:pt idx="48">
                  <c:v>0.22631578947368422</c:v>
                </c:pt>
                <c:pt idx="49">
                  <c:v>0.24394463667820068</c:v>
                </c:pt>
                <c:pt idx="50">
                  <c:v>0.23018867924528302</c:v>
                </c:pt>
                <c:pt idx="51">
                  <c:v>0.22194513715710723</c:v>
                </c:pt>
                <c:pt idx="52">
                  <c:v>0.18666666666666668</c:v>
                </c:pt>
                <c:pt idx="53">
                  <c:v>0.16806722689075632</c:v>
                </c:pt>
                <c:pt idx="54">
                  <c:v>0.16107382550335569</c:v>
                </c:pt>
                <c:pt idx="55">
                  <c:v>0.16763005780346821</c:v>
                </c:pt>
                <c:pt idx="56">
                  <c:v>0.17751479289940827</c:v>
                </c:pt>
                <c:pt idx="57">
                  <c:v>0.18965517241379309</c:v>
                </c:pt>
                <c:pt idx="58">
                  <c:v>0.20819112627986347</c:v>
                </c:pt>
                <c:pt idx="59">
                  <c:v>0.19313304721030042</c:v>
                </c:pt>
                <c:pt idx="60">
                  <c:v>0.2151394422310757</c:v>
                </c:pt>
                <c:pt idx="61">
                  <c:v>0.18466898954703834</c:v>
                </c:pt>
                <c:pt idx="62">
                  <c:v>0.14089347079037801</c:v>
                </c:pt>
                <c:pt idx="63">
                  <c:v>0.14240506329113925</c:v>
                </c:pt>
                <c:pt idx="64">
                  <c:v>0.13651877133105803</c:v>
                </c:pt>
                <c:pt idx="65">
                  <c:v>0.20171673819742489</c:v>
                </c:pt>
                <c:pt idx="66">
                  <c:v>0.13551401869158877</c:v>
                </c:pt>
                <c:pt idx="67">
                  <c:v>0.12755102040816327</c:v>
                </c:pt>
                <c:pt idx="68">
                  <c:v>0.12093023255813953</c:v>
                </c:pt>
                <c:pt idx="69">
                  <c:v>0.15217391304347827</c:v>
                </c:pt>
                <c:pt idx="70">
                  <c:v>0.13366336633663367</c:v>
                </c:pt>
                <c:pt idx="71">
                  <c:v>0.13071895424836602</c:v>
                </c:pt>
                <c:pt idx="72">
                  <c:v>0.1891891891891892</c:v>
                </c:pt>
                <c:pt idx="73">
                  <c:v>0.13095238095238096</c:v>
                </c:pt>
                <c:pt idx="74">
                  <c:v>9.7560975609756101E-2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CC4-4F44-B58F-65254F17F40B}"/>
            </c:ext>
          </c:extLst>
        </c:ser>
        <c:ser>
          <c:idx val="4"/>
          <c:order val="4"/>
          <c:tx>
            <c:strRef>
              <c:f>'첫구매-리워드횟수'!$AG$1</c:f>
              <c:strCache>
                <c:ptCount val="1"/>
                <c:pt idx="0">
                  <c:v>군집 B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dLbls>
            <c:dLbl>
              <c:idx val="25"/>
              <c:layout>
                <c:manualLayout>
                  <c:x val="-5.5555555555555558E-3"/>
                  <c:y val="-2.7160180070442652E-17"/>
                </c:manualLayout>
              </c:layout>
              <c:tx>
                <c:rich>
                  <a:bodyPr/>
                  <a:lstStyle/>
                  <a:p>
                    <a:r>
                      <a:rPr lang="ko-KR" altLang="en-US"/>
                      <a:t>군집 </a:t>
                    </a:r>
                    <a:r>
                      <a:rPr lang="en-US" altLang="ko-KR"/>
                      <a:t>B (9778 </a:t>
                    </a:r>
                    <a:r>
                      <a:rPr lang="ko-KR" altLang="en-US"/>
                      <a:t>명</a:t>
                    </a:r>
                    <a:r>
                      <a:rPr lang="en-US" altLang="ko-KR"/>
                      <a:t>)</a:t>
                    </a:r>
                  </a:p>
                </c:rich>
              </c:tx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CC4-4F44-B58F-65254F17F4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dashDot"/>
                <a:round/>
              </a:ln>
              <a:effectLst/>
            </c:spPr>
          </c:errBars>
          <c:cat>
            <c:numRef>
              <c:f>'첫구매-리워드횟수'!$B$2:$B$76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'첫구매-리워드횟수'!$AG$2:$AG$76</c:f>
              <c:numCache>
                <c:formatCode>0%</c:formatCode>
                <c:ptCount val="75"/>
                <c:pt idx="2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CC4-4F44-B58F-65254F17F40B}"/>
            </c:ext>
          </c:extLst>
        </c:ser>
        <c:ser>
          <c:idx val="5"/>
          <c:order val="5"/>
          <c:tx>
            <c:strRef>
              <c:f>'첫구매-리워드횟수'!$AH$1</c:f>
              <c:strCache>
                <c:ptCount val="1"/>
                <c:pt idx="0">
                  <c:v>군집 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Pt>
            <c:idx val="43"/>
            <c:marker>
              <c:symbol val="none"/>
            </c:marker>
            <c:bubble3D val="0"/>
            <c:spPr>
              <a:ln w="28575" cap="rnd">
                <a:solidFill>
                  <a:schemeClr val="accent6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CC4-4F44-B58F-65254F17F40B}"/>
              </c:ext>
            </c:extLst>
          </c:dPt>
          <c:dLbls>
            <c:dLbl>
              <c:idx val="44"/>
              <c:tx>
                <c:rich>
                  <a:bodyPr/>
                  <a:lstStyle/>
                  <a:p>
                    <a:fld id="{3BC2FEDD-FFD2-4097-AF47-4A8C7D409C68}" type="SERIESNAME">
                      <a:rPr lang="en-US" altLang="ko-KR"/>
                      <a:pPr/>
                      <a:t>[계열 이름]</a:t>
                    </a:fld>
                    <a:r>
                      <a:rPr lang="en-US" altLang="ko-KR"/>
                      <a:t> (9729 </a:t>
                    </a:r>
                    <a:r>
                      <a:rPr lang="ko-KR" altLang="en-US"/>
                      <a:t>명</a:t>
                    </a:r>
                    <a:r>
                      <a:rPr lang="en-US" altLang="ko-KR"/>
                      <a:t>)</a:t>
                    </a:r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8-9CC4-4F44-B58F-65254F17F4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dashDot"/>
                <a:round/>
              </a:ln>
              <a:effectLst/>
            </c:spPr>
          </c:errBars>
          <c:val>
            <c:numRef>
              <c:f>'첫구매-리워드횟수'!$AH$2:$AH$76</c:f>
              <c:numCache>
                <c:formatCode>0%</c:formatCode>
                <c:ptCount val="75"/>
                <c:pt idx="4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CC4-4F44-B58F-65254F17F40B}"/>
            </c:ext>
          </c:extLst>
        </c:ser>
        <c:ser>
          <c:idx val="6"/>
          <c:order val="6"/>
          <c:tx>
            <c:strRef>
              <c:f>'첫구매-리워드횟수'!$AF$1</c:f>
              <c:strCache>
                <c:ptCount val="1"/>
                <c:pt idx="0">
                  <c:v>군집 C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3"/>
              <c:tx>
                <c:rich>
                  <a:bodyPr/>
                  <a:lstStyle/>
                  <a:p>
                    <a:fld id="{3C668311-33A8-47D4-A216-B21A73B1DB01}" type="SERIESNAME">
                      <a:rPr lang="en-US" altLang="ko-KR"/>
                      <a:pPr/>
                      <a:t>[계열 이름]</a:t>
                    </a:fld>
                    <a:r>
                      <a:rPr lang="en-US" altLang="ko-KR"/>
                      <a:t> (9285</a:t>
                    </a:r>
                    <a:r>
                      <a:rPr lang="ko-KR" altLang="en-US"/>
                      <a:t>명</a:t>
                    </a:r>
                    <a:r>
                      <a:rPr lang="en-US" altLang="ko-KR"/>
                      <a:t>)</a:t>
                    </a:r>
                  </a:p>
                </c:rich>
              </c:tx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11-9CC4-4F44-B58F-65254F17F40B}"/>
                </c:ext>
              </c:extLst>
            </c:dLbl>
            <c:dLbl>
              <c:idx val="4"/>
              <c:showLegendKey val="0"/>
              <c:showVal val="1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CC4-4F44-B58F-65254F17F40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minus"/>
            <c:errValType val="percentage"/>
            <c:noEndCap val="0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prstDash val="dashDot"/>
                <a:round/>
              </a:ln>
              <a:effectLst/>
            </c:spPr>
          </c:errBars>
          <c:val>
            <c:numRef>
              <c:f>'첫구매-리워드횟수'!$AF$2:$AF$76</c:f>
              <c:numCache>
                <c:formatCode>0%</c:formatCode>
                <c:ptCount val="75"/>
                <c:pt idx="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CC4-4F44-B58F-65254F17F40B}"/>
            </c:ext>
          </c:extLst>
        </c:ser>
        <c:ser>
          <c:idx val="7"/>
          <c:order val="7"/>
          <c:tx>
            <c:strRef>
              <c:f>'첫구매-리워드횟수'!$D$1</c:f>
              <c:strCache>
                <c:ptCount val="1"/>
                <c:pt idx="0">
                  <c:v>user_id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'첫구매-리워드횟수'!$D$2:$D$76</c:f>
              <c:numCache>
                <c:formatCode>General</c:formatCode>
                <c:ptCount val="75"/>
                <c:pt idx="0">
                  <c:v>372</c:v>
                </c:pt>
                <c:pt idx="1">
                  <c:v>792</c:v>
                </c:pt>
                <c:pt idx="2">
                  <c:v>835</c:v>
                </c:pt>
                <c:pt idx="3">
                  <c:v>662</c:v>
                </c:pt>
                <c:pt idx="4">
                  <c:v>567</c:v>
                </c:pt>
                <c:pt idx="5">
                  <c:v>512</c:v>
                </c:pt>
                <c:pt idx="6">
                  <c:v>495</c:v>
                </c:pt>
                <c:pt idx="7">
                  <c:v>460</c:v>
                </c:pt>
                <c:pt idx="8">
                  <c:v>351</c:v>
                </c:pt>
                <c:pt idx="9">
                  <c:v>367</c:v>
                </c:pt>
                <c:pt idx="10">
                  <c:v>342</c:v>
                </c:pt>
                <c:pt idx="11">
                  <c:v>387</c:v>
                </c:pt>
                <c:pt idx="12">
                  <c:v>360</c:v>
                </c:pt>
                <c:pt idx="13">
                  <c:v>403</c:v>
                </c:pt>
                <c:pt idx="14">
                  <c:v>411</c:v>
                </c:pt>
                <c:pt idx="15">
                  <c:v>387</c:v>
                </c:pt>
                <c:pt idx="16">
                  <c:v>372</c:v>
                </c:pt>
                <c:pt idx="17">
                  <c:v>358</c:v>
                </c:pt>
                <c:pt idx="18">
                  <c:v>356</c:v>
                </c:pt>
                <c:pt idx="19">
                  <c:v>381</c:v>
                </c:pt>
                <c:pt idx="20">
                  <c:v>394</c:v>
                </c:pt>
                <c:pt idx="21">
                  <c:v>423</c:v>
                </c:pt>
                <c:pt idx="22">
                  <c:v>439</c:v>
                </c:pt>
                <c:pt idx="23">
                  <c:v>433</c:v>
                </c:pt>
                <c:pt idx="24">
                  <c:v>425</c:v>
                </c:pt>
                <c:pt idx="25">
                  <c:v>477</c:v>
                </c:pt>
                <c:pt idx="26">
                  <c:v>548</c:v>
                </c:pt>
                <c:pt idx="27">
                  <c:v>678</c:v>
                </c:pt>
                <c:pt idx="28">
                  <c:v>972</c:v>
                </c:pt>
                <c:pt idx="29">
                  <c:v>881</c:v>
                </c:pt>
                <c:pt idx="30">
                  <c:v>881</c:v>
                </c:pt>
                <c:pt idx="31">
                  <c:v>1003</c:v>
                </c:pt>
                <c:pt idx="32">
                  <c:v>603</c:v>
                </c:pt>
                <c:pt idx="33">
                  <c:v>357</c:v>
                </c:pt>
                <c:pt idx="34">
                  <c:v>389</c:v>
                </c:pt>
                <c:pt idx="35">
                  <c:v>357</c:v>
                </c:pt>
                <c:pt idx="36">
                  <c:v>340</c:v>
                </c:pt>
                <c:pt idx="37">
                  <c:v>328</c:v>
                </c:pt>
                <c:pt idx="38">
                  <c:v>305</c:v>
                </c:pt>
                <c:pt idx="39">
                  <c:v>326</c:v>
                </c:pt>
                <c:pt idx="40">
                  <c:v>311</c:v>
                </c:pt>
                <c:pt idx="41">
                  <c:v>307</c:v>
                </c:pt>
                <c:pt idx="42">
                  <c:v>343</c:v>
                </c:pt>
                <c:pt idx="43">
                  <c:v>372</c:v>
                </c:pt>
                <c:pt idx="44">
                  <c:v>403</c:v>
                </c:pt>
                <c:pt idx="45">
                  <c:v>480</c:v>
                </c:pt>
                <c:pt idx="46">
                  <c:v>549</c:v>
                </c:pt>
                <c:pt idx="47">
                  <c:v>571</c:v>
                </c:pt>
                <c:pt idx="48">
                  <c:v>570</c:v>
                </c:pt>
                <c:pt idx="49">
                  <c:v>578</c:v>
                </c:pt>
                <c:pt idx="50">
                  <c:v>530</c:v>
                </c:pt>
                <c:pt idx="51">
                  <c:v>401</c:v>
                </c:pt>
                <c:pt idx="52">
                  <c:v>375</c:v>
                </c:pt>
                <c:pt idx="53">
                  <c:v>357</c:v>
                </c:pt>
                <c:pt idx="54">
                  <c:v>298</c:v>
                </c:pt>
                <c:pt idx="55">
                  <c:v>346</c:v>
                </c:pt>
                <c:pt idx="56">
                  <c:v>338</c:v>
                </c:pt>
                <c:pt idx="57">
                  <c:v>290</c:v>
                </c:pt>
                <c:pt idx="58">
                  <c:v>293</c:v>
                </c:pt>
                <c:pt idx="59">
                  <c:v>233</c:v>
                </c:pt>
                <c:pt idx="60">
                  <c:v>251</c:v>
                </c:pt>
                <c:pt idx="61">
                  <c:v>287</c:v>
                </c:pt>
                <c:pt idx="62">
                  <c:v>291</c:v>
                </c:pt>
                <c:pt idx="63">
                  <c:v>316</c:v>
                </c:pt>
                <c:pt idx="64">
                  <c:v>293</c:v>
                </c:pt>
                <c:pt idx="65">
                  <c:v>233</c:v>
                </c:pt>
                <c:pt idx="66">
                  <c:v>214</c:v>
                </c:pt>
                <c:pt idx="67">
                  <c:v>196</c:v>
                </c:pt>
                <c:pt idx="68">
                  <c:v>215</c:v>
                </c:pt>
                <c:pt idx="69">
                  <c:v>230</c:v>
                </c:pt>
                <c:pt idx="70">
                  <c:v>202</c:v>
                </c:pt>
                <c:pt idx="71">
                  <c:v>153</c:v>
                </c:pt>
                <c:pt idx="72">
                  <c:v>111</c:v>
                </c:pt>
                <c:pt idx="73">
                  <c:v>84</c:v>
                </c:pt>
                <c:pt idx="74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CC4-4F44-B58F-65254F17F40B}"/>
            </c:ext>
          </c:extLst>
        </c:ser>
        <c:ser>
          <c:idx val="10"/>
          <c:order val="10"/>
          <c:tx>
            <c:strRef>
              <c:f>'첫구매-리워드횟수'!$Q$1</c:f>
              <c:strCache>
                <c:ptCount val="1"/>
                <c:pt idx="0">
                  <c:v>첫 구매 시 쇼지 사용 비중</c:v>
                </c:pt>
              </c:strCache>
            </c:strRef>
          </c:tx>
          <c:spPr>
            <a:ln w="28575" cap="rnd">
              <a:solidFill>
                <a:schemeClr val="tx2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'첫구매-리워드횟수'!$Q$2:$Q$76</c:f>
              <c:numCache>
                <c:formatCode>General</c:formatCode>
                <c:ptCount val="75"/>
                <c:pt idx="0">
                  <c:v>0.57400499999999999</c:v>
                </c:pt>
                <c:pt idx="1">
                  <c:v>0.54596</c:v>
                </c:pt>
                <c:pt idx="2">
                  <c:v>0.53862299999999996</c:v>
                </c:pt>
                <c:pt idx="3">
                  <c:v>0.49768899999999999</c:v>
                </c:pt>
                <c:pt idx="4">
                  <c:v>0.51839500000000005</c:v>
                </c:pt>
                <c:pt idx="5">
                  <c:v>0.49363299999999999</c:v>
                </c:pt>
                <c:pt idx="6">
                  <c:v>0.49680800000000003</c:v>
                </c:pt>
                <c:pt idx="7">
                  <c:v>0.48689100000000002</c:v>
                </c:pt>
                <c:pt idx="8">
                  <c:v>0.52236499999999997</c:v>
                </c:pt>
                <c:pt idx="9">
                  <c:v>0.50438700000000003</c:v>
                </c:pt>
                <c:pt idx="10">
                  <c:v>0.54198800000000003</c:v>
                </c:pt>
                <c:pt idx="11">
                  <c:v>0.54320400000000002</c:v>
                </c:pt>
                <c:pt idx="12">
                  <c:v>0.55211100000000002</c:v>
                </c:pt>
                <c:pt idx="13">
                  <c:v>0.54354800000000003</c:v>
                </c:pt>
                <c:pt idx="14">
                  <c:v>0.54513400000000001</c:v>
                </c:pt>
                <c:pt idx="15">
                  <c:v>0.56599500000000003</c:v>
                </c:pt>
                <c:pt idx="16">
                  <c:v>0.60833300000000001</c:v>
                </c:pt>
                <c:pt idx="17">
                  <c:v>0.58349200000000001</c:v>
                </c:pt>
                <c:pt idx="18">
                  <c:v>0.56176999999999999</c:v>
                </c:pt>
                <c:pt idx="19">
                  <c:v>0.56734899999999999</c:v>
                </c:pt>
                <c:pt idx="20">
                  <c:v>0.57913700000000001</c:v>
                </c:pt>
                <c:pt idx="21">
                  <c:v>0.58929100000000001</c:v>
                </c:pt>
                <c:pt idx="22">
                  <c:v>0.59562599999999999</c:v>
                </c:pt>
                <c:pt idx="23">
                  <c:v>0.58353299999999997</c:v>
                </c:pt>
                <c:pt idx="24">
                  <c:v>0.59884700000000002</c:v>
                </c:pt>
                <c:pt idx="25">
                  <c:v>0.63631000000000004</c:v>
                </c:pt>
                <c:pt idx="26">
                  <c:v>0.60930700000000004</c:v>
                </c:pt>
                <c:pt idx="27">
                  <c:v>0.59328899999999996</c:v>
                </c:pt>
                <c:pt idx="28">
                  <c:v>0.57775699999999997</c:v>
                </c:pt>
                <c:pt idx="29">
                  <c:v>0.60215700000000005</c:v>
                </c:pt>
                <c:pt idx="30">
                  <c:v>0.63791100000000001</c:v>
                </c:pt>
                <c:pt idx="31">
                  <c:v>0.62704899999999997</c:v>
                </c:pt>
                <c:pt idx="32">
                  <c:v>0.63383100000000003</c:v>
                </c:pt>
                <c:pt idx="33">
                  <c:v>0.66378199999999998</c:v>
                </c:pt>
                <c:pt idx="34">
                  <c:v>0.67671000000000003</c:v>
                </c:pt>
                <c:pt idx="35">
                  <c:v>0.72358500000000003</c:v>
                </c:pt>
                <c:pt idx="36">
                  <c:v>0.71682400000000002</c:v>
                </c:pt>
                <c:pt idx="37">
                  <c:v>0.73210399999999998</c:v>
                </c:pt>
                <c:pt idx="38">
                  <c:v>0.76544299999999998</c:v>
                </c:pt>
                <c:pt idx="39">
                  <c:v>0.77085899999999996</c:v>
                </c:pt>
                <c:pt idx="40">
                  <c:v>0.77903500000000003</c:v>
                </c:pt>
                <c:pt idx="41">
                  <c:v>0.79934899999999998</c:v>
                </c:pt>
                <c:pt idx="42">
                  <c:v>0.76653099999999996</c:v>
                </c:pt>
                <c:pt idx="43">
                  <c:v>0.79994600000000005</c:v>
                </c:pt>
                <c:pt idx="44">
                  <c:v>0.81903199999999998</c:v>
                </c:pt>
                <c:pt idx="45">
                  <c:v>0.84039600000000003</c:v>
                </c:pt>
                <c:pt idx="46">
                  <c:v>0.86861600000000005</c:v>
                </c:pt>
                <c:pt idx="47">
                  <c:v>0.84835400000000005</c:v>
                </c:pt>
                <c:pt idx="48">
                  <c:v>0.85054399999999997</c:v>
                </c:pt>
                <c:pt idx="49">
                  <c:v>0.86885800000000002</c:v>
                </c:pt>
                <c:pt idx="50">
                  <c:v>0.86618899999999999</c:v>
                </c:pt>
                <c:pt idx="51">
                  <c:v>0.86296799999999996</c:v>
                </c:pt>
                <c:pt idx="52">
                  <c:v>0.85410699999999995</c:v>
                </c:pt>
                <c:pt idx="53">
                  <c:v>0.861232</c:v>
                </c:pt>
                <c:pt idx="54">
                  <c:v>0.861711</c:v>
                </c:pt>
                <c:pt idx="55">
                  <c:v>0.84592500000000004</c:v>
                </c:pt>
                <c:pt idx="56">
                  <c:v>0.844024</c:v>
                </c:pt>
                <c:pt idx="57">
                  <c:v>0.86720699999999995</c:v>
                </c:pt>
                <c:pt idx="58">
                  <c:v>0.88416399999999995</c:v>
                </c:pt>
                <c:pt idx="59">
                  <c:v>0.86102999999999996</c:v>
                </c:pt>
                <c:pt idx="60">
                  <c:v>0.85589599999999999</c:v>
                </c:pt>
                <c:pt idx="61">
                  <c:v>0.86118499999999998</c:v>
                </c:pt>
                <c:pt idx="62">
                  <c:v>0.85453599999999996</c:v>
                </c:pt>
                <c:pt idx="63">
                  <c:v>0.87436700000000001</c:v>
                </c:pt>
                <c:pt idx="64">
                  <c:v>0.87699700000000003</c:v>
                </c:pt>
                <c:pt idx="65">
                  <c:v>0.83995699999999995</c:v>
                </c:pt>
                <c:pt idx="66">
                  <c:v>0.87761699999999998</c:v>
                </c:pt>
                <c:pt idx="67">
                  <c:v>0.845306</c:v>
                </c:pt>
                <c:pt idx="68">
                  <c:v>0.88618600000000003</c:v>
                </c:pt>
                <c:pt idx="69">
                  <c:v>0.87743499999999996</c:v>
                </c:pt>
                <c:pt idx="70">
                  <c:v>0.85470299999999999</c:v>
                </c:pt>
                <c:pt idx="71">
                  <c:v>0.86241800000000002</c:v>
                </c:pt>
                <c:pt idx="72">
                  <c:v>0.88918900000000001</c:v>
                </c:pt>
                <c:pt idx="73">
                  <c:v>0.85535700000000003</c:v>
                </c:pt>
                <c:pt idx="74">
                  <c:v>0.89243899999999998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CC4-4F44-B58F-65254F17F40B}"/>
            </c:ext>
          </c:extLst>
        </c:ser>
        <c:ser>
          <c:idx val="11"/>
          <c:order val="11"/>
          <c:tx>
            <c:strRef>
              <c:f>'첫구매-리워드횟수'!$Z$1</c:f>
              <c:strCache>
                <c:ptCount val="1"/>
                <c:pt idx="0">
                  <c:v>재 구매 시 쇼지 사용 비중</c:v>
                </c:pt>
              </c:strCache>
            </c:strRef>
          </c:tx>
          <c:spPr>
            <a:ln w="28575" cap="rnd">
              <a:solidFill>
                <a:schemeClr val="tx2">
                  <a:alpha val="64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'첫구매-리워드횟수'!$Z$2:$Z$76</c:f>
              <c:numCache>
                <c:formatCode>0%</c:formatCode>
                <c:ptCount val="75"/>
                <c:pt idx="0">
                  <c:v>0.52434800000000004</c:v>
                </c:pt>
                <c:pt idx="1">
                  <c:v>0.54961300000000002</c:v>
                </c:pt>
                <c:pt idx="2">
                  <c:v>0.57173600000000002</c:v>
                </c:pt>
                <c:pt idx="3">
                  <c:v>0.46047199999999999</c:v>
                </c:pt>
                <c:pt idx="4">
                  <c:v>0.541543</c:v>
                </c:pt>
                <c:pt idx="5">
                  <c:v>0.45750000000000002</c:v>
                </c:pt>
                <c:pt idx="6">
                  <c:v>0.50395699999999999</c:v>
                </c:pt>
                <c:pt idx="7">
                  <c:v>0.55794999999999995</c:v>
                </c:pt>
                <c:pt idx="8">
                  <c:v>0.54061499999999996</c:v>
                </c:pt>
                <c:pt idx="9">
                  <c:v>0.54769199999999996</c:v>
                </c:pt>
                <c:pt idx="10">
                  <c:v>0.60386799999999996</c:v>
                </c:pt>
                <c:pt idx="11">
                  <c:v>0.58854700000000004</c:v>
                </c:pt>
                <c:pt idx="12">
                  <c:v>0.56584900000000005</c:v>
                </c:pt>
                <c:pt idx="13">
                  <c:v>0.54621399999999998</c:v>
                </c:pt>
                <c:pt idx="14">
                  <c:v>0.60402999999999996</c:v>
                </c:pt>
                <c:pt idx="15">
                  <c:v>0.674786</c:v>
                </c:pt>
                <c:pt idx="16">
                  <c:v>0.63362200000000002</c:v>
                </c:pt>
                <c:pt idx="17">
                  <c:v>0.64009000000000005</c:v>
                </c:pt>
                <c:pt idx="18">
                  <c:v>0.596777</c:v>
                </c:pt>
                <c:pt idx="19">
                  <c:v>0.63203100000000001</c:v>
                </c:pt>
                <c:pt idx="20">
                  <c:v>0.65182499999999999</c:v>
                </c:pt>
                <c:pt idx="21">
                  <c:v>0.69881599999999999</c:v>
                </c:pt>
                <c:pt idx="22">
                  <c:v>0.71872599999999998</c:v>
                </c:pt>
                <c:pt idx="23">
                  <c:v>0.71404900000000004</c:v>
                </c:pt>
                <c:pt idx="24">
                  <c:v>0.69327899999999998</c:v>
                </c:pt>
                <c:pt idx="25">
                  <c:v>0.71169899999999997</c:v>
                </c:pt>
                <c:pt idx="26">
                  <c:v>0.71669700000000003</c:v>
                </c:pt>
                <c:pt idx="27">
                  <c:v>0.71407699999999996</c:v>
                </c:pt>
                <c:pt idx="28">
                  <c:v>0.74787599999999999</c:v>
                </c:pt>
                <c:pt idx="29">
                  <c:v>0.77100299999999999</c:v>
                </c:pt>
                <c:pt idx="30">
                  <c:v>0.799481</c:v>
                </c:pt>
                <c:pt idx="31">
                  <c:v>0.85491600000000001</c:v>
                </c:pt>
                <c:pt idx="32">
                  <c:v>0.79315999999999998</c:v>
                </c:pt>
                <c:pt idx="33">
                  <c:v>0.80351899999999998</c:v>
                </c:pt>
                <c:pt idx="34">
                  <c:v>0.75165300000000002</c:v>
                </c:pt>
                <c:pt idx="35">
                  <c:v>0.75531499999999996</c:v>
                </c:pt>
                <c:pt idx="36">
                  <c:v>0.81459999999999999</c:v>
                </c:pt>
                <c:pt idx="37">
                  <c:v>0.74370000000000003</c:v>
                </c:pt>
                <c:pt idx="38">
                  <c:v>0.77413799999999999</c:v>
                </c:pt>
                <c:pt idx="39">
                  <c:v>0.71043500000000004</c:v>
                </c:pt>
                <c:pt idx="40">
                  <c:v>0.73250000000000004</c:v>
                </c:pt>
                <c:pt idx="41">
                  <c:v>0.788605</c:v>
                </c:pt>
                <c:pt idx="42">
                  <c:v>0.74433000000000005</c:v>
                </c:pt>
                <c:pt idx="43">
                  <c:v>0.78854400000000002</c:v>
                </c:pt>
                <c:pt idx="44">
                  <c:v>0.82193000000000005</c:v>
                </c:pt>
                <c:pt idx="45">
                  <c:v>0.78288000000000002</c:v>
                </c:pt>
                <c:pt idx="46">
                  <c:v>0.85587500000000005</c:v>
                </c:pt>
                <c:pt idx="47">
                  <c:v>0.81304100000000001</c:v>
                </c:pt>
                <c:pt idx="48">
                  <c:v>0.82666700000000004</c:v>
                </c:pt>
                <c:pt idx="49">
                  <c:v>0.83907799999999999</c:v>
                </c:pt>
                <c:pt idx="50">
                  <c:v>0.86385199999999995</c:v>
                </c:pt>
                <c:pt idx="51">
                  <c:v>0.81988799999999995</c:v>
                </c:pt>
                <c:pt idx="52">
                  <c:v>0.73271399999999998</c:v>
                </c:pt>
                <c:pt idx="53">
                  <c:v>0.84483299999999995</c:v>
                </c:pt>
                <c:pt idx="54">
                  <c:v>0.78854199999999997</c:v>
                </c:pt>
                <c:pt idx="55">
                  <c:v>0.72551699999999997</c:v>
                </c:pt>
                <c:pt idx="56">
                  <c:v>0.78933299999999995</c:v>
                </c:pt>
                <c:pt idx="57">
                  <c:v>0.8</c:v>
                </c:pt>
                <c:pt idx="58">
                  <c:v>0.84573799999999999</c:v>
                </c:pt>
                <c:pt idx="59">
                  <c:v>0.77688900000000005</c:v>
                </c:pt>
                <c:pt idx="60">
                  <c:v>0.79277799999999998</c:v>
                </c:pt>
                <c:pt idx="61">
                  <c:v>0.88264200000000004</c:v>
                </c:pt>
                <c:pt idx="62">
                  <c:v>0.85634100000000002</c:v>
                </c:pt>
                <c:pt idx="63">
                  <c:v>0.79600000000000004</c:v>
                </c:pt>
                <c:pt idx="64">
                  <c:v>0.79674999999999996</c:v>
                </c:pt>
                <c:pt idx="65">
                  <c:v>0.78702099999999997</c:v>
                </c:pt>
                <c:pt idx="66">
                  <c:v>0.84275900000000004</c:v>
                </c:pt>
                <c:pt idx="67">
                  <c:v>0.79400000000000004</c:v>
                </c:pt>
                <c:pt idx="68">
                  <c:v>0.86884600000000001</c:v>
                </c:pt>
                <c:pt idx="69">
                  <c:v>0.86857099999999998</c:v>
                </c:pt>
                <c:pt idx="70">
                  <c:v>0.80074100000000004</c:v>
                </c:pt>
                <c:pt idx="71">
                  <c:v>0.78049999999999997</c:v>
                </c:pt>
                <c:pt idx="72">
                  <c:v>0.93904799999999999</c:v>
                </c:pt>
                <c:pt idx="73">
                  <c:v>0.85545499999999997</c:v>
                </c:pt>
                <c:pt idx="74">
                  <c:v>0.72499999999999998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CC4-4F44-B58F-65254F17F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5185056"/>
        <c:axId val="1399442816"/>
      </c:lineChart>
      <c:lineChart>
        <c:grouping val="standard"/>
        <c:varyColors val="0"/>
        <c:ser>
          <c:idx val="0"/>
          <c:order val="0"/>
          <c:tx>
            <c:strRef>
              <c:f>'첫구매-리워드횟수'!$F$1</c:f>
              <c:strCache>
                <c:ptCount val="1"/>
                <c:pt idx="0">
                  <c:v>첫구매 전 캐시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'첫구매-리워드횟수'!$B$2:$B$76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'첫구매-리워드횟수'!$F$2:$F$76</c:f>
              <c:numCache>
                <c:formatCode>General</c:formatCode>
                <c:ptCount val="75"/>
                <c:pt idx="0">
                  <c:v>3428.0483869999998</c:v>
                </c:pt>
                <c:pt idx="1">
                  <c:v>4118.7020199999997</c:v>
                </c:pt>
                <c:pt idx="2">
                  <c:v>6698.3544910000001</c:v>
                </c:pt>
                <c:pt idx="3">
                  <c:v>6287.049849</c:v>
                </c:pt>
                <c:pt idx="4">
                  <c:v>6943.1640209999996</c:v>
                </c:pt>
                <c:pt idx="5">
                  <c:v>7034.546875</c:v>
                </c:pt>
                <c:pt idx="6">
                  <c:v>7820.7010099999998</c:v>
                </c:pt>
                <c:pt idx="7">
                  <c:v>7303.1934780000001</c:v>
                </c:pt>
                <c:pt idx="8">
                  <c:v>7460.7293449999997</c:v>
                </c:pt>
                <c:pt idx="9">
                  <c:v>7301.4468660000002</c:v>
                </c:pt>
                <c:pt idx="10">
                  <c:v>6545.4444439999997</c:v>
                </c:pt>
                <c:pt idx="11">
                  <c:v>6753.4108530000003</c:v>
                </c:pt>
                <c:pt idx="12">
                  <c:v>7768.75</c:v>
                </c:pt>
                <c:pt idx="13">
                  <c:v>6405.2009930000004</c:v>
                </c:pt>
                <c:pt idx="14">
                  <c:v>7228.3138689999996</c:v>
                </c:pt>
                <c:pt idx="15">
                  <c:v>7232.6072350000004</c:v>
                </c:pt>
                <c:pt idx="16">
                  <c:v>6772.6586020000004</c:v>
                </c:pt>
                <c:pt idx="17">
                  <c:v>6679.7709500000001</c:v>
                </c:pt>
                <c:pt idx="18">
                  <c:v>6627.6825840000001</c:v>
                </c:pt>
                <c:pt idx="19">
                  <c:v>7034.929134</c:v>
                </c:pt>
                <c:pt idx="20">
                  <c:v>7688.895939</c:v>
                </c:pt>
                <c:pt idx="21">
                  <c:v>7248.2529549999999</c:v>
                </c:pt>
                <c:pt idx="22">
                  <c:v>7263.373576</c:v>
                </c:pt>
                <c:pt idx="23">
                  <c:v>7152.6073900000001</c:v>
                </c:pt>
                <c:pt idx="24">
                  <c:v>7049.0047059999997</c:v>
                </c:pt>
                <c:pt idx="25">
                  <c:v>6101.549266</c:v>
                </c:pt>
                <c:pt idx="26">
                  <c:v>7820.9288319999996</c:v>
                </c:pt>
                <c:pt idx="27">
                  <c:v>8275.9926250000008</c:v>
                </c:pt>
                <c:pt idx="28">
                  <c:v>9630.9681070000006</c:v>
                </c:pt>
                <c:pt idx="29">
                  <c:v>10358.970488000001</c:v>
                </c:pt>
                <c:pt idx="30">
                  <c:v>9647.7275819999995</c:v>
                </c:pt>
                <c:pt idx="31">
                  <c:v>11281.130607999999</c:v>
                </c:pt>
                <c:pt idx="32">
                  <c:v>9711.2288559999997</c:v>
                </c:pt>
                <c:pt idx="33">
                  <c:v>6134.4369749999996</c:v>
                </c:pt>
                <c:pt idx="34">
                  <c:v>7028.3701799999999</c:v>
                </c:pt>
                <c:pt idx="35">
                  <c:v>5859.565826</c:v>
                </c:pt>
                <c:pt idx="36">
                  <c:v>6472.2588239999995</c:v>
                </c:pt>
                <c:pt idx="37">
                  <c:v>5808.1646339999998</c:v>
                </c:pt>
                <c:pt idx="38">
                  <c:v>6186.3934429999999</c:v>
                </c:pt>
                <c:pt idx="39">
                  <c:v>5455.0828220000003</c:v>
                </c:pt>
                <c:pt idx="40">
                  <c:v>5454.6720260000002</c:v>
                </c:pt>
                <c:pt idx="41">
                  <c:v>5376.67101</c:v>
                </c:pt>
                <c:pt idx="42">
                  <c:v>5637.5422740000004</c:v>
                </c:pt>
                <c:pt idx="43">
                  <c:v>5836.9650540000002</c:v>
                </c:pt>
                <c:pt idx="44">
                  <c:v>5631.6724569999997</c:v>
                </c:pt>
                <c:pt idx="45">
                  <c:v>5597.6208329999999</c:v>
                </c:pt>
                <c:pt idx="46">
                  <c:v>6874.4936250000001</c:v>
                </c:pt>
                <c:pt idx="47">
                  <c:v>5551.5709280000001</c:v>
                </c:pt>
                <c:pt idx="48">
                  <c:v>4303.6701750000002</c:v>
                </c:pt>
                <c:pt idx="49">
                  <c:v>3373.749135</c:v>
                </c:pt>
                <c:pt idx="50">
                  <c:v>3516.5169810000002</c:v>
                </c:pt>
                <c:pt idx="51">
                  <c:v>2907.157107</c:v>
                </c:pt>
                <c:pt idx="52">
                  <c:v>3485.8986669999999</c:v>
                </c:pt>
                <c:pt idx="53">
                  <c:v>3192.8711480000002</c:v>
                </c:pt>
                <c:pt idx="54">
                  <c:v>2934.3456379999998</c:v>
                </c:pt>
                <c:pt idx="55">
                  <c:v>3506.4046239999998</c:v>
                </c:pt>
                <c:pt idx="56">
                  <c:v>2796.1952660000002</c:v>
                </c:pt>
                <c:pt idx="57">
                  <c:v>3098.8620689999998</c:v>
                </c:pt>
                <c:pt idx="58">
                  <c:v>2913.2013649999999</c:v>
                </c:pt>
                <c:pt idx="59">
                  <c:v>3180.5150210000002</c:v>
                </c:pt>
                <c:pt idx="60">
                  <c:v>3123.350598</c:v>
                </c:pt>
                <c:pt idx="61">
                  <c:v>3122.236934</c:v>
                </c:pt>
                <c:pt idx="62">
                  <c:v>4126.5704470000001</c:v>
                </c:pt>
                <c:pt idx="63">
                  <c:v>3312.7088610000001</c:v>
                </c:pt>
                <c:pt idx="64">
                  <c:v>3367.0238909999998</c:v>
                </c:pt>
                <c:pt idx="65">
                  <c:v>3037.7038630000002</c:v>
                </c:pt>
                <c:pt idx="66">
                  <c:v>2554.5046729999999</c:v>
                </c:pt>
                <c:pt idx="67">
                  <c:v>3661.1326530000001</c:v>
                </c:pt>
                <c:pt idx="68">
                  <c:v>4058.2558140000001</c:v>
                </c:pt>
                <c:pt idx="69">
                  <c:v>3520.6</c:v>
                </c:pt>
                <c:pt idx="70">
                  <c:v>2562.1732670000001</c:v>
                </c:pt>
                <c:pt idx="71">
                  <c:v>2393.3921570000002</c:v>
                </c:pt>
                <c:pt idx="72">
                  <c:v>3668.27027</c:v>
                </c:pt>
                <c:pt idx="73">
                  <c:v>4232.2142860000004</c:v>
                </c:pt>
                <c:pt idx="74">
                  <c:v>5179.1951220000001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C4-4F44-B58F-65254F17F40B}"/>
            </c:ext>
          </c:extLst>
        </c:ser>
        <c:ser>
          <c:idx val="1"/>
          <c:order val="1"/>
          <c:tx>
            <c:strRef>
              <c:f>'첫구매-리워드횟수'!$E$1</c:f>
              <c:strCache>
                <c:ptCount val="1"/>
                <c:pt idx="0">
                  <c:v>첫구매 전 쇼지</c:v>
                </c:pt>
              </c:strCache>
            </c:strRef>
          </c:tx>
          <c:spPr>
            <a:ln w="2222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'첫구매-리워드횟수'!$B$2:$B$76</c:f>
              <c:numCache>
                <c:formatCode>General</c:formatCode>
                <c:ptCount val="7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</c:numCache>
            </c:numRef>
          </c:cat>
          <c:val>
            <c:numRef>
              <c:f>'첫구매-리워드횟수'!$E$2:$E$76</c:f>
              <c:numCache>
                <c:formatCode>General</c:formatCode>
                <c:ptCount val="75"/>
                <c:pt idx="0">
                  <c:v>6207.0403230000002</c:v>
                </c:pt>
                <c:pt idx="1">
                  <c:v>8073.9684340000003</c:v>
                </c:pt>
                <c:pt idx="2">
                  <c:v>8333.7880239999995</c:v>
                </c:pt>
                <c:pt idx="3">
                  <c:v>7451.0256799999997</c:v>
                </c:pt>
                <c:pt idx="4">
                  <c:v>7052.746032</c:v>
                </c:pt>
                <c:pt idx="5">
                  <c:v>7188.8125</c:v>
                </c:pt>
                <c:pt idx="6">
                  <c:v>7581.8383839999997</c:v>
                </c:pt>
                <c:pt idx="7">
                  <c:v>6725.9</c:v>
                </c:pt>
                <c:pt idx="8">
                  <c:v>6602.6923079999997</c:v>
                </c:pt>
                <c:pt idx="9">
                  <c:v>5836.3596729999999</c:v>
                </c:pt>
                <c:pt idx="10">
                  <c:v>6682.6140349999996</c:v>
                </c:pt>
                <c:pt idx="11">
                  <c:v>5492.5788110000003</c:v>
                </c:pt>
                <c:pt idx="12">
                  <c:v>6149.2694439999996</c:v>
                </c:pt>
                <c:pt idx="13">
                  <c:v>6988.4516130000002</c:v>
                </c:pt>
                <c:pt idx="14">
                  <c:v>6119.3625300000003</c:v>
                </c:pt>
                <c:pt idx="15">
                  <c:v>6634.3462529999997</c:v>
                </c:pt>
                <c:pt idx="16">
                  <c:v>6849.7311829999999</c:v>
                </c:pt>
                <c:pt idx="17">
                  <c:v>6153.0363129999996</c:v>
                </c:pt>
                <c:pt idx="18">
                  <c:v>6457.4606739999999</c:v>
                </c:pt>
                <c:pt idx="19">
                  <c:v>6135.6010500000002</c:v>
                </c:pt>
                <c:pt idx="20">
                  <c:v>6368.0786799999996</c:v>
                </c:pt>
                <c:pt idx="21">
                  <c:v>6312.4089830000003</c:v>
                </c:pt>
                <c:pt idx="22">
                  <c:v>6635.1230070000001</c:v>
                </c:pt>
                <c:pt idx="23">
                  <c:v>6096.7713629999998</c:v>
                </c:pt>
                <c:pt idx="24">
                  <c:v>6555.88</c:v>
                </c:pt>
                <c:pt idx="25">
                  <c:v>7046.5828090000005</c:v>
                </c:pt>
                <c:pt idx="26">
                  <c:v>6516.84854</c:v>
                </c:pt>
                <c:pt idx="27">
                  <c:v>5955.982301</c:v>
                </c:pt>
                <c:pt idx="28">
                  <c:v>5803.2232510000003</c:v>
                </c:pt>
                <c:pt idx="29">
                  <c:v>5936.8399550000004</c:v>
                </c:pt>
                <c:pt idx="30">
                  <c:v>6511.6435869999996</c:v>
                </c:pt>
                <c:pt idx="31">
                  <c:v>5902.6869390000002</c:v>
                </c:pt>
                <c:pt idx="32">
                  <c:v>6150.1990050000004</c:v>
                </c:pt>
                <c:pt idx="33">
                  <c:v>7860.316527</c:v>
                </c:pt>
                <c:pt idx="34">
                  <c:v>7880.9562980000001</c:v>
                </c:pt>
                <c:pt idx="35">
                  <c:v>8904.4453780000003</c:v>
                </c:pt>
                <c:pt idx="36">
                  <c:v>9227.9529409999996</c:v>
                </c:pt>
                <c:pt idx="37">
                  <c:v>8848.8841460000003</c:v>
                </c:pt>
                <c:pt idx="38">
                  <c:v>9576.4819669999997</c:v>
                </c:pt>
                <c:pt idx="39">
                  <c:v>9590.9018400000004</c:v>
                </c:pt>
                <c:pt idx="40">
                  <c:v>9720.5144689999997</c:v>
                </c:pt>
                <c:pt idx="41">
                  <c:v>10129.286645</c:v>
                </c:pt>
                <c:pt idx="42">
                  <c:v>9830.2711369999997</c:v>
                </c:pt>
                <c:pt idx="43">
                  <c:v>10087.672043</c:v>
                </c:pt>
                <c:pt idx="44">
                  <c:v>9954.1687340000008</c:v>
                </c:pt>
                <c:pt idx="45">
                  <c:v>11159.552083</c:v>
                </c:pt>
                <c:pt idx="46">
                  <c:v>11652.637522999999</c:v>
                </c:pt>
                <c:pt idx="47">
                  <c:v>12289.690017999999</c:v>
                </c:pt>
                <c:pt idx="48">
                  <c:v>13500.005262999999</c:v>
                </c:pt>
                <c:pt idx="49">
                  <c:v>15153.775087</c:v>
                </c:pt>
                <c:pt idx="50">
                  <c:v>15217.949057</c:v>
                </c:pt>
                <c:pt idx="51">
                  <c:v>15313.842892999999</c:v>
                </c:pt>
                <c:pt idx="52">
                  <c:v>14332.04</c:v>
                </c:pt>
                <c:pt idx="53">
                  <c:v>14113.204481999999</c:v>
                </c:pt>
                <c:pt idx="54">
                  <c:v>15789.926174</c:v>
                </c:pt>
                <c:pt idx="55">
                  <c:v>15106.052023</c:v>
                </c:pt>
                <c:pt idx="56">
                  <c:v>14793.278107</c:v>
                </c:pt>
                <c:pt idx="57">
                  <c:v>15400.396552</c:v>
                </c:pt>
                <c:pt idx="58">
                  <c:v>15326.532423000001</c:v>
                </c:pt>
                <c:pt idx="59">
                  <c:v>14253.399142</c:v>
                </c:pt>
                <c:pt idx="60">
                  <c:v>14835.760956</c:v>
                </c:pt>
                <c:pt idx="61">
                  <c:v>14162.020906</c:v>
                </c:pt>
                <c:pt idx="62">
                  <c:v>14484.268040999999</c:v>
                </c:pt>
                <c:pt idx="63">
                  <c:v>15859.354429999999</c:v>
                </c:pt>
                <c:pt idx="64">
                  <c:v>15818.726962000001</c:v>
                </c:pt>
                <c:pt idx="65">
                  <c:v>15674.429185000001</c:v>
                </c:pt>
                <c:pt idx="66">
                  <c:v>15035.163551</c:v>
                </c:pt>
                <c:pt idx="67">
                  <c:v>15132.642857000001</c:v>
                </c:pt>
                <c:pt idx="68">
                  <c:v>15062.093022999999</c:v>
                </c:pt>
                <c:pt idx="69">
                  <c:v>14734.882609</c:v>
                </c:pt>
                <c:pt idx="70">
                  <c:v>16675.099010000002</c:v>
                </c:pt>
                <c:pt idx="71">
                  <c:v>16672.052287999999</c:v>
                </c:pt>
                <c:pt idx="72">
                  <c:v>16632.045044999999</c:v>
                </c:pt>
                <c:pt idx="73">
                  <c:v>17252.833332999999</c:v>
                </c:pt>
                <c:pt idx="74">
                  <c:v>15593.487805000001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CC4-4F44-B58F-65254F17F40B}"/>
            </c:ext>
          </c:extLst>
        </c:ser>
        <c:ser>
          <c:idx val="8"/>
          <c:order val="8"/>
          <c:tx>
            <c:strRef>
              <c:f>'첫구매-리워드횟수'!$S$1</c:f>
              <c:strCache>
                <c:ptCount val="1"/>
                <c:pt idx="0">
                  <c:v> 재구매 전 쇼지 </c:v>
                </c:pt>
              </c:strCache>
            </c:strRef>
          </c:tx>
          <c:spPr>
            <a:ln w="28575" cap="rnd">
              <a:solidFill>
                <a:schemeClr val="accent6">
                  <a:alpha val="38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'첫구매-리워드횟수'!$S$2:$S$76</c:f>
              <c:numCache>
                <c:formatCode>_("₩"* #,##0_);_("₩"* \(#,##0\);_("₩"* "-"_);_(@_)</c:formatCode>
                <c:ptCount val="75"/>
                <c:pt idx="0">
                  <c:v>5370.0217389999998</c:v>
                </c:pt>
                <c:pt idx="1">
                  <c:v>7401.3756910000002</c:v>
                </c:pt>
                <c:pt idx="2">
                  <c:v>8656.7743059999993</c:v>
                </c:pt>
                <c:pt idx="3">
                  <c:v>6696.48927</c:v>
                </c:pt>
                <c:pt idx="4">
                  <c:v>6689.7021279999999</c:v>
                </c:pt>
                <c:pt idx="5">
                  <c:v>7381.1463409999997</c:v>
                </c:pt>
                <c:pt idx="6">
                  <c:v>7210.2245990000001</c:v>
                </c:pt>
                <c:pt idx="7">
                  <c:v>7537.4968939999999</c:v>
                </c:pt>
                <c:pt idx="8">
                  <c:v>7561.0846149999998</c:v>
                </c:pt>
                <c:pt idx="9">
                  <c:v>5886.7094020000004</c:v>
                </c:pt>
                <c:pt idx="10">
                  <c:v>8069.4245279999996</c:v>
                </c:pt>
                <c:pt idx="11">
                  <c:v>6303.4188029999996</c:v>
                </c:pt>
                <c:pt idx="12">
                  <c:v>7620.7547169999998</c:v>
                </c:pt>
                <c:pt idx="13">
                  <c:v>6761.95</c:v>
                </c:pt>
                <c:pt idx="14">
                  <c:v>8253.4850750000005</c:v>
                </c:pt>
                <c:pt idx="15">
                  <c:v>9891.2820510000001</c:v>
                </c:pt>
                <c:pt idx="16">
                  <c:v>7720.8031499999997</c:v>
                </c:pt>
                <c:pt idx="17">
                  <c:v>7468.9909909999997</c:v>
                </c:pt>
                <c:pt idx="18">
                  <c:v>8865.5123970000004</c:v>
                </c:pt>
                <c:pt idx="19">
                  <c:v>9382.9296880000002</c:v>
                </c:pt>
                <c:pt idx="20">
                  <c:v>8367.9854009999999</c:v>
                </c:pt>
                <c:pt idx="21">
                  <c:v>9148.9276320000008</c:v>
                </c:pt>
                <c:pt idx="22">
                  <c:v>9529.611465</c:v>
                </c:pt>
                <c:pt idx="23">
                  <c:v>8923.2638040000002</c:v>
                </c:pt>
                <c:pt idx="24">
                  <c:v>10403.122950999999</c:v>
                </c:pt>
                <c:pt idx="25">
                  <c:v>9091.4509799999996</c:v>
                </c:pt>
                <c:pt idx="26">
                  <c:v>10100.266055</c:v>
                </c:pt>
                <c:pt idx="27">
                  <c:v>9991.042308</c:v>
                </c:pt>
                <c:pt idx="28">
                  <c:v>10889.961814</c:v>
                </c:pt>
                <c:pt idx="29">
                  <c:v>13025.661654</c:v>
                </c:pt>
                <c:pt idx="30">
                  <c:v>12163.070755000001</c:v>
                </c:pt>
                <c:pt idx="31">
                  <c:v>13982.75</c:v>
                </c:pt>
                <c:pt idx="32">
                  <c:v>11406.033457</c:v>
                </c:pt>
                <c:pt idx="33">
                  <c:v>10374.935185</c:v>
                </c:pt>
                <c:pt idx="34">
                  <c:v>10126.859504</c:v>
                </c:pt>
                <c:pt idx="35">
                  <c:v>9756.3333330000005</c:v>
                </c:pt>
                <c:pt idx="36">
                  <c:v>10976.64</c:v>
                </c:pt>
                <c:pt idx="37">
                  <c:v>7989.73</c:v>
                </c:pt>
                <c:pt idx="38">
                  <c:v>8959.3678159999999</c:v>
                </c:pt>
                <c:pt idx="39">
                  <c:v>8990.8478259999993</c:v>
                </c:pt>
                <c:pt idx="40">
                  <c:v>9252.2619049999994</c:v>
                </c:pt>
                <c:pt idx="41">
                  <c:v>10123.639535</c:v>
                </c:pt>
                <c:pt idx="42">
                  <c:v>7774.9793810000001</c:v>
                </c:pt>
                <c:pt idx="43">
                  <c:v>11217.961165000001</c:v>
                </c:pt>
                <c:pt idx="44">
                  <c:v>9928.421053</c:v>
                </c:pt>
                <c:pt idx="45">
                  <c:v>9706.2479999999996</c:v>
                </c:pt>
                <c:pt idx="46">
                  <c:v>11402.987499999999</c:v>
                </c:pt>
                <c:pt idx="47">
                  <c:v>10015.202703000001</c:v>
                </c:pt>
                <c:pt idx="48">
                  <c:v>10816.310078</c:v>
                </c:pt>
                <c:pt idx="49">
                  <c:v>12167.943262000001</c:v>
                </c:pt>
                <c:pt idx="50">
                  <c:v>11328.016393</c:v>
                </c:pt>
                <c:pt idx="51">
                  <c:v>10247.314607</c:v>
                </c:pt>
                <c:pt idx="52">
                  <c:v>10044.200000000001</c:v>
                </c:pt>
                <c:pt idx="53">
                  <c:v>11728.683333000001</c:v>
                </c:pt>
                <c:pt idx="54">
                  <c:v>12009.333333</c:v>
                </c:pt>
                <c:pt idx="55">
                  <c:v>10363.189655</c:v>
                </c:pt>
                <c:pt idx="56">
                  <c:v>11284.7</c:v>
                </c:pt>
                <c:pt idx="57">
                  <c:v>11647.109091</c:v>
                </c:pt>
                <c:pt idx="58">
                  <c:v>10884.213115</c:v>
                </c:pt>
                <c:pt idx="59">
                  <c:v>11461.955556000001</c:v>
                </c:pt>
                <c:pt idx="60">
                  <c:v>9768.1296299999995</c:v>
                </c:pt>
                <c:pt idx="61">
                  <c:v>11697.849056999999</c:v>
                </c:pt>
                <c:pt idx="62">
                  <c:v>9901.2682929999992</c:v>
                </c:pt>
                <c:pt idx="63">
                  <c:v>12274.666667</c:v>
                </c:pt>
                <c:pt idx="64">
                  <c:v>10946.55</c:v>
                </c:pt>
                <c:pt idx="65">
                  <c:v>13035.255319</c:v>
                </c:pt>
                <c:pt idx="66">
                  <c:v>9034</c:v>
                </c:pt>
                <c:pt idx="67">
                  <c:v>10994.8</c:v>
                </c:pt>
                <c:pt idx="68">
                  <c:v>14076.769231</c:v>
                </c:pt>
                <c:pt idx="69">
                  <c:v>9158.2285709999996</c:v>
                </c:pt>
                <c:pt idx="70">
                  <c:v>14080.074074</c:v>
                </c:pt>
                <c:pt idx="71">
                  <c:v>10983.2</c:v>
                </c:pt>
                <c:pt idx="72">
                  <c:v>15910.714286</c:v>
                </c:pt>
                <c:pt idx="73">
                  <c:v>12862.272727</c:v>
                </c:pt>
                <c:pt idx="74">
                  <c:v>10661.75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CC4-4F44-B58F-65254F17F40B}"/>
            </c:ext>
          </c:extLst>
        </c:ser>
        <c:ser>
          <c:idx val="9"/>
          <c:order val="9"/>
          <c:tx>
            <c:strRef>
              <c:f>'첫구매-리워드횟수'!$T$1</c:f>
              <c:strCache>
                <c:ptCount val="1"/>
                <c:pt idx="0">
                  <c:v> 재구매 전 캐시 </c:v>
                </c:pt>
              </c:strCache>
            </c:strRef>
          </c:tx>
          <c:spPr>
            <a:ln w="28575" cap="rnd">
              <a:solidFill>
                <a:schemeClr val="accent1">
                  <a:alpha val="3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'첫구매-리워드횟수'!$T$2:$T$76</c:f>
              <c:numCache>
                <c:formatCode>_("₩"* #,##0_);_("₩"* \(#,##0\);_("₩"* "-"_);_(@_)</c:formatCode>
                <c:ptCount val="75"/>
                <c:pt idx="0">
                  <c:v>2597.681818</c:v>
                </c:pt>
                <c:pt idx="1">
                  <c:v>4702.859649</c:v>
                </c:pt>
                <c:pt idx="2">
                  <c:v>6158.8535709999996</c:v>
                </c:pt>
                <c:pt idx="3">
                  <c:v>6464.9115039999997</c:v>
                </c:pt>
                <c:pt idx="4">
                  <c:v>7230.9518719999996</c:v>
                </c:pt>
                <c:pt idx="5">
                  <c:v>6768.4012350000003</c:v>
                </c:pt>
                <c:pt idx="6">
                  <c:v>8175.9135139999999</c:v>
                </c:pt>
                <c:pt idx="7">
                  <c:v>7414.9808919999996</c:v>
                </c:pt>
                <c:pt idx="8">
                  <c:v>6998.4765619999998</c:v>
                </c:pt>
                <c:pt idx="9">
                  <c:v>6598.1217390000002</c:v>
                </c:pt>
                <c:pt idx="10">
                  <c:v>6186.87619</c:v>
                </c:pt>
                <c:pt idx="11">
                  <c:v>5342.7350429999997</c:v>
                </c:pt>
                <c:pt idx="12">
                  <c:v>6962.8942310000002</c:v>
                </c:pt>
                <c:pt idx="13">
                  <c:v>5899.5652170000003</c:v>
                </c:pt>
                <c:pt idx="14">
                  <c:v>6204.4696970000005</c:v>
                </c:pt>
                <c:pt idx="15">
                  <c:v>5912.7982460000003</c:v>
                </c:pt>
                <c:pt idx="16">
                  <c:v>5898.3412699999999</c:v>
                </c:pt>
                <c:pt idx="17">
                  <c:v>4566.7592590000004</c:v>
                </c:pt>
                <c:pt idx="18">
                  <c:v>4195.0166669999999</c:v>
                </c:pt>
                <c:pt idx="19">
                  <c:v>4250.2698410000003</c:v>
                </c:pt>
                <c:pt idx="20">
                  <c:v>6537.9927010000001</c:v>
                </c:pt>
                <c:pt idx="21">
                  <c:v>4835.597315</c:v>
                </c:pt>
                <c:pt idx="22">
                  <c:v>5261.4172189999999</c:v>
                </c:pt>
                <c:pt idx="23">
                  <c:v>3818.9378879999999</c:v>
                </c:pt>
                <c:pt idx="24">
                  <c:v>4602.7768599999999</c:v>
                </c:pt>
                <c:pt idx="25">
                  <c:v>2908.2466669999999</c:v>
                </c:pt>
                <c:pt idx="26">
                  <c:v>3764.22381</c:v>
                </c:pt>
                <c:pt idx="27">
                  <c:v>3813.1312739999998</c:v>
                </c:pt>
                <c:pt idx="28">
                  <c:v>4491.179177</c:v>
                </c:pt>
                <c:pt idx="29">
                  <c:v>4256.9238580000001</c:v>
                </c:pt>
                <c:pt idx="30">
                  <c:v>3575.0023919999999</c:v>
                </c:pt>
                <c:pt idx="31">
                  <c:v>3413.77234</c:v>
                </c:pt>
                <c:pt idx="32">
                  <c:v>4173.2172280000004</c:v>
                </c:pt>
                <c:pt idx="33">
                  <c:v>3381.0648150000002</c:v>
                </c:pt>
                <c:pt idx="34">
                  <c:v>4134.8083329999999</c:v>
                </c:pt>
                <c:pt idx="35">
                  <c:v>3231.1651379999998</c:v>
                </c:pt>
                <c:pt idx="36">
                  <c:v>3359.0808080000002</c:v>
                </c:pt>
                <c:pt idx="37">
                  <c:v>2982.76</c:v>
                </c:pt>
                <c:pt idx="38">
                  <c:v>3560.3953489999999</c:v>
                </c:pt>
                <c:pt idx="39">
                  <c:v>2712.2921350000001</c:v>
                </c:pt>
                <c:pt idx="40">
                  <c:v>2548.2738100000001</c:v>
                </c:pt>
                <c:pt idx="41">
                  <c:v>2329.117647</c:v>
                </c:pt>
                <c:pt idx="42">
                  <c:v>4289.5979379999999</c:v>
                </c:pt>
                <c:pt idx="43">
                  <c:v>1681.47</c:v>
                </c:pt>
                <c:pt idx="44">
                  <c:v>1961.0973449999999</c:v>
                </c:pt>
                <c:pt idx="45">
                  <c:v>2830.5039999999999</c:v>
                </c:pt>
                <c:pt idx="46">
                  <c:v>2312.893082</c:v>
                </c:pt>
                <c:pt idx="47">
                  <c:v>2060.2465750000001</c:v>
                </c:pt>
                <c:pt idx="48">
                  <c:v>1646.0930229999999</c:v>
                </c:pt>
                <c:pt idx="49">
                  <c:v>1345.6571429999999</c:v>
                </c:pt>
                <c:pt idx="50">
                  <c:v>1358.3109240000001</c:v>
                </c:pt>
                <c:pt idx="51">
                  <c:v>1269.090909</c:v>
                </c:pt>
                <c:pt idx="52">
                  <c:v>2276.3142859999998</c:v>
                </c:pt>
                <c:pt idx="53">
                  <c:v>1431.59322</c:v>
                </c:pt>
                <c:pt idx="54">
                  <c:v>1431.479167</c:v>
                </c:pt>
                <c:pt idx="55">
                  <c:v>1823.568966</c:v>
                </c:pt>
                <c:pt idx="56">
                  <c:v>2033.866667</c:v>
                </c:pt>
                <c:pt idx="57">
                  <c:v>2285.8363639999998</c:v>
                </c:pt>
                <c:pt idx="58">
                  <c:v>1626.0983610000001</c:v>
                </c:pt>
                <c:pt idx="59">
                  <c:v>740.71111099999996</c:v>
                </c:pt>
                <c:pt idx="60">
                  <c:v>2384.7547169999998</c:v>
                </c:pt>
                <c:pt idx="61">
                  <c:v>2626.5294119999999</c:v>
                </c:pt>
                <c:pt idx="62">
                  <c:v>3699.3658540000001</c:v>
                </c:pt>
                <c:pt idx="63">
                  <c:v>2151.2045450000001</c:v>
                </c:pt>
                <c:pt idx="64">
                  <c:v>1114.625</c:v>
                </c:pt>
                <c:pt idx="65">
                  <c:v>1501.4347829999999</c:v>
                </c:pt>
                <c:pt idx="66">
                  <c:v>3216.3103449999999</c:v>
                </c:pt>
                <c:pt idx="67">
                  <c:v>1563.56</c:v>
                </c:pt>
                <c:pt idx="68">
                  <c:v>4195.3461539999998</c:v>
                </c:pt>
                <c:pt idx="69">
                  <c:v>1937.2352940000001</c:v>
                </c:pt>
                <c:pt idx="70">
                  <c:v>704.25925900000004</c:v>
                </c:pt>
                <c:pt idx="71">
                  <c:v>1557.9</c:v>
                </c:pt>
                <c:pt idx="72">
                  <c:v>1712.666667</c:v>
                </c:pt>
                <c:pt idx="73">
                  <c:v>4712.0909089999996</c:v>
                </c:pt>
                <c:pt idx="74">
                  <c:v>16446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CC4-4F44-B58F-65254F17F4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9519503"/>
        <c:axId val="645193039"/>
      </c:lineChart>
      <c:catAx>
        <c:axId val="146518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99442816"/>
        <c:crosses val="autoZero"/>
        <c:auto val="1"/>
        <c:lblAlgn val="ctr"/>
        <c:lblOffset val="100"/>
        <c:noMultiLvlLbl val="0"/>
      </c:catAx>
      <c:valAx>
        <c:axId val="139944281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465185056"/>
        <c:crosses val="autoZero"/>
        <c:crossBetween val="between"/>
      </c:valAx>
      <c:valAx>
        <c:axId val="64519303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79519503"/>
        <c:crosses val="max"/>
        <c:crossBetween val="between"/>
      </c:valAx>
      <c:catAx>
        <c:axId val="97951950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45193039"/>
        <c:auto val="1"/>
        <c:lblAlgn val="ctr"/>
        <c:lblOffset val="100"/>
        <c:noMultiLvlLbl val="0"/>
      </c:catAx>
      <c:spPr>
        <a:noFill/>
        <a:ln>
          <a:solidFill>
            <a:schemeClr val="bg1"/>
          </a:solidFill>
        </a:ln>
        <a:effectLst/>
      </c:spPr>
    </c:plotArea>
    <c:legend>
      <c:legendPos val="b"/>
      <c:overlay val="0"/>
      <c:spPr>
        <a:noFill/>
        <a:ln>
          <a:solidFill>
            <a:schemeClr val="bg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'재구매 통계'!$O$1</c:f>
              <c:strCache>
                <c:ptCount val="1"/>
                <c:pt idx="0">
                  <c:v>earn_reward_cnt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'재구매 통계'!$O$2:$O$41</c:f>
              <c:numCache>
                <c:formatCode>General</c:formatCode>
                <c:ptCount val="40"/>
                <c:pt idx="0">
                  <c:v>22.649453000000001</c:v>
                </c:pt>
                <c:pt idx="1">
                  <c:v>32.074903999999997</c:v>
                </c:pt>
                <c:pt idx="2">
                  <c:v>35.661203</c:v>
                </c:pt>
                <c:pt idx="3">
                  <c:v>40.553809000000001</c:v>
                </c:pt>
                <c:pt idx="4">
                  <c:v>42.582628</c:v>
                </c:pt>
                <c:pt idx="5">
                  <c:v>47.089655</c:v>
                </c:pt>
                <c:pt idx="6">
                  <c:v>44.294020000000003</c:v>
                </c:pt>
                <c:pt idx="7">
                  <c:v>42.380136999999998</c:v>
                </c:pt>
                <c:pt idx="8">
                  <c:v>27.526882000000001</c:v>
                </c:pt>
                <c:pt idx="9">
                  <c:v>32.409999999999997</c:v>
                </c:pt>
                <c:pt idx="10">
                  <c:v>18.875</c:v>
                </c:pt>
                <c:pt idx="11">
                  <c:v>20.895833</c:v>
                </c:pt>
                <c:pt idx="12">
                  <c:v>15.509804000000001</c:v>
                </c:pt>
                <c:pt idx="13">
                  <c:v>12.033333000000001</c:v>
                </c:pt>
                <c:pt idx="14">
                  <c:v>15.806452</c:v>
                </c:pt>
                <c:pt idx="15">
                  <c:v>14.727273</c:v>
                </c:pt>
                <c:pt idx="16">
                  <c:v>13.62069</c:v>
                </c:pt>
                <c:pt idx="17">
                  <c:v>14.692308000000001</c:v>
                </c:pt>
                <c:pt idx="18">
                  <c:v>10.333333</c:v>
                </c:pt>
                <c:pt idx="19">
                  <c:v>16.823529000000001</c:v>
                </c:pt>
                <c:pt idx="20">
                  <c:v>9.4761900000000008</c:v>
                </c:pt>
                <c:pt idx="21">
                  <c:v>14.727273</c:v>
                </c:pt>
                <c:pt idx="22">
                  <c:v>18.857143000000001</c:v>
                </c:pt>
                <c:pt idx="23">
                  <c:v>19.2</c:v>
                </c:pt>
                <c:pt idx="24">
                  <c:v>7.75</c:v>
                </c:pt>
                <c:pt idx="25">
                  <c:v>23</c:v>
                </c:pt>
                <c:pt idx="26">
                  <c:v>7</c:v>
                </c:pt>
                <c:pt idx="27">
                  <c:v>14.666667</c:v>
                </c:pt>
                <c:pt idx="28">
                  <c:v>19.5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62</c:v>
                </c:pt>
                <c:pt idx="37">
                  <c:v>0</c:v>
                </c:pt>
                <c:pt idx="38">
                  <c:v>0</c:v>
                </c:pt>
                <c:pt idx="39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A1-47C0-863F-BC11B10F88A7}"/>
            </c:ext>
          </c:extLst>
        </c:ser>
        <c:ser>
          <c:idx val="1"/>
          <c:order val="1"/>
          <c:tx>
            <c:strRef>
              <c:f>'재구매 통계'!$R$1</c:f>
              <c:strCache>
                <c:ptCount val="1"/>
                <c:pt idx="0">
                  <c:v>second_earn_reward_cnt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'재구매 통계'!$R$2:$R$41</c:f>
              <c:numCache>
                <c:formatCode>General</c:formatCode>
                <c:ptCount val="40"/>
                <c:pt idx="0">
                  <c:v>25.922266</c:v>
                </c:pt>
                <c:pt idx="1">
                  <c:v>27.335740000000001</c:v>
                </c:pt>
                <c:pt idx="2">
                  <c:v>19.523969999999998</c:v>
                </c:pt>
                <c:pt idx="3">
                  <c:v>20.514562999999999</c:v>
                </c:pt>
                <c:pt idx="4">
                  <c:v>19.478102</c:v>
                </c:pt>
                <c:pt idx="5">
                  <c:v>20.827044000000001</c:v>
                </c:pt>
                <c:pt idx="6">
                  <c:v>22.271844999999999</c:v>
                </c:pt>
                <c:pt idx="7">
                  <c:v>21.074074</c:v>
                </c:pt>
                <c:pt idx="8">
                  <c:v>21.130952000000001</c:v>
                </c:pt>
                <c:pt idx="9">
                  <c:v>22.979592</c:v>
                </c:pt>
                <c:pt idx="10">
                  <c:v>14.333333</c:v>
                </c:pt>
                <c:pt idx="11">
                  <c:v>21.448276</c:v>
                </c:pt>
                <c:pt idx="12">
                  <c:v>24.04</c:v>
                </c:pt>
                <c:pt idx="13">
                  <c:v>22.8</c:v>
                </c:pt>
                <c:pt idx="14">
                  <c:v>25.769231000000001</c:v>
                </c:pt>
                <c:pt idx="15">
                  <c:v>17.363636</c:v>
                </c:pt>
                <c:pt idx="16">
                  <c:v>23.571428999999998</c:v>
                </c:pt>
                <c:pt idx="17">
                  <c:v>24.125</c:v>
                </c:pt>
                <c:pt idx="18">
                  <c:v>6.6</c:v>
                </c:pt>
                <c:pt idx="19">
                  <c:v>17</c:v>
                </c:pt>
                <c:pt idx="20">
                  <c:v>41.25</c:v>
                </c:pt>
                <c:pt idx="21">
                  <c:v>13.166667</c:v>
                </c:pt>
                <c:pt idx="22">
                  <c:v>37.25</c:v>
                </c:pt>
                <c:pt idx="23">
                  <c:v>6.5</c:v>
                </c:pt>
                <c:pt idx="24">
                  <c:v>39.666666999999997</c:v>
                </c:pt>
                <c:pt idx="25">
                  <c:v>22</c:v>
                </c:pt>
                <c:pt idx="26">
                  <c:v>36.200000000000003</c:v>
                </c:pt>
                <c:pt idx="27">
                  <c:v>3.5</c:v>
                </c:pt>
                <c:pt idx="28">
                  <c:v>5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A1-47C0-863F-BC11B10F8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3831743"/>
        <c:axId val="1070609183"/>
      </c:barChart>
      <c:catAx>
        <c:axId val="2838317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70609183"/>
        <c:crosses val="autoZero"/>
        <c:auto val="1"/>
        <c:lblAlgn val="ctr"/>
        <c:lblOffset val="100"/>
        <c:noMultiLvlLbl val="0"/>
      </c:catAx>
      <c:valAx>
        <c:axId val="1070609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3831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'재구매 통계'!$M$1</c:f>
              <c:strCache>
                <c:ptCount val="1"/>
                <c:pt idx="0">
                  <c:v>s_rto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'재구매 통계'!$M$2:$M$41</c:f>
              <c:numCache>
                <c:formatCode>0%</c:formatCode>
                <c:ptCount val="40"/>
                <c:pt idx="0">
                  <c:v>0.34987000000000001</c:v>
                </c:pt>
                <c:pt idx="1">
                  <c:v>0.77604600000000001</c:v>
                </c:pt>
                <c:pt idx="2">
                  <c:v>0.87064799999999998</c:v>
                </c:pt>
                <c:pt idx="3">
                  <c:v>0.91326499999999999</c:v>
                </c:pt>
                <c:pt idx="4">
                  <c:v>0.92612899999999998</c:v>
                </c:pt>
                <c:pt idx="5">
                  <c:v>0.94024099999999999</c:v>
                </c:pt>
                <c:pt idx="6">
                  <c:v>0.94805600000000001</c:v>
                </c:pt>
                <c:pt idx="7">
                  <c:v>0.95506800000000003</c:v>
                </c:pt>
                <c:pt idx="8">
                  <c:v>0.94096800000000003</c:v>
                </c:pt>
                <c:pt idx="9">
                  <c:v>0.94259999999999999</c:v>
                </c:pt>
                <c:pt idx="10">
                  <c:v>0.94420499999999996</c:v>
                </c:pt>
                <c:pt idx="11">
                  <c:v>0.96125000000000005</c:v>
                </c:pt>
                <c:pt idx="12">
                  <c:v>0.95529399999999998</c:v>
                </c:pt>
                <c:pt idx="13">
                  <c:v>0.94866700000000004</c:v>
                </c:pt>
                <c:pt idx="14">
                  <c:v>0.93838699999999997</c:v>
                </c:pt>
                <c:pt idx="15">
                  <c:v>0.91318200000000005</c:v>
                </c:pt>
                <c:pt idx="16">
                  <c:v>0.96</c:v>
                </c:pt>
                <c:pt idx="17">
                  <c:v>0.93076899999999996</c:v>
                </c:pt>
                <c:pt idx="18">
                  <c:v>0.93666700000000003</c:v>
                </c:pt>
                <c:pt idx="19">
                  <c:v>0.88117599999999996</c:v>
                </c:pt>
                <c:pt idx="20">
                  <c:v>0.97666699999999995</c:v>
                </c:pt>
                <c:pt idx="21">
                  <c:v>0.94909100000000002</c:v>
                </c:pt>
                <c:pt idx="22">
                  <c:v>0.80571400000000004</c:v>
                </c:pt>
                <c:pt idx="23">
                  <c:v>0.99199999999999999</c:v>
                </c:pt>
                <c:pt idx="24">
                  <c:v>1</c:v>
                </c:pt>
                <c:pt idx="25">
                  <c:v>0.89600000000000002</c:v>
                </c:pt>
                <c:pt idx="26">
                  <c:v>0.93500000000000005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DD-42DC-AAD5-90F3789A7BA6}"/>
            </c:ext>
          </c:extLst>
        </c:ser>
        <c:ser>
          <c:idx val="1"/>
          <c:order val="1"/>
          <c:tx>
            <c:strRef>
              <c:f>'재구매 통계'!$U$1</c:f>
              <c:strCache>
                <c:ptCount val="1"/>
                <c:pt idx="0">
                  <c:v>second_s_rto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'재구매 통계'!$U$2:$U$41</c:f>
              <c:numCache>
                <c:formatCode>0%</c:formatCode>
                <c:ptCount val="40"/>
                <c:pt idx="0">
                  <c:v>0.57959799999999995</c:v>
                </c:pt>
                <c:pt idx="1">
                  <c:v>0.79968700000000004</c:v>
                </c:pt>
                <c:pt idx="2">
                  <c:v>0.78580300000000003</c:v>
                </c:pt>
                <c:pt idx="3">
                  <c:v>0.80711999999999995</c:v>
                </c:pt>
                <c:pt idx="4">
                  <c:v>0.82237199999999999</c:v>
                </c:pt>
                <c:pt idx="5">
                  <c:v>0.83610099999999998</c:v>
                </c:pt>
                <c:pt idx="6">
                  <c:v>0.86121400000000004</c:v>
                </c:pt>
                <c:pt idx="7">
                  <c:v>0.88203699999999996</c:v>
                </c:pt>
                <c:pt idx="8">
                  <c:v>0.87297599999999997</c:v>
                </c:pt>
                <c:pt idx="9">
                  <c:v>0.88489799999999996</c:v>
                </c:pt>
                <c:pt idx="10">
                  <c:v>0.89963000000000004</c:v>
                </c:pt>
                <c:pt idx="11">
                  <c:v>0.88275899999999996</c:v>
                </c:pt>
                <c:pt idx="12">
                  <c:v>0.93799999999999994</c:v>
                </c:pt>
                <c:pt idx="13">
                  <c:v>0.81666700000000003</c:v>
                </c:pt>
                <c:pt idx="14">
                  <c:v>0.788462</c:v>
                </c:pt>
                <c:pt idx="15">
                  <c:v>0.84090900000000002</c:v>
                </c:pt>
                <c:pt idx="16">
                  <c:v>0.84928599999999999</c:v>
                </c:pt>
                <c:pt idx="17">
                  <c:v>0.96375</c:v>
                </c:pt>
                <c:pt idx="18">
                  <c:v>0.86599999999999999</c:v>
                </c:pt>
                <c:pt idx="19">
                  <c:v>0.82777800000000001</c:v>
                </c:pt>
                <c:pt idx="20">
                  <c:v>0.94833299999999998</c:v>
                </c:pt>
                <c:pt idx="21">
                  <c:v>0.92833299999999996</c:v>
                </c:pt>
                <c:pt idx="22">
                  <c:v>0.8</c:v>
                </c:pt>
                <c:pt idx="23">
                  <c:v>0.97499999999999998</c:v>
                </c:pt>
                <c:pt idx="24">
                  <c:v>1</c:v>
                </c:pt>
                <c:pt idx="25">
                  <c:v>0.9</c:v>
                </c:pt>
                <c:pt idx="26">
                  <c:v>0.8</c:v>
                </c:pt>
                <c:pt idx="27">
                  <c:v>0.315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DD-42DC-AAD5-90F3789A7B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67694143"/>
        <c:axId val="1087345503"/>
      </c:barChart>
      <c:catAx>
        <c:axId val="106769414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7345503"/>
        <c:crosses val="autoZero"/>
        <c:auto val="1"/>
        <c:lblAlgn val="ctr"/>
        <c:lblOffset val="100"/>
        <c:noMultiLvlLbl val="0"/>
      </c:catAx>
      <c:valAx>
        <c:axId val="1087345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6769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'재구매 통계'!$K$1</c:f>
              <c:strCache>
                <c:ptCount val="1"/>
                <c:pt idx="0">
                  <c:v> p_amt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'재구매 통계'!$K$2:$K$41</c:f>
              <c:numCache>
                <c:formatCode>_("₩"* #,##0_);_("₩"* \(#,##0\);_("₩"* "-"_);_(@_)</c:formatCode>
                <c:ptCount val="40"/>
                <c:pt idx="0">
                  <c:v>13375.925182000001</c:v>
                </c:pt>
                <c:pt idx="1">
                  <c:v>9866.7798029999994</c:v>
                </c:pt>
                <c:pt idx="2">
                  <c:v>13605.434078</c:v>
                </c:pt>
                <c:pt idx="3">
                  <c:v>16565.716444999998</c:v>
                </c:pt>
                <c:pt idx="4">
                  <c:v>19344.881959999999</c:v>
                </c:pt>
                <c:pt idx="5">
                  <c:v>21307.827585999999</c:v>
                </c:pt>
                <c:pt idx="6">
                  <c:v>23019.61794</c:v>
                </c:pt>
                <c:pt idx="7">
                  <c:v>23839.657534000002</c:v>
                </c:pt>
                <c:pt idx="8">
                  <c:v>24405.16129</c:v>
                </c:pt>
                <c:pt idx="9">
                  <c:v>22672.9</c:v>
                </c:pt>
                <c:pt idx="10">
                  <c:v>26128.522727</c:v>
                </c:pt>
                <c:pt idx="11">
                  <c:v>20570.833332999999</c:v>
                </c:pt>
                <c:pt idx="12">
                  <c:v>24645.098039</c:v>
                </c:pt>
                <c:pt idx="13">
                  <c:v>25379.666667000001</c:v>
                </c:pt>
                <c:pt idx="14">
                  <c:v>28167.741934999998</c:v>
                </c:pt>
                <c:pt idx="15">
                  <c:v>34077.272727000003</c:v>
                </c:pt>
                <c:pt idx="16">
                  <c:v>29434.482758999999</c:v>
                </c:pt>
                <c:pt idx="17">
                  <c:v>36429.230769000002</c:v>
                </c:pt>
                <c:pt idx="18">
                  <c:v>25833.333332999999</c:v>
                </c:pt>
                <c:pt idx="19">
                  <c:v>34517.647059000003</c:v>
                </c:pt>
                <c:pt idx="20">
                  <c:v>38461.904761999998</c:v>
                </c:pt>
                <c:pt idx="21">
                  <c:v>29709.090908999999</c:v>
                </c:pt>
                <c:pt idx="22">
                  <c:v>38128.571429000003</c:v>
                </c:pt>
                <c:pt idx="23">
                  <c:v>35600</c:v>
                </c:pt>
                <c:pt idx="24">
                  <c:v>27775</c:v>
                </c:pt>
                <c:pt idx="25">
                  <c:v>48440</c:v>
                </c:pt>
                <c:pt idx="26">
                  <c:v>42866.666666999998</c:v>
                </c:pt>
                <c:pt idx="27">
                  <c:v>45133.333333000002</c:v>
                </c:pt>
                <c:pt idx="28">
                  <c:v>22350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57400</c:v>
                </c:pt>
                <c:pt idx="36">
                  <c:v>180200</c:v>
                </c:pt>
                <c:pt idx="37">
                  <c:v>0</c:v>
                </c:pt>
                <c:pt idx="38">
                  <c:v>0</c:v>
                </c:pt>
                <c:pt idx="39">
                  <c:v>143000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6A-4FB2-93C3-ED6B334C3121}"/>
            </c:ext>
          </c:extLst>
        </c:ser>
        <c:ser>
          <c:idx val="1"/>
          <c:order val="1"/>
          <c:tx>
            <c:strRef>
              <c:f>'재구매 통계'!$S$1</c:f>
              <c:strCache>
                <c:ptCount val="1"/>
                <c:pt idx="0">
                  <c:v> second_p_amt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'재구매 통계'!$S$2:$S$41</c:f>
              <c:numCache>
                <c:formatCode>_("₩"* #,##0_);_("₩"* \(#,##0\);_("₩"* "-"_);_(@_)</c:formatCode>
                <c:ptCount val="40"/>
                <c:pt idx="0">
                  <c:v>14971.275135</c:v>
                </c:pt>
                <c:pt idx="1">
                  <c:v>12101.756918999999</c:v>
                </c:pt>
                <c:pt idx="2">
                  <c:v>11606.148024</c:v>
                </c:pt>
                <c:pt idx="3">
                  <c:v>11603.042071</c:v>
                </c:pt>
                <c:pt idx="4">
                  <c:v>12613.868613000001</c:v>
                </c:pt>
                <c:pt idx="5">
                  <c:v>15498.207547</c:v>
                </c:pt>
                <c:pt idx="6">
                  <c:v>16394.660194</c:v>
                </c:pt>
                <c:pt idx="7">
                  <c:v>16830.370370000001</c:v>
                </c:pt>
                <c:pt idx="8">
                  <c:v>23308.333332999999</c:v>
                </c:pt>
                <c:pt idx="9">
                  <c:v>17593.877551000001</c:v>
                </c:pt>
                <c:pt idx="10">
                  <c:v>23137.037036999998</c:v>
                </c:pt>
                <c:pt idx="11">
                  <c:v>21079.310345000002</c:v>
                </c:pt>
                <c:pt idx="12">
                  <c:v>15520</c:v>
                </c:pt>
                <c:pt idx="13">
                  <c:v>16500</c:v>
                </c:pt>
                <c:pt idx="14">
                  <c:v>18060</c:v>
                </c:pt>
                <c:pt idx="15">
                  <c:v>16645.454545000001</c:v>
                </c:pt>
                <c:pt idx="16">
                  <c:v>19835.714285999999</c:v>
                </c:pt>
                <c:pt idx="17">
                  <c:v>20437.5</c:v>
                </c:pt>
                <c:pt idx="18">
                  <c:v>20700</c:v>
                </c:pt>
                <c:pt idx="19">
                  <c:v>16677.777778</c:v>
                </c:pt>
                <c:pt idx="20">
                  <c:v>18675</c:v>
                </c:pt>
                <c:pt idx="21">
                  <c:v>18283.333332999999</c:v>
                </c:pt>
                <c:pt idx="22">
                  <c:v>34125</c:v>
                </c:pt>
                <c:pt idx="23">
                  <c:v>24050</c:v>
                </c:pt>
                <c:pt idx="24">
                  <c:v>22933.333332999999</c:v>
                </c:pt>
                <c:pt idx="25">
                  <c:v>29100</c:v>
                </c:pt>
                <c:pt idx="26">
                  <c:v>22420</c:v>
                </c:pt>
                <c:pt idx="27">
                  <c:v>21850</c:v>
                </c:pt>
                <c:pt idx="28">
                  <c:v>19700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6A-4FB2-93C3-ED6B334C3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9202511"/>
        <c:axId val="1087534783"/>
      </c:barChart>
      <c:catAx>
        <c:axId val="13092025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7534783"/>
        <c:crosses val="autoZero"/>
        <c:auto val="1"/>
        <c:lblAlgn val="ctr"/>
        <c:lblOffset val="100"/>
        <c:noMultiLvlLbl val="0"/>
      </c:catAx>
      <c:valAx>
        <c:axId val="1087534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₩&quot;* #,##0_);_(&quot;₩&quot;* \(#,##0\);_(&quot;₩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092025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'재구매 통계'!$H$1</c:f>
              <c:strCache>
                <c:ptCount val="1"/>
                <c:pt idx="0">
                  <c:v>bankrupt_rate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'재구매 통계'!$C$2:$C$43</c:f>
              <c:strCache>
                <c:ptCount val="40"/>
                <c:pt idx="0">
                  <c:v>0-4999</c:v>
                </c:pt>
                <c:pt idx="1">
                  <c:v>5000-9999</c:v>
                </c:pt>
                <c:pt idx="2">
                  <c:v>10000-14999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30000-34999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50000-54999</c:v>
                </c:pt>
                <c:pt idx="11">
                  <c:v>55000-59999</c:v>
                </c:pt>
                <c:pt idx="12">
                  <c:v>60000-64999</c:v>
                </c:pt>
                <c:pt idx="13">
                  <c:v>65000-69999</c:v>
                </c:pt>
                <c:pt idx="14">
                  <c:v>70000-74999</c:v>
                </c:pt>
                <c:pt idx="15">
                  <c:v>75000-79999</c:v>
                </c:pt>
                <c:pt idx="16">
                  <c:v>80000-84999</c:v>
                </c:pt>
                <c:pt idx="17">
                  <c:v>85000-89999</c:v>
                </c:pt>
                <c:pt idx="18">
                  <c:v>90000-94999</c:v>
                </c:pt>
                <c:pt idx="19">
                  <c:v>95000-99999</c:v>
                </c:pt>
                <c:pt idx="20">
                  <c:v>100000-104999</c:v>
                </c:pt>
                <c:pt idx="21">
                  <c:v>105000-109999</c:v>
                </c:pt>
                <c:pt idx="22">
                  <c:v>110000-114999</c:v>
                </c:pt>
                <c:pt idx="23">
                  <c:v>115000-119999</c:v>
                </c:pt>
                <c:pt idx="24">
                  <c:v>120000-124999</c:v>
                </c:pt>
                <c:pt idx="25">
                  <c:v>125000-129999</c:v>
                </c:pt>
                <c:pt idx="26">
                  <c:v>130000-134999</c:v>
                </c:pt>
                <c:pt idx="27">
                  <c:v>135000-139999</c:v>
                </c:pt>
                <c:pt idx="28">
                  <c:v>140000-144999</c:v>
                </c:pt>
                <c:pt idx="29">
                  <c:v>145000-149999</c:v>
                </c:pt>
                <c:pt idx="30">
                  <c:v>150000-154999</c:v>
                </c:pt>
                <c:pt idx="31">
                  <c:v>155000-159999</c:v>
                </c:pt>
                <c:pt idx="32">
                  <c:v>160000-164999</c:v>
                </c:pt>
                <c:pt idx="33">
                  <c:v>165000-169999</c:v>
                </c:pt>
                <c:pt idx="34">
                  <c:v>170000-174999</c:v>
                </c:pt>
                <c:pt idx="35">
                  <c:v>175000-179999</c:v>
                </c:pt>
                <c:pt idx="36">
                  <c:v>180000-184999</c:v>
                </c:pt>
                <c:pt idx="37">
                  <c:v>185000-189999</c:v>
                </c:pt>
                <c:pt idx="38">
                  <c:v>190000-194999</c:v>
                </c:pt>
                <c:pt idx="39">
                  <c:v>195000-199999</c:v>
                </c:pt>
              </c:strCache>
            </c:strRef>
          </c:cat>
          <c:val>
            <c:numRef>
              <c:f>'재구매 통계'!$H$2:$H$43</c:f>
              <c:numCache>
                <c:formatCode>0%</c:formatCode>
                <c:ptCount val="42"/>
                <c:pt idx="0">
                  <c:v>0.4051094890510949</c:v>
                </c:pt>
                <c:pt idx="1">
                  <c:v>0.42099983280387893</c:v>
                </c:pt>
                <c:pt idx="2">
                  <c:v>0.35770893371757922</c:v>
                </c:pt>
                <c:pt idx="3">
                  <c:v>0.26330108827085852</c:v>
                </c:pt>
                <c:pt idx="4">
                  <c:v>0.1910913140311804</c:v>
                </c:pt>
                <c:pt idx="5">
                  <c:v>0.15948275862068967</c:v>
                </c:pt>
                <c:pt idx="6">
                  <c:v>0.11960132890365449</c:v>
                </c:pt>
                <c:pt idx="7">
                  <c:v>9.5890410958904104E-2</c:v>
                </c:pt>
                <c:pt idx="8">
                  <c:v>0.14516129032258066</c:v>
                </c:pt>
                <c:pt idx="9">
                  <c:v>0.08</c:v>
                </c:pt>
                <c:pt idx="10">
                  <c:v>0.17045454545454544</c:v>
                </c:pt>
                <c:pt idx="11">
                  <c:v>0.125</c:v>
                </c:pt>
                <c:pt idx="12">
                  <c:v>0.19607843137254902</c:v>
                </c:pt>
                <c:pt idx="13">
                  <c:v>3.3333333333333333E-2</c:v>
                </c:pt>
                <c:pt idx="14">
                  <c:v>6.4516129032258063E-2</c:v>
                </c:pt>
                <c:pt idx="15">
                  <c:v>9.0909090909090912E-2</c:v>
                </c:pt>
                <c:pt idx="16">
                  <c:v>0.10344827586206896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0.2</c:v>
                </c:pt>
                <c:pt idx="24">
                  <c:v>0</c:v>
                </c:pt>
                <c:pt idx="25">
                  <c:v>0.2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96-4127-BADB-746FF66B9ED6}"/>
            </c:ext>
          </c:extLst>
        </c:ser>
        <c:ser>
          <c:idx val="1"/>
          <c:order val="1"/>
          <c:tx>
            <c:strRef>
              <c:f>'재구매 통계'!$I$1</c:f>
              <c:strCache>
                <c:ptCount val="1"/>
                <c:pt idx="0">
                  <c:v>churn_rate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'재구매 통계'!$C$2:$C$43</c:f>
              <c:strCache>
                <c:ptCount val="40"/>
                <c:pt idx="0">
                  <c:v>0-4999</c:v>
                </c:pt>
                <c:pt idx="1">
                  <c:v>5000-9999</c:v>
                </c:pt>
                <c:pt idx="2">
                  <c:v>10000-14999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30000-34999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50000-54999</c:v>
                </c:pt>
                <c:pt idx="11">
                  <c:v>55000-59999</c:v>
                </c:pt>
                <c:pt idx="12">
                  <c:v>60000-64999</c:v>
                </c:pt>
                <c:pt idx="13">
                  <c:v>65000-69999</c:v>
                </c:pt>
                <c:pt idx="14">
                  <c:v>70000-74999</c:v>
                </c:pt>
                <c:pt idx="15">
                  <c:v>75000-79999</c:v>
                </c:pt>
                <c:pt idx="16">
                  <c:v>80000-84999</c:v>
                </c:pt>
                <c:pt idx="17">
                  <c:v>85000-89999</c:v>
                </c:pt>
                <c:pt idx="18">
                  <c:v>90000-94999</c:v>
                </c:pt>
                <c:pt idx="19">
                  <c:v>95000-99999</c:v>
                </c:pt>
                <c:pt idx="20">
                  <c:v>100000-104999</c:v>
                </c:pt>
                <c:pt idx="21">
                  <c:v>105000-109999</c:v>
                </c:pt>
                <c:pt idx="22">
                  <c:v>110000-114999</c:v>
                </c:pt>
                <c:pt idx="23">
                  <c:v>115000-119999</c:v>
                </c:pt>
                <c:pt idx="24">
                  <c:v>120000-124999</c:v>
                </c:pt>
                <c:pt idx="25">
                  <c:v>125000-129999</c:v>
                </c:pt>
                <c:pt idx="26">
                  <c:v>130000-134999</c:v>
                </c:pt>
                <c:pt idx="27">
                  <c:v>135000-139999</c:v>
                </c:pt>
                <c:pt idx="28">
                  <c:v>140000-144999</c:v>
                </c:pt>
                <c:pt idx="29">
                  <c:v>145000-149999</c:v>
                </c:pt>
                <c:pt idx="30">
                  <c:v>150000-154999</c:v>
                </c:pt>
                <c:pt idx="31">
                  <c:v>155000-159999</c:v>
                </c:pt>
                <c:pt idx="32">
                  <c:v>160000-164999</c:v>
                </c:pt>
                <c:pt idx="33">
                  <c:v>165000-169999</c:v>
                </c:pt>
                <c:pt idx="34">
                  <c:v>170000-174999</c:v>
                </c:pt>
                <c:pt idx="35">
                  <c:v>175000-179999</c:v>
                </c:pt>
                <c:pt idx="36">
                  <c:v>180000-184999</c:v>
                </c:pt>
                <c:pt idx="37">
                  <c:v>185000-189999</c:v>
                </c:pt>
                <c:pt idx="38">
                  <c:v>190000-194999</c:v>
                </c:pt>
                <c:pt idx="39">
                  <c:v>195000-199999</c:v>
                </c:pt>
              </c:strCache>
            </c:strRef>
          </c:cat>
          <c:val>
            <c:numRef>
              <c:f>'재구매 통계'!$I$2:$I$43</c:f>
              <c:numCache>
                <c:formatCode>0%</c:formatCode>
                <c:ptCount val="42"/>
                <c:pt idx="0">
                  <c:v>0.41697080291970801</c:v>
                </c:pt>
                <c:pt idx="1">
                  <c:v>0.44022738672462797</c:v>
                </c:pt>
                <c:pt idx="2">
                  <c:v>0.40201729106628242</c:v>
                </c:pt>
                <c:pt idx="3">
                  <c:v>0.34038694074969772</c:v>
                </c:pt>
                <c:pt idx="4">
                  <c:v>0.26770601336302896</c:v>
                </c:pt>
                <c:pt idx="5">
                  <c:v>0.22758620689655173</c:v>
                </c:pt>
                <c:pt idx="6">
                  <c:v>0.19933554817275748</c:v>
                </c:pt>
                <c:pt idx="7">
                  <c:v>0.2363013698630137</c:v>
                </c:pt>
                <c:pt idx="8">
                  <c:v>0.17741935483870969</c:v>
                </c:pt>
                <c:pt idx="9">
                  <c:v>0.2</c:v>
                </c:pt>
                <c:pt idx="10">
                  <c:v>0.31818181818181818</c:v>
                </c:pt>
                <c:pt idx="11">
                  <c:v>0.16666666666666666</c:v>
                </c:pt>
                <c:pt idx="12">
                  <c:v>0.19607843137254902</c:v>
                </c:pt>
                <c:pt idx="13">
                  <c:v>0.26666666666666666</c:v>
                </c:pt>
                <c:pt idx="14">
                  <c:v>0.12903225806451613</c:v>
                </c:pt>
                <c:pt idx="15">
                  <c:v>0.18181818181818182</c:v>
                </c:pt>
                <c:pt idx="16">
                  <c:v>0.17241379310344829</c:v>
                </c:pt>
                <c:pt idx="17">
                  <c:v>7.6923076923076927E-2</c:v>
                </c:pt>
                <c:pt idx="18">
                  <c:v>0.22222222222222221</c:v>
                </c:pt>
                <c:pt idx="19">
                  <c:v>0.11764705882352941</c:v>
                </c:pt>
                <c:pt idx="20">
                  <c:v>0</c:v>
                </c:pt>
                <c:pt idx="21">
                  <c:v>9.0909090909090912E-2</c:v>
                </c:pt>
                <c:pt idx="22">
                  <c:v>0.14285714285714285</c:v>
                </c:pt>
                <c:pt idx="23">
                  <c:v>0</c:v>
                </c:pt>
                <c:pt idx="24">
                  <c:v>0.25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A96-4127-BADB-746FF66B9ED6}"/>
            </c:ext>
          </c:extLst>
        </c:ser>
        <c:ser>
          <c:idx val="2"/>
          <c:order val="2"/>
          <c:tx>
            <c:strRef>
              <c:f>'재구매 통계'!$M$1</c:f>
              <c:strCache>
                <c:ptCount val="1"/>
                <c:pt idx="0">
                  <c:v>s_rto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'재구매 통계'!$C$2:$C$43</c:f>
              <c:strCache>
                <c:ptCount val="40"/>
                <c:pt idx="0">
                  <c:v>0-4999</c:v>
                </c:pt>
                <c:pt idx="1">
                  <c:v>5000-9999</c:v>
                </c:pt>
                <c:pt idx="2">
                  <c:v>10000-14999</c:v>
                </c:pt>
                <c:pt idx="3">
                  <c:v>15000-19999</c:v>
                </c:pt>
                <c:pt idx="4">
                  <c:v>20000-24999</c:v>
                </c:pt>
                <c:pt idx="5">
                  <c:v>25000-29999</c:v>
                </c:pt>
                <c:pt idx="6">
                  <c:v>30000-34999</c:v>
                </c:pt>
                <c:pt idx="7">
                  <c:v>35000-39999</c:v>
                </c:pt>
                <c:pt idx="8">
                  <c:v>40000-44999</c:v>
                </c:pt>
                <c:pt idx="9">
                  <c:v>45000-49999</c:v>
                </c:pt>
                <c:pt idx="10">
                  <c:v>50000-54999</c:v>
                </c:pt>
                <c:pt idx="11">
                  <c:v>55000-59999</c:v>
                </c:pt>
                <c:pt idx="12">
                  <c:v>60000-64999</c:v>
                </c:pt>
                <c:pt idx="13">
                  <c:v>65000-69999</c:v>
                </c:pt>
                <c:pt idx="14">
                  <c:v>70000-74999</c:v>
                </c:pt>
                <c:pt idx="15">
                  <c:v>75000-79999</c:v>
                </c:pt>
                <c:pt idx="16">
                  <c:v>80000-84999</c:v>
                </c:pt>
                <c:pt idx="17">
                  <c:v>85000-89999</c:v>
                </c:pt>
                <c:pt idx="18">
                  <c:v>90000-94999</c:v>
                </c:pt>
                <c:pt idx="19">
                  <c:v>95000-99999</c:v>
                </c:pt>
                <c:pt idx="20">
                  <c:v>100000-104999</c:v>
                </c:pt>
                <c:pt idx="21">
                  <c:v>105000-109999</c:v>
                </c:pt>
                <c:pt idx="22">
                  <c:v>110000-114999</c:v>
                </c:pt>
                <c:pt idx="23">
                  <c:v>115000-119999</c:v>
                </c:pt>
                <c:pt idx="24">
                  <c:v>120000-124999</c:v>
                </c:pt>
                <c:pt idx="25">
                  <c:v>125000-129999</c:v>
                </c:pt>
                <c:pt idx="26">
                  <c:v>130000-134999</c:v>
                </c:pt>
                <c:pt idx="27">
                  <c:v>135000-139999</c:v>
                </c:pt>
                <c:pt idx="28">
                  <c:v>140000-144999</c:v>
                </c:pt>
                <c:pt idx="29">
                  <c:v>145000-149999</c:v>
                </c:pt>
                <c:pt idx="30">
                  <c:v>150000-154999</c:v>
                </c:pt>
                <c:pt idx="31">
                  <c:v>155000-159999</c:v>
                </c:pt>
                <c:pt idx="32">
                  <c:v>160000-164999</c:v>
                </c:pt>
                <c:pt idx="33">
                  <c:v>165000-169999</c:v>
                </c:pt>
                <c:pt idx="34">
                  <c:v>170000-174999</c:v>
                </c:pt>
                <c:pt idx="35">
                  <c:v>175000-179999</c:v>
                </c:pt>
                <c:pt idx="36">
                  <c:v>180000-184999</c:v>
                </c:pt>
                <c:pt idx="37">
                  <c:v>185000-189999</c:v>
                </c:pt>
                <c:pt idx="38">
                  <c:v>190000-194999</c:v>
                </c:pt>
                <c:pt idx="39">
                  <c:v>195000-199999</c:v>
                </c:pt>
              </c:strCache>
            </c:strRef>
          </c:cat>
          <c:val>
            <c:numRef>
              <c:f>'재구매 통계'!$M$2:$M$43</c:f>
              <c:numCache>
                <c:formatCode>0%</c:formatCode>
                <c:ptCount val="42"/>
                <c:pt idx="0">
                  <c:v>0.34987000000000001</c:v>
                </c:pt>
                <c:pt idx="1">
                  <c:v>0.77604600000000001</c:v>
                </c:pt>
                <c:pt idx="2">
                  <c:v>0.87064799999999998</c:v>
                </c:pt>
                <c:pt idx="3">
                  <c:v>0.91326499999999999</c:v>
                </c:pt>
                <c:pt idx="4">
                  <c:v>0.92612899999999998</c:v>
                </c:pt>
                <c:pt idx="5">
                  <c:v>0.94024099999999999</c:v>
                </c:pt>
                <c:pt idx="6">
                  <c:v>0.94805600000000001</c:v>
                </c:pt>
                <c:pt idx="7">
                  <c:v>0.95506800000000003</c:v>
                </c:pt>
                <c:pt idx="8">
                  <c:v>0.94096800000000003</c:v>
                </c:pt>
                <c:pt idx="9">
                  <c:v>0.94259999999999999</c:v>
                </c:pt>
                <c:pt idx="10">
                  <c:v>0.94420499999999996</c:v>
                </c:pt>
                <c:pt idx="11">
                  <c:v>0.96125000000000005</c:v>
                </c:pt>
                <c:pt idx="12">
                  <c:v>0.95529399999999998</c:v>
                </c:pt>
                <c:pt idx="13">
                  <c:v>0.94866700000000004</c:v>
                </c:pt>
                <c:pt idx="14">
                  <c:v>0.93838699999999997</c:v>
                </c:pt>
                <c:pt idx="15">
                  <c:v>0.91318200000000005</c:v>
                </c:pt>
                <c:pt idx="16">
                  <c:v>0.96</c:v>
                </c:pt>
                <c:pt idx="17">
                  <c:v>0.93076899999999996</c:v>
                </c:pt>
                <c:pt idx="18">
                  <c:v>0.93666700000000003</c:v>
                </c:pt>
                <c:pt idx="19">
                  <c:v>0.88117599999999996</c:v>
                </c:pt>
                <c:pt idx="20">
                  <c:v>0.97666699999999995</c:v>
                </c:pt>
                <c:pt idx="21">
                  <c:v>0.94909100000000002</c:v>
                </c:pt>
                <c:pt idx="22">
                  <c:v>0.80571400000000004</c:v>
                </c:pt>
                <c:pt idx="23">
                  <c:v>0.99199999999999999</c:v>
                </c:pt>
                <c:pt idx="24">
                  <c:v>1</c:v>
                </c:pt>
                <c:pt idx="25">
                  <c:v>0.89600000000000002</c:v>
                </c:pt>
                <c:pt idx="26">
                  <c:v>0.93500000000000005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0.73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A96-4127-BADB-746FF66B9E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36978544"/>
        <c:axId val="1340572720"/>
      </c:lineChart>
      <c:catAx>
        <c:axId val="1336978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40572720"/>
        <c:crosses val="autoZero"/>
        <c:auto val="1"/>
        <c:lblAlgn val="ctr"/>
        <c:lblOffset val="100"/>
        <c:noMultiLvlLbl val="0"/>
      </c:catAx>
      <c:valAx>
        <c:axId val="134057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33697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수익타겟!$H$3:$H$51</c:f>
              <c:numCache>
                <c:formatCode>General</c:formatCode>
                <c:ptCount val="49"/>
                <c:pt idx="0">
                  <c:v>1907</c:v>
                </c:pt>
                <c:pt idx="1">
                  <c:v>1279</c:v>
                </c:pt>
                <c:pt idx="2">
                  <c:v>974</c:v>
                </c:pt>
                <c:pt idx="3">
                  <c:v>716</c:v>
                </c:pt>
                <c:pt idx="4">
                  <c:v>417</c:v>
                </c:pt>
                <c:pt idx="5">
                  <c:v>212</c:v>
                </c:pt>
                <c:pt idx="6">
                  <c:v>154</c:v>
                </c:pt>
                <c:pt idx="7">
                  <c:v>143</c:v>
                </c:pt>
                <c:pt idx="8">
                  <c:v>36</c:v>
                </c:pt>
                <c:pt idx="9">
                  <c:v>32</c:v>
                </c:pt>
                <c:pt idx="10">
                  <c:v>18</c:v>
                </c:pt>
                <c:pt idx="11">
                  <c:v>17</c:v>
                </c:pt>
                <c:pt idx="12">
                  <c:v>7</c:v>
                </c:pt>
                <c:pt idx="13">
                  <c:v>10</c:v>
                </c:pt>
                <c:pt idx="14">
                  <c:v>79</c:v>
                </c:pt>
                <c:pt idx="15">
                  <c:v>21</c:v>
                </c:pt>
                <c:pt idx="16">
                  <c:v>13</c:v>
                </c:pt>
                <c:pt idx="17">
                  <c:v>11</c:v>
                </c:pt>
                <c:pt idx="18">
                  <c:v>3</c:v>
                </c:pt>
                <c:pt idx="19">
                  <c:v>3</c:v>
                </c:pt>
                <c:pt idx="20">
                  <c:v>0</c:v>
                </c:pt>
                <c:pt idx="21">
                  <c:v>68</c:v>
                </c:pt>
                <c:pt idx="22">
                  <c:v>1</c:v>
                </c:pt>
                <c:pt idx="23">
                  <c:v>0</c:v>
                </c:pt>
                <c:pt idx="24">
                  <c:v>5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49</c:v>
                </c:pt>
                <c:pt idx="29">
                  <c:v>6</c:v>
                </c:pt>
                <c:pt idx="30">
                  <c:v>3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27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32</c:v>
                </c:pt>
                <c:pt idx="43">
                  <c:v>7</c:v>
                </c:pt>
                <c:pt idx="44">
                  <c:v>0</c:v>
                </c:pt>
                <c:pt idx="45">
                  <c:v>1</c:v>
                </c:pt>
                <c:pt idx="46">
                  <c:v>1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AA-4923-81B0-420966CD9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49853408"/>
        <c:axId val="159591248"/>
      </c:lineChart>
      <c:catAx>
        <c:axId val="12498534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59591248"/>
        <c:crosses val="autoZero"/>
        <c:auto val="1"/>
        <c:lblAlgn val="ctr"/>
        <c:lblOffset val="100"/>
        <c:noMultiLvlLbl val="0"/>
      </c:catAx>
      <c:valAx>
        <c:axId val="159591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249853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거래 당 예상 거래액의 확률 분포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 b="1"/>
          </a:pPr>
          <a:r>
            <a:rPr lang="ko-KR" altLang="en-US" sz="12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맑은 고딕" panose="020B0503020000020004" pitchFamily="50" charset="-127"/>
            </a:rPr>
            <a:t>거래 당 예상 거래액의 확률 분포</a:t>
          </a:r>
        </a:p>
      </cx:txPr>
    </cx:title>
    <cx:plotArea>
      <cx:plotAreaRegion>
        <cx:series layoutId="clusteredColumn" uniqueId="{C2539C6B-CED4-497B-A587-8A24A4B58B7E}">
          <cx:dataId val="0"/>
          <cx:layoutPr>
            <cx:binning intervalClosed="r" overflow="auto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microsoft.com/office/2014/relationships/chartEx" Target="../charts/chartEx1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Relationship Id="rId4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428625</xdr:colOff>
      <xdr:row>64</xdr:row>
      <xdr:rowOff>95250</xdr:rowOff>
    </xdr:from>
    <xdr:to>
      <xdr:col>18</xdr:col>
      <xdr:colOff>180975</xdr:colOff>
      <xdr:row>80</xdr:row>
      <xdr:rowOff>38100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0655C452-C9DC-4DD8-8D34-542B0DC33A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257175</xdr:colOff>
      <xdr:row>11</xdr:row>
      <xdr:rowOff>180974</xdr:rowOff>
    </xdr:from>
    <xdr:to>
      <xdr:col>12</xdr:col>
      <xdr:colOff>561975</xdr:colOff>
      <xdr:row>22</xdr:row>
      <xdr:rowOff>114299</xdr:rowOff>
    </xdr:to>
    <xdr:graphicFrame macro="">
      <xdr:nvGraphicFramePr>
        <xdr:cNvPr id="7" name="차트 6">
          <a:extLst>
            <a:ext uri="{FF2B5EF4-FFF2-40B4-BE49-F238E27FC236}">
              <a16:creationId xmlns:a16="http://schemas.microsoft.com/office/drawing/2014/main" id="{4F05F27C-29B7-4789-A4F1-41973C1097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257175</xdr:colOff>
      <xdr:row>1</xdr:row>
      <xdr:rowOff>9525</xdr:rowOff>
    </xdr:from>
    <xdr:to>
      <xdr:col>12</xdr:col>
      <xdr:colOff>561975</xdr:colOff>
      <xdr:row>11</xdr:row>
      <xdr:rowOff>171450</xdr:rowOff>
    </xdr:to>
    <xdr:graphicFrame macro="">
      <xdr:nvGraphicFramePr>
        <xdr:cNvPr id="8" name="차트 7">
          <a:extLst>
            <a:ext uri="{FF2B5EF4-FFF2-40B4-BE49-F238E27FC236}">
              <a16:creationId xmlns:a16="http://schemas.microsoft.com/office/drawing/2014/main" id="{79A25254-90F7-4D0D-8F3D-1D0CC73BE4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80962</xdr:colOff>
      <xdr:row>16</xdr:row>
      <xdr:rowOff>9525</xdr:rowOff>
    </xdr:from>
    <xdr:to>
      <xdr:col>19</xdr:col>
      <xdr:colOff>538162</xdr:colOff>
      <xdr:row>29</xdr:row>
      <xdr:rowOff>28575</xdr:rowOff>
    </xdr:to>
    <xdr:graphicFrame macro="">
      <xdr:nvGraphicFramePr>
        <xdr:cNvPr id="12" name="차트 11">
          <a:extLst>
            <a:ext uri="{FF2B5EF4-FFF2-40B4-BE49-F238E27FC236}">
              <a16:creationId xmlns:a16="http://schemas.microsoft.com/office/drawing/2014/main" id="{884EEC5E-0E1C-4BBD-BAB1-B85171263E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56</xdr:row>
      <xdr:rowOff>19050</xdr:rowOff>
    </xdr:from>
    <xdr:to>
      <xdr:col>7</xdr:col>
      <xdr:colOff>752475</xdr:colOff>
      <xdr:row>75</xdr:row>
      <xdr:rowOff>76200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DDBCEFAE-0F04-47FB-854C-8E3E03087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11753850"/>
          <a:ext cx="6781800" cy="4038600"/>
        </a:xfrm>
        <a:prstGeom prst="rect">
          <a:avLst/>
        </a:prstGeom>
      </xdr:spPr>
    </xdr:pic>
    <xdr:clientData/>
  </xdr:twoCellAnchor>
  <xdr:twoCellAnchor editAs="oneCell">
    <xdr:from>
      <xdr:col>8</xdr:col>
      <xdr:colOff>685800</xdr:colOff>
      <xdr:row>56</xdr:row>
      <xdr:rowOff>28575</xdr:rowOff>
    </xdr:from>
    <xdr:to>
      <xdr:col>17</xdr:col>
      <xdr:colOff>504825</xdr:colOff>
      <xdr:row>75</xdr:row>
      <xdr:rowOff>104775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22D8A1E-6D81-461F-A604-45C4248872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63025" y="11763375"/>
          <a:ext cx="6743700" cy="4057650"/>
        </a:xfrm>
        <a:prstGeom prst="rect">
          <a:avLst/>
        </a:prstGeom>
      </xdr:spPr>
    </xdr:pic>
    <xdr:clientData/>
  </xdr:twoCellAnchor>
  <xdr:twoCellAnchor editAs="oneCell">
    <xdr:from>
      <xdr:col>1</xdr:col>
      <xdr:colOff>542925</xdr:colOff>
      <xdr:row>40</xdr:row>
      <xdr:rowOff>19050</xdr:rowOff>
    </xdr:from>
    <xdr:to>
      <xdr:col>7</xdr:col>
      <xdr:colOff>1181100</xdr:colOff>
      <xdr:row>59</xdr:row>
      <xdr:rowOff>95250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AD940B70-2750-4636-81A9-CC87FB3B5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00175" y="8401050"/>
          <a:ext cx="6677025" cy="4057650"/>
        </a:xfrm>
        <a:prstGeom prst="rect">
          <a:avLst/>
        </a:prstGeom>
      </xdr:spPr>
    </xdr:pic>
    <xdr:clientData/>
  </xdr:twoCellAnchor>
  <xdr:twoCellAnchor editAs="oneCell">
    <xdr:from>
      <xdr:col>8</xdr:col>
      <xdr:colOff>1019175</xdr:colOff>
      <xdr:row>38</xdr:row>
      <xdr:rowOff>19050</xdr:rowOff>
    </xdr:from>
    <xdr:to>
      <xdr:col>18</xdr:col>
      <xdr:colOff>190500</xdr:colOff>
      <xdr:row>57</xdr:row>
      <xdr:rowOff>76200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2E637C0F-CFDD-4B41-B20B-376E5FDCBA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96400" y="7981950"/>
          <a:ext cx="6781800" cy="4038600"/>
        </a:xfrm>
        <a:prstGeom prst="rect">
          <a:avLst/>
        </a:prstGeom>
      </xdr:spPr>
    </xdr:pic>
    <xdr:clientData/>
  </xdr:twoCellAnchor>
  <xdr:twoCellAnchor editAs="oneCell">
    <xdr:from>
      <xdr:col>0</xdr:col>
      <xdr:colOff>523875</xdr:colOff>
      <xdr:row>77</xdr:row>
      <xdr:rowOff>19050</xdr:rowOff>
    </xdr:from>
    <xdr:to>
      <xdr:col>7</xdr:col>
      <xdr:colOff>1314450</xdr:colOff>
      <xdr:row>96</xdr:row>
      <xdr:rowOff>104775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193511B9-5ABA-4BD2-8EB3-4F673C4C15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23875" y="16154400"/>
          <a:ext cx="7686675" cy="4067175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76</xdr:row>
      <xdr:rowOff>200025</xdr:rowOff>
    </xdr:from>
    <xdr:to>
      <xdr:col>18</xdr:col>
      <xdr:colOff>323850</xdr:colOff>
      <xdr:row>96</xdr:row>
      <xdr:rowOff>76200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E88D289C-B88E-4F20-8180-E6B42ADBB5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67725" y="16125825"/>
          <a:ext cx="7743825" cy="40671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84601</xdr:colOff>
      <xdr:row>25</xdr:row>
      <xdr:rowOff>22412</xdr:rowOff>
    </xdr:from>
    <xdr:to>
      <xdr:col>4</xdr:col>
      <xdr:colOff>22412</xdr:colOff>
      <xdr:row>37</xdr:row>
      <xdr:rowOff>11206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차트 6">
              <a:extLst>
                <a:ext uri="{FF2B5EF4-FFF2-40B4-BE49-F238E27FC236}">
                  <a16:creationId xmlns:a16="http://schemas.microsoft.com/office/drawing/2014/main" id="{8EBF3BAB-2EDD-4C55-A06D-4713A24E31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4601" y="5334000"/>
              <a:ext cx="3624546" cy="254373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ko-KR" altLang="en-US" sz="1100"/>
                <a:t>Excel 버전에서는 이 차트를 사용할 수 없습니다.
이 도형 편집하거나 이 통합 문서를 다른 파일 형식으로 저장하면 차트가 영구적으로 손상됩니다.</a:t>
              </a:r>
            </a:p>
          </xdr:txBody>
        </xdr:sp>
      </mc:Fallback>
    </mc:AlternateContent>
    <xdr:clientData/>
  </xdr:twoCellAnchor>
  <xdr:twoCellAnchor>
    <xdr:from>
      <xdr:col>14</xdr:col>
      <xdr:colOff>190498</xdr:colOff>
      <xdr:row>25</xdr:row>
      <xdr:rowOff>0</xdr:rowOff>
    </xdr:from>
    <xdr:to>
      <xdr:col>19</xdr:col>
      <xdr:colOff>930088</xdr:colOff>
      <xdr:row>37</xdr:row>
      <xdr:rowOff>33618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9CBCFD63-34A6-4888-8119-F08A947744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537881</xdr:colOff>
      <xdr:row>25</xdr:row>
      <xdr:rowOff>0</xdr:rowOff>
    </xdr:from>
    <xdr:to>
      <xdr:col>13</xdr:col>
      <xdr:colOff>1109382</xdr:colOff>
      <xdr:row>37</xdr:row>
      <xdr:rowOff>22413</xdr:rowOff>
    </xdr:to>
    <xdr:graphicFrame macro="">
      <xdr:nvGraphicFramePr>
        <xdr:cNvPr id="14" name="차트 13">
          <a:extLst>
            <a:ext uri="{FF2B5EF4-FFF2-40B4-BE49-F238E27FC236}">
              <a16:creationId xmlns:a16="http://schemas.microsoft.com/office/drawing/2014/main" id="{48379DB8-42C4-477C-871E-551A5839A5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224120</xdr:colOff>
      <xdr:row>25</xdr:row>
      <xdr:rowOff>0</xdr:rowOff>
    </xdr:from>
    <xdr:to>
      <xdr:col>9</xdr:col>
      <xdr:colOff>280147</xdr:colOff>
      <xdr:row>37</xdr:row>
      <xdr:rowOff>33619</xdr:rowOff>
    </xdr:to>
    <xdr:graphicFrame macro="">
      <xdr:nvGraphicFramePr>
        <xdr:cNvPr id="18" name="차트 17">
          <a:extLst>
            <a:ext uri="{FF2B5EF4-FFF2-40B4-BE49-F238E27FC236}">
              <a16:creationId xmlns:a16="http://schemas.microsoft.com/office/drawing/2014/main" id="{916EC2CD-6262-494B-804D-6918F5BEE1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442912</xdr:colOff>
      <xdr:row>27</xdr:row>
      <xdr:rowOff>200025</xdr:rowOff>
    </xdr:from>
    <xdr:to>
      <xdr:col>47</xdr:col>
      <xdr:colOff>214312</xdr:colOff>
      <xdr:row>43</xdr:row>
      <xdr:rowOff>104775</xdr:rowOff>
    </xdr:to>
    <xdr:graphicFrame macro="">
      <xdr:nvGraphicFramePr>
        <xdr:cNvPr id="10" name="차트 9">
          <a:extLst>
            <a:ext uri="{FF2B5EF4-FFF2-40B4-BE49-F238E27FC236}">
              <a16:creationId xmlns:a16="http://schemas.microsoft.com/office/drawing/2014/main" id="{A63D8287-EE41-456F-99EC-58535CE44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504825</xdr:colOff>
      <xdr:row>4</xdr:row>
      <xdr:rowOff>28575</xdr:rowOff>
    </xdr:from>
    <xdr:to>
      <xdr:col>48</xdr:col>
      <xdr:colOff>276225</xdr:colOff>
      <xdr:row>24</xdr:row>
      <xdr:rowOff>123825</xdr:rowOff>
    </xdr:to>
    <xdr:graphicFrame macro="">
      <xdr:nvGraphicFramePr>
        <xdr:cNvPr id="15" name="차트 14">
          <a:extLst>
            <a:ext uri="{FF2B5EF4-FFF2-40B4-BE49-F238E27FC236}">
              <a16:creationId xmlns:a16="http://schemas.microsoft.com/office/drawing/2014/main" id="{092E37D3-52FC-4A8D-BF79-FCA3332625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48</xdr:col>
      <xdr:colOff>428625</xdr:colOff>
      <xdr:row>0</xdr:row>
      <xdr:rowOff>57150</xdr:rowOff>
    </xdr:from>
    <xdr:to>
      <xdr:col>58</xdr:col>
      <xdr:colOff>38100</xdr:colOff>
      <xdr:row>17</xdr:row>
      <xdr:rowOff>152400</xdr:rowOff>
    </xdr:to>
    <xdr:graphicFrame macro="">
      <xdr:nvGraphicFramePr>
        <xdr:cNvPr id="22" name="차트 21">
          <a:extLst>
            <a:ext uri="{FF2B5EF4-FFF2-40B4-BE49-F238E27FC236}">
              <a16:creationId xmlns:a16="http://schemas.microsoft.com/office/drawing/2014/main" id="{924AC376-0783-4EE3-9755-4015701785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48</xdr:col>
      <xdr:colOff>476249</xdr:colOff>
      <xdr:row>17</xdr:row>
      <xdr:rowOff>180975</xdr:rowOff>
    </xdr:from>
    <xdr:to>
      <xdr:col>57</xdr:col>
      <xdr:colOff>314324</xdr:colOff>
      <xdr:row>38</xdr:row>
      <xdr:rowOff>66675</xdr:rowOff>
    </xdr:to>
    <xdr:graphicFrame macro="">
      <xdr:nvGraphicFramePr>
        <xdr:cNvPr id="25" name="차트 24">
          <a:extLst>
            <a:ext uri="{FF2B5EF4-FFF2-40B4-BE49-F238E27FC236}">
              <a16:creationId xmlns:a16="http://schemas.microsoft.com/office/drawing/2014/main" id="{92AB7AB5-C77E-4B13-8992-42366EAB4D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39</xdr:col>
      <xdr:colOff>676275</xdr:colOff>
      <xdr:row>47</xdr:row>
      <xdr:rowOff>161925</xdr:rowOff>
    </xdr:from>
    <xdr:to>
      <xdr:col>53</xdr:col>
      <xdr:colOff>9525</xdr:colOff>
      <xdr:row>68</xdr:row>
      <xdr:rowOff>47625</xdr:rowOff>
    </xdr:to>
    <xdr:graphicFrame macro="">
      <xdr:nvGraphicFramePr>
        <xdr:cNvPr id="11" name="차트 10">
          <a:extLst>
            <a:ext uri="{FF2B5EF4-FFF2-40B4-BE49-F238E27FC236}">
              <a16:creationId xmlns:a16="http://schemas.microsoft.com/office/drawing/2014/main" id="{D9742022-EDE1-45F4-9E93-9982ABC210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9525</xdr:colOff>
      <xdr:row>1</xdr:row>
      <xdr:rowOff>9525</xdr:rowOff>
    </xdr:from>
    <xdr:to>
      <xdr:col>35</xdr:col>
      <xdr:colOff>28575</xdr:colOff>
      <xdr:row>9</xdr:row>
      <xdr:rowOff>276225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A87BE86F-D92A-404C-A918-A34D039B7B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466725</xdr:colOff>
      <xdr:row>10</xdr:row>
      <xdr:rowOff>123825</xdr:rowOff>
    </xdr:from>
    <xdr:to>
      <xdr:col>36</xdr:col>
      <xdr:colOff>466725</xdr:colOff>
      <xdr:row>18</xdr:row>
      <xdr:rowOff>123825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C2F24365-EB23-47A2-93E1-9A020AAF4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419100</xdr:colOff>
      <xdr:row>26</xdr:row>
      <xdr:rowOff>114300</xdr:rowOff>
    </xdr:from>
    <xdr:to>
      <xdr:col>33</xdr:col>
      <xdr:colOff>0</xdr:colOff>
      <xdr:row>34</xdr:row>
      <xdr:rowOff>114300</xdr:rowOff>
    </xdr:to>
    <xdr:graphicFrame macro="">
      <xdr:nvGraphicFramePr>
        <xdr:cNvPr id="5" name="차트 4">
          <a:extLst>
            <a:ext uri="{FF2B5EF4-FFF2-40B4-BE49-F238E27FC236}">
              <a16:creationId xmlns:a16="http://schemas.microsoft.com/office/drawing/2014/main" id="{B51B09F9-3532-414B-9875-A139E13E6D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414336</xdr:colOff>
      <xdr:row>17</xdr:row>
      <xdr:rowOff>133349</xdr:rowOff>
    </xdr:from>
    <xdr:to>
      <xdr:col>33</xdr:col>
      <xdr:colOff>361949</xdr:colOff>
      <xdr:row>28</xdr:row>
      <xdr:rowOff>257174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461E8F1-43B0-4702-A939-D720804BC2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51</xdr:row>
      <xdr:rowOff>9525</xdr:rowOff>
    </xdr:from>
    <xdr:to>
      <xdr:col>16</xdr:col>
      <xdr:colOff>66675</xdr:colOff>
      <xdr:row>64</xdr:row>
      <xdr:rowOff>28575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ACB6F120-111B-4205-9650-FBF7285036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7FC0090-FF03-495B-A295-BF1599E340AA}" name="표4" displayName="표4" ref="S41:Y69" totalsRowShown="0" headerRowDxfId="5" dataDxfId="4" headerRowBorderDxfId="12" tableBorderDxfId="13" totalsRowBorderDxfId="11">
  <autoFilter ref="S41:Y69" xr:uid="{5B062D0D-1E19-466D-8222-AC892577A7A1}"/>
  <tableColumns count="7">
    <tableColumn id="1" xr3:uid="{42435765-A496-4C28-BBB1-5C5334535BEB}" name="확률" dataDxfId="10" dataCellStyle="백분율"/>
    <tableColumn id="2" xr3:uid="{3D0A3875-A185-4874-885F-1C3456FF114D}" name="소지 재산 분포" dataDxfId="9"/>
    <tableColumn id="3" xr3:uid="{08AE0062-2454-4B31-8B59-CDF2B16B07C1}" name="평균 소지 재산" dataDxfId="8" dataCellStyle="통화 [0]">
      <calculatedColumnFormula>W42/V42</calculatedColumnFormula>
    </tableColumn>
    <tableColumn id="4" xr3:uid="{5B0D1048-EEE0-4593-A0FF-90B65F4B4955}" name="유저 수" dataDxfId="7"/>
    <tableColumn id="5" xr3:uid="{819285A0-D4BA-43F3-9C9E-1F904A3BCD2D}" name="총 재산" dataDxfId="6" dataCellStyle="통화 [0]"/>
    <tableColumn id="6" xr3:uid="{6100B935-F8D5-45A2-8FA1-922E39A9B415}" name="누적 유저 분포" dataDxfId="3" dataCellStyle="백분율"/>
    <tableColumn id="7" xr3:uid="{9F95551F-413E-4CD8-BB1A-AB746FD438AB}" name="누적 재산 분포" dataDxfId="2" dataCellStyle="백분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4B4C-A536-4F06-8ACF-F2EA5A4FADAD}">
  <dimension ref="A1:Q101"/>
  <sheetViews>
    <sheetView workbookViewId="0">
      <pane ySplit="1" topLeftCell="A2" activePane="bottomLeft" state="frozen"/>
      <selection pane="bottomLeft" activeCell="J27" sqref="J27"/>
    </sheetView>
  </sheetViews>
  <sheetFormatPr defaultRowHeight="16.5" x14ac:dyDescent="0.3"/>
  <cols>
    <col min="1" max="1" width="11.125" bestFit="1" customWidth="1"/>
  </cols>
  <sheetData>
    <row r="1" spans="1:17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17" x14ac:dyDescent="0.3">
      <c r="A2" s="1">
        <v>45658</v>
      </c>
      <c r="B2">
        <v>414</v>
      </c>
      <c r="C2">
        <f>SUM($B$2:B2)</f>
        <v>414</v>
      </c>
    </row>
    <row r="3" spans="1:17" x14ac:dyDescent="0.3">
      <c r="A3" s="1">
        <v>45659</v>
      </c>
      <c r="B3">
        <v>352</v>
      </c>
      <c r="C3">
        <f>SUM($B$2:B3)</f>
        <v>766</v>
      </c>
      <c r="F3">
        <f>C3/C2-1</f>
        <v>0.85024154589371981</v>
      </c>
    </row>
    <row r="4" spans="1:17" x14ac:dyDescent="0.3">
      <c r="A4" s="1">
        <v>45660</v>
      </c>
      <c r="B4">
        <v>277</v>
      </c>
      <c r="C4">
        <f>SUM($B$2:B4)</f>
        <v>1043</v>
      </c>
      <c r="F4">
        <f t="shared" ref="F4:F67" si="0">C4/C3-1</f>
        <v>0.36161879895561366</v>
      </c>
    </row>
    <row r="5" spans="1:17" x14ac:dyDescent="0.3">
      <c r="A5" s="1">
        <v>45661</v>
      </c>
      <c r="B5">
        <v>366</v>
      </c>
      <c r="C5">
        <f>SUM($B$2:B5)</f>
        <v>1409</v>
      </c>
      <c r="F5">
        <f t="shared" si="0"/>
        <v>0.35091083413231061</v>
      </c>
    </row>
    <row r="6" spans="1:17" x14ac:dyDescent="0.3">
      <c r="A6" s="1">
        <v>45662</v>
      </c>
      <c r="B6">
        <v>304</v>
      </c>
      <c r="C6">
        <f>SUM($B$2:B6)</f>
        <v>1713</v>
      </c>
      <c r="F6">
        <f t="shared" si="0"/>
        <v>0.21575585521646556</v>
      </c>
      <c r="O6">
        <v>1</v>
      </c>
      <c r="P6">
        <f>SUM(O6:$O$6)</f>
        <v>1</v>
      </c>
    </row>
    <row r="7" spans="1:17" x14ac:dyDescent="0.3">
      <c r="A7" s="1">
        <v>45663</v>
      </c>
      <c r="B7">
        <v>234</v>
      </c>
      <c r="C7">
        <f>SUM($B$2:B7)</f>
        <v>1947</v>
      </c>
      <c r="F7">
        <f t="shared" si="0"/>
        <v>0.13660245183887909</v>
      </c>
      <c r="O7">
        <v>2</v>
      </c>
      <c r="P7">
        <f>SUM(O$6:$O7)</f>
        <v>3</v>
      </c>
      <c r="Q7" s="2">
        <f>P7/P6-1</f>
        <v>2</v>
      </c>
    </row>
    <row r="8" spans="1:17" x14ac:dyDescent="0.3">
      <c r="A8" s="1">
        <v>45664</v>
      </c>
      <c r="B8">
        <v>207</v>
      </c>
      <c r="C8">
        <f>SUM($B$2:B8)</f>
        <v>2154</v>
      </c>
      <c r="F8">
        <f t="shared" si="0"/>
        <v>0.10631741140215722</v>
      </c>
      <c r="O8">
        <v>3</v>
      </c>
      <c r="P8">
        <f>SUM(O$6:$O8)</f>
        <v>6</v>
      </c>
      <c r="Q8" s="2">
        <f t="shared" ref="Q8:Q17" si="1">P8/P7-1</f>
        <v>1</v>
      </c>
    </row>
    <row r="9" spans="1:17" x14ac:dyDescent="0.3">
      <c r="A9" s="1">
        <v>45665</v>
      </c>
      <c r="B9">
        <v>204</v>
      </c>
      <c r="C9">
        <f>SUM($B$2:B9)</f>
        <v>2358</v>
      </c>
      <c r="F9">
        <f t="shared" si="0"/>
        <v>9.4707520891364805E-2</v>
      </c>
      <c r="O9">
        <v>4</v>
      </c>
      <c r="P9">
        <f>SUM(O$6:$O9)</f>
        <v>10</v>
      </c>
      <c r="Q9" s="2">
        <f t="shared" si="1"/>
        <v>0.66666666666666674</v>
      </c>
    </row>
    <row r="10" spans="1:17" x14ac:dyDescent="0.3">
      <c r="A10" s="1">
        <v>45666</v>
      </c>
      <c r="B10">
        <v>217</v>
      </c>
      <c r="C10">
        <f>SUM($B$2:B10)</f>
        <v>2575</v>
      </c>
      <c r="F10">
        <f t="shared" si="0"/>
        <v>9.2027141645462329E-2</v>
      </c>
      <c r="O10">
        <v>5</v>
      </c>
      <c r="P10">
        <f>SUM(O$6:$O10)</f>
        <v>15</v>
      </c>
      <c r="Q10" s="2">
        <f t="shared" si="1"/>
        <v>0.5</v>
      </c>
    </row>
    <row r="11" spans="1:17" x14ac:dyDescent="0.3">
      <c r="A11" s="1">
        <v>45667</v>
      </c>
      <c r="B11">
        <v>177</v>
      </c>
      <c r="C11">
        <f>SUM($B$2:B11)</f>
        <v>2752</v>
      </c>
      <c r="F11">
        <f t="shared" si="0"/>
        <v>6.8737864077669908E-2</v>
      </c>
      <c r="O11">
        <v>6</v>
      </c>
      <c r="P11">
        <f>SUM(O$6:$O11)</f>
        <v>21</v>
      </c>
      <c r="Q11" s="2">
        <f t="shared" si="1"/>
        <v>0.39999999999999991</v>
      </c>
    </row>
    <row r="12" spans="1:17" x14ac:dyDescent="0.3">
      <c r="A12" s="1">
        <v>45668</v>
      </c>
      <c r="B12">
        <v>221</v>
      </c>
      <c r="C12">
        <f>SUM($B$2:B12)</f>
        <v>2973</v>
      </c>
      <c r="F12">
        <f t="shared" si="0"/>
        <v>8.0305232558139483E-2</v>
      </c>
      <c r="O12">
        <v>7</v>
      </c>
      <c r="P12">
        <f>SUM(O$6:$O12)</f>
        <v>28</v>
      </c>
      <c r="Q12" s="2">
        <f t="shared" si="1"/>
        <v>0.33333333333333326</v>
      </c>
    </row>
    <row r="13" spans="1:17" x14ac:dyDescent="0.3">
      <c r="A13" s="1">
        <v>45669</v>
      </c>
      <c r="B13">
        <v>245</v>
      </c>
      <c r="C13">
        <f>SUM($B$2:B13)</f>
        <v>3218</v>
      </c>
      <c r="F13">
        <f t="shared" si="0"/>
        <v>8.240834174234779E-2</v>
      </c>
      <c r="O13">
        <v>8</v>
      </c>
      <c r="P13">
        <f>SUM(O$6:$O13)</f>
        <v>36</v>
      </c>
      <c r="Q13" s="2">
        <f t="shared" si="1"/>
        <v>0.28571428571428581</v>
      </c>
    </row>
    <row r="14" spans="1:17" x14ac:dyDescent="0.3">
      <c r="A14" s="1">
        <v>45670</v>
      </c>
      <c r="B14">
        <v>214</v>
      </c>
      <c r="C14">
        <f>SUM($B$2:B14)</f>
        <v>3432</v>
      </c>
      <c r="F14">
        <f t="shared" si="0"/>
        <v>6.6500932256059686E-2</v>
      </c>
      <c r="O14">
        <v>9</v>
      </c>
      <c r="P14">
        <f>SUM(O$6:$O14)</f>
        <v>45</v>
      </c>
      <c r="Q14" s="2">
        <f t="shared" si="1"/>
        <v>0.25</v>
      </c>
    </row>
    <row r="15" spans="1:17" x14ac:dyDescent="0.3">
      <c r="A15" s="1">
        <v>45671</v>
      </c>
      <c r="B15">
        <v>224</v>
      </c>
      <c r="C15">
        <f>SUM($B$2:B15)</f>
        <v>3656</v>
      </c>
      <c r="F15">
        <f t="shared" si="0"/>
        <v>6.5268065268065278E-2</v>
      </c>
      <c r="O15">
        <v>7</v>
      </c>
      <c r="P15">
        <f>SUM(O$6:$O15)</f>
        <v>52</v>
      </c>
      <c r="Q15" s="2">
        <f t="shared" si="1"/>
        <v>0.15555555555555545</v>
      </c>
    </row>
    <row r="16" spans="1:17" x14ac:dyDescent="0.3">
      <c r="A16" s="1">
        <v>45672</v>
      </c>
      <c r="B16">
        <v>192</v>
      </c>
      <c r="C16">
        <f>SUM($B$2:B16)</f>
        <v>3848</v>
      </c>
      <c r="F16">
        <f t="shared" si="0"/>
        <v>5.2516411378555894E-2</v>
      </c>
      <c r="O16">
        <v>6</v>
      </c>
      <c r="P16">
        <f>SUM(O$6:$O16)</f>
        <v>58</v>
      </c>
      <c r="Q16" s="2">
        <f>P16/P15-1</f>
        <v>0.11538461538461542</v>
      </c>
    </row>
    <row r="17" spans="1:17" x14ac:dyDescent="0.3">
      <c r="A17" s="1">
        <v>45673</v>
      </c>
      <c r="B17">
        <v>206</v>
      </c>
      <c r="C17">
        <f>SUM($B$2:B17)</f>
        <v>4054</v>
      </c>
      <c r="F17">
        <f t="shared" si="0"/>
        <v>5.353430353430344E-2</v>
      </c>
      <c r="O17">
        <v>5</v>
      </c>
      <c r="P17">
        <f>SUM(O$6:$O17)</f>
        <v>63</v>
      </c>
      <c r="Q17" s="2">
        <f t="shared" si="1"/>
        <v>8.6206896551724199E-2</v>
      </c>
    </row>
    <row r="18" spans="1:17" x14ac:dyDescent="0.3">
      <c r="A18" s="1">
        <v>45674</v>
      </c>
      <c r="B18">
        <v>197</v>
      </c>
      <c r="C18">
        <f>SUM($B$2:B18)</f>
        <v>4251</v>
      </c>
      <c r="F18">
        <f t="shared" si="0"/>
        <v>4.859398125308334E-2</v>
      </c>
    </row>
    <row r="19" spans="1:17" x14ac:dyDescent="0.3">
      <c r="A19" s="1">
        <v>45675</v>
      </c>
      <c r="B19">
        <v>235</v>
      </c>
      <c r="C19">
        <f>SUM($B$2:B19)</f>
        <v>4486</v>
      </c>
      <c r="F19">
        <f t="shared" si="0"/>
        <v>5.5281110326981908E-2</v>
      </c>
    </row>
    <row r="20" spans="1:17" x14ac:dyDescent="0.3">
      <c r="A20" s="1">
        <v>45676</v>
      </c>
      <c r="B20">
        <v>260</v>
      </c>
      <c r="C20">
        <f>SUM($B$2:B20)</f>
        <v>4746</v>
      </c>
      <c r="F20">
        <f t="shared" si="0"/>
        <v>5.7958091841284087E-2</v>
      </c>
    </row>
    <row r="21" spans="1:17" x14ac:dyDescent="0.3">
      <c r="A21" s="1">
        <v>45677</v>
      </c>
      <c r="B21">
        <v>229</v>
      </c>
      <c r="C21">
        <f>SUM($B$2:B21)</f>
        <v>4975</v>
      </c>
      <c r="F21">
        <f t="shared" si="0"/>
        <v>4.8251158870627808E-2</v>
      </c>
    </row>
    <row r="22" spans="1:17" x14ac:dyDescent="0.3">
      <c r="A22" s="1">
        <v>45678</v>
      </c>
      <c r="B22">
        <v>222</v>
      </c>
      <c r="C22">
        <f>SUM($B$2:B22)</f>
        <v>5197</v>
      </c>
      <c r="F22">
        <f t="shared" si="0"/>
        <v>4.4623115577889338E-2</v>
      </c>
    </row>
    <row r="23" spans="1:17" x14ac:dyDescent="0.3">
      <c r="A23" s="1">
        <v>45679</v>
      </c>
      <c r="B23">
        <v>206</v>
      </c>
      <c r="C23">
        <f>SUM($B$2:B23)</f>
        <v>5403</v>
      </c>
      <c r="F23">
        <f t="shared" si="0"/>
        <v>3.9638252838175791E-2</v>
      </c>
    </row>
    <row r="24" spans="1:17" x14ac:dyDescent="0.3">
      <c r="A24" s="1">
        <v>45680</v>
      </c>
      <c r="B24">
        <v>182</v>
      </c>
      <c r="C24">
        <f>SUM($B$2:B24)</f>
        <v>5585</v>
      </c>
      <c r="F24">
        <f t="shared" si="0"/>
        <v>3.3684989820470079E-2</v>
      </c>
    </row>
    <row r="25" spans="1:17" x14ac:dyDescent="0.3">
      <c r="A25" s="1">
        <v>45681</v>
      </c>
      <c r="B25">
        <v>178</v>
      </c>
      <c r="C25">
        <f>SUM($B$2:B25)</f>
        <v>5763</v>
      </c>
      <c r="F25">
        <f t="shared" si="0"/>
        <v>3.1871083258728783E-2</v>
      </c>
    </row>
    <row r="26" spans="1:17" x14ac:dyDescent="0.3">
      <c r="A26" s="1">
        <v>45682</v>
      </c>
      <c r="B26">
        <v>256</v>
      </c>
      <c r="C26">
        <f>SUM($B$2:B26)</f>
        <v>6019</v>
      </c>
      <c r="F26">
        <f t="shared" si="0"/>
        <v>4.4421308346347388E-2</v>
      </c>
    </row>
    <row r="27" spans="1:17" x14ac:dyDescent="0.3">
      <c r="A27" s="1">
        <v>45683</v>
      </c>
      <c r="B27">
        <v>950</v>
      </c>
      <c r="C27">
        <f>SUM($B$2:B27)</f>
        <v>6969</v>
      </c>
      <c r="F27">
        <f t="shared" si="0"/>
        <v>0.1578335271639808</v>
      </c>
    </row>
    <row r="28" spans="1:17" x14ac:dyDescent="0.3">
      <c r="A28" s="1">
        <v>45684</v>
      </c>
      <c r="B28">
        <v>795</v>
      </c>
      <c r="C28">
        <f>SUM($B$2:B28)</f>
        <v>7764</v>
      </c>
      <c r="F28">
        <f t="shared" si="0"/>
        <v>0.11407662505380967</v>
      </c>
    </row>
    <row r="29" spans="1:17" x14ac:dyDescent="0.3">
      <c r="A29" s="1">
        <v>45685</v>
      </c>
      <c r="B29">
        <v>665</v>
      </c>
      <c r="C29">
        <f>SUM($B$2:B29)</f>
        <v>8429</v>
      </c>
      <c r="F29">
        <f t="shared" si="0"/>
        <v>8.5651725914477117E-2</v>
      </c>
    </row>
    <row r="30" spans="1:17" x14ac:dyDescent="0.3">
      <c r="A30" s="1">
        <v>45686</v>
      </c>
      <c r="B30">
        <v>1178</v>
      </c>
      <c r="C30">
        <f>SUM($B$2:B30)</f>
        <v>9607</v>
      </c>
      <c r="F30">
        <f>C30/C29-1</f>
        <v>0.13975560564717049</v>
      </c>
    </row>
    <row r="31" spans="1:17" x14ac:dyDescent="0.3">
      <c r="A31" s="1">
        <v>45687</v>
      </c>
      <c r="B31">
        <v>843</v>
      </c>
      <c r="C31">
        <f>SUM($B$2:B31)</f>
        <v>10450</v>
      </c>
      <c r="F31">
        <f t="shared" si="0"/>
        <v>8.7748516706568136E-2</v>
      </c>
    </row>
    <row r="32" spans="1:17" x14ac:dyDescent="0.3">
      <c r="A32" s="1">
        <v>45688</v>
      </c>
      <c r="B32">
        <v>251</v>
      </c>
      <c r="C32">
        <f>SUM($B$2:B32)</f>
        <v>10701</v>
      </c>
      <c r="F32">
        <f t="shared" si="0"/>
        <v>2.401913875598094E-2</v>
      </c>
    </row>
    <row r="33" spans="1:6" x14ac:dyDescent="0.3">
      <c r="A33" s="1">
        <v>45689</v>
      </c>
      <c r="B33">
        <v>277</v>
      </c>
      <c r="C33">
        <f>SUM($B$2:B33)</f>
        <v>10978</v>
      </c>
      <c r="F33">
        <f t="shared" si="0"/>
        <v>2.588543126810583E-2</v>
      </c>
    </row>
    <row r="34" spans="1:6" x14ac:dyDescent="0.3">
      <c r="A34" s="1">
        <v>45690</v>
      </c>
      <c r="B34">
        <v>280</v>
      </c>
      <c r="C34">
        <f>SUM($B$2:B34)</f>
        <v>11258</v>
      </c>
      <c r="F34">
        <f t="shared" si="0"/>
        <v>2.5505556567680721E-2</v>
      </c>
    </row>
    <row r="35" spans="1:6" x14ac:dyDescent="0.3">
      <c r="A35" s="1">
        <v>45691</v>
      </c>
      <c r="B35">
        <v>172</v>
      </c>
      <c r="C35">
        <f>SUM($B$2:B35)</f>
        <v>11430</v>
      </c>
      <c r="F35">
        <f t="shared" si="0"/>
        <v>1.527802451589988E-2</v>
      </c>
    </row>
    <row r="36" spans="1:6" x14ac:dyDescent="0.3">
      <c r="A36" s="1">
        <v>45692</v>
      </c>
      <c r="B36">
        <v>179</v>
      </c>
      <c r="C36">
        <f>SUM($B$2:B36)</f>
        <v>11609</v>
      </c>
      <c r="F36">
        <f t="shared" si="0"/>
        <v>1.5660542432196056E-2</v>
      </c>
    </row>
    <row r="37" spans="1:6" x14ac:dyDescent="0.3">
      <c r="A37" s="1">
        <v>45693</v>
      </c>
      <c r="B37">
        <v>132</v>
      </c>
      <c r="C37">
        <f>SUM($B$2:B37)</f>
        <v>11741</v>
      </c>
      <c r="F37">
        <f t="shared" si="0"/>
        <v>1.1370488414161439E-2</v>
      </c>
    </row>
    <row r="38" spans="1:6" x14ac:dyDescent="0.3">
      <c r="A38" s="1">
        <v>45694</v>
      </c>
      <c r="B38">
        <v>168</v>
      </c>
      <c r="C38">
        <f>SUM($B$2:B38)</f>
        <v>11909</v>
      </c>
      <c r="F38">
        <f t="shared" si="0"/>
        <v>1.4308832297078578E-2</v>
      </c>
    </row>
    <row r="39" spans="1:6" x14ac:dyDescent="0.3">
      <c r="A39" s="1">
        <v>45695</v>
      </c>
      <c r="B39">
        <v>121</v>
      </c>
      <c r="C39">
        <f>SUM($B$2:B39)</f>
        <v>12030</v>
      </c>
      <c r="F39">
        <f t="shared" si="0"/>
        <v>1.016038290368626E-2</v>
      </c>
    </row>
    <row r="40" spans="1:6" x14ac:dyDescent="0.3">
      <c r="A40" s="1">
        <v>45696</v>
      </c>
      <c r="B40">
        <v>164</v>
      </c>
      <c r="C40">
        <f>SUM($B$2:B40)</f>
        <v>12194</v>
      </c>
      <c r="F40">
        <f t="shared" si="0"/>
        <v>1.3632585203657621E-2</v>
      </c>
    </row>
    <row r="41" spans="1:6" x14ac:dyDescent="0.3">
      <c r="A41" s="1">
        <v>45697</v>
      </c>
      <c r="B41">
        <v>198</v>
      </c>
      <c r="C41">
        <f>SUM($B$2:B41)</f>
        <v>12392</v>
      </c>
      <c r="F41">
        <f t="shared" si="0"/>
        <v>1.623749384943407E-2</v>
      </c>
    </row>
    <row r="42" spans="1:6" x14ac:dyDescent="0.3">
      <c r="A42" s="1">
        <v>45698</v>
      </c>
      <c r="B42">
        <v>197</v>
      </c>
      <c r="C42">
        <f>SUM($B$2:B42)</f>
        <v>12589</v>
      </c>
      <c r="F42">
        <f t="shared" si="0"/>
        <v>1.5897353131052228E-2</v>
      </c>
    </row>
    <row r="43" spans="1:6" x14ac:dyDescent="0.3">
      <c r="A43" s="1">
        <v>45699</v>
      </c>
      <c r="B43">
        <v>169</v>
      </c>
      <c r="C43">
        <f>SUM($B$2:B43)</f>
        <v>12758</v>
      </c>
      <c r="F43">
        <f t="shared" si="0"/>
        <v>1.3424418142823136E-2</v>
      </c>
    </row>
    <row r="44" spans="1:6" x14ac:dyDescent="0.3">
      <c r="A44" s="1">
        <v>45700</v>
      </c>
      <c r="B44">
        <v>154</v>
      </c>
      <c r="C44">
        <f>SUM($B$2:B44)</f>
        <v>12912</v>
      </c>
      <c r="F44">
        <f t="shared" si="0"/>
        <v>1.2070857501175647E-2</v>
      </c>
    </row>
    <row r="45" spans="1:6" x14ac:dyDescent="0.3">
      <c r="A45" s="1">
        <v>45701</v>
      </c>
      <c r="B45">
        <v>634</v>
      </c>
      <c r="C45">
        <f>SUM($B$2:B45)</f>
        <v>13546</v>
      </c>
      <c r="F45">
        <f t="shared" si="0"/>
        <v>4.910161090458498E-2</v>
      </c>
    </row>
    <row r="46" spans="1:6" x14ac:dyDescent="0.3">
      <c r="A46" s="1">
        <v>45702</v>
      </c>
      <c r="B46">
        <v>691</v>
      </c>
      <c r="C46">
        <f>SUM($B$2:B46)</f>
        <v>14237</v>
      </c>
      <c r="F46">
        <f t="shared" si="0"/>
        <v>5.1011368669718005E-2</v>
      </c>
    </row>
    <row r="47" spans="1:6" x14ac:dyDescent="0.3">
      <c r="A47" s="1">
        <v>45703</v>
      </c>
      <c r="B47">
        <v>930</v>
      </c>
      <c r="C47">
        <f>SUM($B$2:B47)</f>
        <v>15167</v>
      </c>
      <c r="F47">
        <f t="shared" si="0"/>
        <v>6.5322750579476008E-2</v>
      </c>
    </row>
    <row r="48" spans="1:6" x14ac:dyDescent="0.3">
      <c r="A48" s="1">
        <v>45704</v>
      </c>
      <c r="B48">
        <v>1074</v>
      </c>
      <c r="C48">
        <f>SUM($B$2:B48)</f>
        <v>16241</v>
      </c>
      <c r="F48">
        <f t="shared" si="0"/>
        <v>7.0811630513615054E-2</v>
      </c>
    </row>
    <row r="49" spans="1:6" x14ac:dyDescent="0.3">
      <c r="A49" s="1">
        <v>45705</v>
      </c>
      <c r="B49">
        <v>953</v>
      </c>
      <c r="C49">
        <f>SUM($B$2:B49)</f>
        <v>17194</v>
      </c>
      <c r="F49">
        <f t="shared" si="0"/>
        <v>5.8678652792315766E-2</v>
      </c>
    </row>
    <row r="50" spans="1:6" x14ac:dyDescent="0.3">
      <c r="A50" s="1">
        <v>45706</v>
      </c>
      <c r="B50">
        <v>820</v>
      </c>
      <c r="C50">
        <f>SUM($B$2:B50)</f>
        <v>18014</v>
      </c>
      <c r="F50">
        <f t="shared" si="0"/>
        <v>4.7691055019192685E-2</v>
      </c>
    </row>
    <row r="51" spans="1:6" x14ac:dyDescent="0.3">
      <c r="A51" s="1">
        <v>45707</v>
      </c>
      <c r="B51">
        <v>739</v>
      </c>
      <c r="C51">
        <f>SUM($B$2:B51)</f>
        <v>18753</v>
      </c>
      <c r="F51">
        <f t="shared" si="0"/>
        <v>4.1023648273565083E-2</v>
      </c>
    </row>
    <row r="52" spans="1:6" x14ac:dyDescent="0.3">
      <c r="A52" s="1">
        <v>45708</v>
      </c>
      <c r="B52">
        <v>738</v>
      </c>
      <c r="C52">
        <f>SUM($B$2:B52)</f>
        <v>19491</v>
      </c>
      <c r="F52">
        <f t="shared" si="0"/>
        <v>3.9353703407454699E-2</v>
      </c>
    </row>
    <row r="53" spans="1:6" x14ac:dyDescent="0.3">
      <c r="A53" s="1">
        <v>45709</v>
      </c>
      <c r="B53">
        <v>550</v>
      </c>
      <c r="C53">
        <f>SUM($B$2:B53)</f>
        <v>20041</v>
      </c>
      <c r="F53">
        <f t="shared" si="0"/>
        <v>2.8218151967574823E-2</v>
      </c>
    </row>
    <row r="54" spans="1:6" x14ac:dyDescent="0.3">
      <c r="A54" s="1">
        <v>45710</v>
      </c>
      <c r="B54">
        <v>613</v>
      </c>
      <c r="C54">
        <f>SUM($B$2:B54)</f>
        <v>20654</v>
      </c>
      <c r="F54">
        <f t="shared" si="0"/>
        <v>3.0587296043111722E-2</v>
      </c>
    </row>
    <row r="55" spans="1:6" x14ac:dyDescent="0.3">
      <c r="A55" s="1">
        <v>45711</v>
      </c>
      <c r="B55">
        <v>674</v>
      </c>
      <c r="C55">
        <f>SUM($B$2:B55)</f>
        <v>21328</v>
      </c>
      <c r="F55">
        <f t="shared" si="0"/>
        <v>3.263290403795871E-2</v>
      </c>
    </row>
    <row r="56" spans="1:6" x14ac:dyDescent="0.3">
      <c r="A56" s="1">
        <v>45712</v>
      </c>
      <c r="B56">
        <v>594</v>
      </c>
      <c r="C56">
        <f>SUM($B$2:B56)</f>
        <v>21922</v>
      </c>
      <c r="F56">
        <f t="shared" si="0"/>
        <v>2.785071267816952E-2</v>
      </c>
    </row>
    <row r="57" spans="1:6" x14ac:dyDescent="0.3">
      <c r="A57" s="1">
        <v>45713</v>
      </c>
      <c r="B57">
        <v>527</v>
      </c>
      <c r="C57">
        <f>SUM($B$2:B57)</f>
        <v>22449</v>
      </c>
      <c r="F57">
        <f t="shared" si="0"/>
        <v>2.4039777392573569E-2</v>
      </c>
    </row>
    <row r="58" spans="1:6" x14ac:dyDescent="0.3">
      <c r="A58" s="1">
        <v>45714</v>
      </c>
      <c r="B58">
        <v>487</v>
      </c>
      <c r="C58">
        <f>SUM($B$2:B58)</f>
        <v>22936</v>
      </c>
      <c r="F58">
        <f t="shared" si="0"/>
        <v>2.1693616642166624E-2</v>
      </c>
    </row>
    <row r="59" spans="1:6" x14ac:dyDescent="0.3">
      <c r="A59" s="1">
        <v>45715</v>
      </c>
      <c r="B59">
        <v>429</v>
      </c>
      <c r="C59">
        <f>SUM($B$2:B59)</f>
        <v>23365</v>
      </c>
      <c r="F59">
        <f t="shared" si="0"/>
        <v>1.8704220439483832E-2</v>
      </c>
    </row>
    <row r="60" spans="1:6" x14ac:dyDescent="0.3">
      <c r="A60" s="1">
        <v>45716</v>
      </c>
      <c r="B60">
        <v>378</v>
      </c>
      <c r="C60">
        <f>SUM($B$2:B60)</f>
        <v>23743</v>
      </c>
      <c r="F60">
        <f t="shared" si="0"/>
        <v>1.6178044083030141E-2</v>
      </c>
    </row>
    <row r="61" spans="1:6" x14ac:dyDescent="0.3">
      <c r="A61" s="1">
        <v>45717</v>
      </c>
      <c r="B61">
        <v>497</v>
      </c>
      <c r="C61">
        <f>SUM($B$2:B61)</f>
        <v>24240</v>
      </c>
      <c r="F61">
        <f t="shared" si="0"/>
        <v>2.0932485364107301E-2</v>
      </c>
    </row>
    <row r="62" spans="1:6" x14ac:dyDescent="0.3">
      <c r="A62" s="1">
        <v>45718</v>
      </c>
      <c r="B62">
        <v>648</v>
      </c>
      <c r="C62">
        <f>SUM($B$2:B62)</f>
        <v>24888</v>
      </c>
      <c r="F62">
        <f t="shared" si="0"/>
        <v>2.6732673267326756E-2</v>
      </c>
    </row>
    <row r="63" spans="1:6" x14ac:dyDescent="0.3">
      <c r="A63" s="1">
        <v>45719</v>
      </c>
      <c r="B63">
        <v>628</v>
      </c>
      <c r="C63">
        <f>SUM($B$2:B63)</f>
        <v>25516</v>
      </c>
      <c r="F63">
        <f t="shared" si="0"/>
        <v>2.5233044037286989E-2</v>
      </c>
    </row>
    <row r="64" spans="1:6" x14ac:dyDescent="0.3">
      <c r="A64" s="1">
        <v>45720</v>
      </c>
      <c r="B64">
        <v>561</v>
      </c>
      <c r="C64">
        <f>SUM($B$2:B64)</f>
        <v>26077</v>
      </c>
      <c r="F64">
        <f t="shared" si="0"/>
        <v>2.1986204734284476E-2</v>
      </c>
    </row>
    <row r="65" spans="1:6" x14ac:dyDescent="0.3">
      <c r="A65" s="1">
        <v>45721</v>
      </c>
      <c r="B65">
        <v>508</v>
      </c>
      <c r="C65">
        <f>SUM($B$2:B65)</f>
        <v>26585</v>
      </c>
      <c r="F65">
        <f t="shared" si="0"/>
        <v>1.9480768493308265E-2</v>
      </c>
    </row>
    <row r="66" spans="1:6" x14ac:dyDescent="0.3">
      <c r="A66" s="1">
        <v>45722</v>
      </c>
      <c r="B66">
        <v>506</v>
      </c>
      <c r="C66">
        <f>SUM($B$2:B66)</f>
        <v>27091</v>
      </c>
      <c r="F66">
        <f t="shared" si="0"/>
        <v>1.9033289448937341E-2</v>
      </c>
    </row>
    <row r="67" spans="1:6" x14ac:dyDescent="0.3">
      <c r="A67" s="1">
        <v>45723</v>
      </c>
      <c r="B67">
        <v>417</v>
      </c>
      <c r="C67">
        <f>SUM($B$2:B67)</f>
        <v>27508</v>
      </c>
      <c r="F67">
        <f t="shared" si="0"/>
        <v>1.5392565796759072E-2</v>
      </c>
    </row>
    <row r="68" spans="1:6" x14ac:dyDescent="0.3">
      <c r="A68" s="1">
        <v>45724</v>
      </c>
      <c r="B68">
        <v>537</v>
      </c>
      <c r="C68">
        <f>SUM($B$2:B68)</f>
        <v>28045</v>
      </c>
      <c r="F68">
        <f t="shared" ref="F68:F78" si="2">C68/C67-1</f>
        <v>1.9521593718191177E-2</v>
      </c>
    </row>
    <row r="69" spans="1:6" x14ac:dyDescent="0.3">
      <c r="A69" s="1">
        <v>45725</v>
      </c>
      <c r="B69">
        <v>624</v>
      </c>
      <c r="C69">
        <f>SUM($B$2:B69)</f>
        <v>28669</v>
      </c>
      <c r="D69">
        <v>133034</v>
      </c>
      <c r="E69">
        <v>151501</v>
      </c>
      <c r="F69">
        <f t="shared" si="2"/>
        <v>2.224995542877517E-2</v>
      </c>
    </row>
    <row r="70" spans="1:6" x14ac:dyDescent="0.3">
      <c r="A70" s="1">
        <v>45726</v>
      </c>
      <c r="B70">
        <v>497</v>
      </c>
      <c r="C70">
        <f>SUM($B$2:B70)</f>
        <v>29166</v>
      </c>
      <c r="D70">
        <v>134380</v>
      </c>
      <c r="E70">
        <v>150409</v>
      </c>
      <c r="F70">
        <f t="shared" si="2"/>
        <v>1.7335798248979684E-2</v>
      </c>
    </row>
    <row r="71" spans="1:6" x14ac:dyDescent="0.3">
      <c r="A71" s="1">
        <v>45727</v>
      </c>
      <c r="B71">
        <v>475</v>
      </c>
      <c r="C71">
        <f>SUM($B$2:B71)</f>
        <v>29641</v>
      </c>
      <c r="D71">
        <v>135761</v>
      </c>
      <c r="E71">
        <v>149274</v>
      </c>
      <c r="F71">
        <f t="shared" si="2"/>
        <v>1.6286086539121003E-2</v>
      </c>
    </row>
    <row r="72" spans="1:6" x14ac:dyDescent="0.3">
      <c r="A72" s="1">
        <v>45728</v>
      </c>
      <c r="B72">
        <v>464</v>
      </c>
      <c r="C72">
        <f>SUM($B$2:B72)</f>
        <v>30105</v>
      </c>
      <c r="F72">
        <f t="shared" si="2"/>
        <v>1.5653992780270576E-2</v>
      </c>
    </row>
    <row r="73" spans="1:6" x14ac:dyDescent="0.3">
      <c r="A73" s="1">
        <v>45729</v>
      </c>
      <c r="B73">
        <v>434</v>
      </c>
      <c r="C73">
        <f>SUM($B$2:B73)</f>
        <v>30539</v>
      </c>
      <c r="F73">
        <f t="shared" si="2"/>
        <v>1.4416209931904955E-2</v>
      </c>
    </row>
    <row r="74" spans="1:6" x14ac:dyDescent="0.3">
      <c r="A74" s="1">
        <v>45730</v>
      </c>
      <c r="B74">
        <v>345</v>
      </c>
      <c r="C74">
        <f>SUM($B$2:B74)</f>
        <v>30884</v>
      </c>
      <c r="F74">
        <f t="shared" si="2"/>
        <v>1.1297030027178412E-2</v>
      </c>
    </row>
    <row r="75" spans="1:6" x14ac:dyDescent="0.3">
      <c r="A75" s="1">
        <v>45731</v>
      </c>
      <c r="B75">
        <v>465</v>
      </c>
      <c r="C75">
        <f>SUM($B$2:B75)</f>
        <v>31349</v>
      </c>
      <c r="F75">
        <f t="shared" si="2"/>
        <v>1.5056339852350664E-2</v>
      </c>
    </row>
    <row r="76" spans="1:6" x14ac:dyDescent="0.3">
      <c r="A76" s="1">
        <v>45732</v>
      </c>
      <c r="B76">
        <v>485</v>
      </c>
      <c r="C76">
        <f>SUM($B$2:B76)</f>
        <v>31834</v>
      </c>
      <c r="F76">
        <f t="shared" si="2"/>
        <v>1.5470987910300105E-2</v>
      </c>
    </row>
    <row r="77" spans="1:6" x14ac:dyDescent="0.3">
      <c r="A77" s="1">
        <v>45733</v>
      </c>
      <c r="B77">
        <v>441</v>
      </c>
      <c r="C77">
        <f>SUM($B$2:B77)</f>
        <v>32275</v>
      </c>
      <c r="F77">
        <f t="shared" si="2"/>
        <v>1.3853113023811092E-2</v>
      </c>
    </row>
    <row r="78" spans="1:6" x14ac:dyDescent="0.3">
      <c r="A78" s="1">
        <v>45734</v>
      </c>
      <c r="B78">
        <v>413</v>
      </c>
      <c r="C78">
        <f>SUM($B$2:B78)</f>
        <v>32688</v>
      </c>
      <c r="F78">
        <f t="shared" si="2"/>
        <v>1.279628195197513E-2</v>
      </c>
    </row>
    <row r="79" spans="1:6" x14ac:dyDescent="0.3">
      <c r="A79" s="1">
        <v>45735</v>
      </c>
      <c r="B79">
        <v>421</v>
      </c>
      <c r="C79">
        <f>SUM($B$2:B79)</f>
        <v>33109</v>
      </c>
    </row>
    <row r="80" spans="1:6" x14ac:dyDescent="0.3">
      <c r="A80" s="1">
        <v>45736</v>
      </c>
      <c r="B80">
        <v>372</v>
      </c>
      <c r="C80">
        <f>SUM($B$2:B80)</f>
        <v>33481</v>
      </c>
    </row>
    <row r="81" spans="1:5" x14ac:dyDescent="0.3">
      <c r="A81" s="1">
        <v>45737</v>
      </c>
      <c r="B81">
        <v>323</v>
      </c>
      <c r="C81">
        <f>SUM($B$2:B81)</f>
        <v>33804</v>
      </c>
      <c r="D81">
        <v>150758</v>
      </c>
      <c r="E81">
        <v>136469</v>
      </c>
    </row>
    <row r="82" spans="1:5" x14ac:dyDescent="0.3">
      <c r="A82" s="1">
        <v>45738</v>
      </c>
      <c r="B82">
        <v>422</v>
      </c>
      <c r="C82">
        <f>SUM($B$2:B82)</f>
        <v>34226</v>
      </c>
      <c r="D82">
        <v>152244</v>
      </c>
      <c r="E82">
        <v>135120</v>
      </c>
    </row>
    <row r="83" spans="1:5" x14ac:dyDescent="0.3">
      <c r="A83" s="1">
        <v>45739</v>
      </c>
      <c r="B83">
        <v>477</v>
      </c>
      <c r="C83">
        <f>SUM($B$2:B83)</f>
        <v>34703</v>
      </c>
      <c r="D83">
        <v>153507</v>
      </c>
      <c r="E83">
        <v>134010</v>
      </c>
    </row>
    <row r="84" spans="1:5" x14ac:dyDescent="0.3">
      <c r="A84" s="1">
        <v>45740</v>
      </c>
      <c r="B84">
        <v>389</v>
      </c>
      <c r="C84">
        <f>SUM($B$2:B84)</f>
        <v>35092</v>
      </c>
      <c r="D84">
        <v>154801</v>
      </c>
      <c r="E84">
        <v>132887</v>
      </c>
    </row>
    <row r="85" spans="1:5" x14ac:dyDescent="0.3">
      <c r="A85" s="1">
        <v>45741</v>
      </c>
      <c r="B85">
        <v>336</v>
      </c>
      <c r="C85">
        <f>SUM($B$2:B85)</f>
        <v>35428</v>
      </c>
      <c r="D85">
        <v>155962</v>
      </c>
      <c r="E85">
        <v>131890</v>
      </c>
    </row>
    <row r="86" spans="1:5" x14ac:dyDescent="0.3">
      <c r="A86" s="1">
        <v>45742</v>
      </c>
      <c r="B86">
        <v>375</v>
      </c>
      <c r="C86">
        <f>SUM($B$2:B86)</f>
        <v>35803</v>
      </c>
      <c r="D86">
        <v>157307</v>
      </c>
      <c r="E86">
        <v>130783</v>
      </c>
    </row>
    <row r="87" spans="1:5" x14ac:dyDescent="0.3">
      <c r="A87" s="1">
        <v>45743</v>
      </c>
      <c r="B87">
        <v>431</v>
      </c>
      <c r="C87">
        <f>SUM($B$2:B87)</f>
        <v>36234</v>
      </c>
      <c r="D87">
        <v>158793</v>
      </c>
      <c r="E87">
        <v>129646</v>
      </c>
    </row>
    <row r="88" spans="1:5" x14ac:dyDescent="0.3">
      <c r="A88" s="1">
        <v>45744</v>
      </c>
      <c r="B88">
        <v>389</v>
      </c>
      <c r="C88">
        <f>SUM($B$2:B88)</f>
        <v>36623</v>
      </c>
      <c r="D88">
        <v>160207</v>
      </c>
      <c r="E88">
        <v>128679</v>
      </c>
    </row>
    <row r="89" spans="1:5" x14ac:dyDescent="0.3">
      <c r="A89" s="1">
        <v>45745</v>
      </c>
      <c r="B89">
        <v>535</v>
      </c>
      <c r="C89">
        <f>SUM($B$2:B89)</f>
        <v>37158</v>
      </c>
      <c r="D89">
        <v>161671</v>
      </c>
      <c r="E89">
        <v>127458</v>
      </c>
    </row>
    <row r="90" spans="1:5" x14ac:dyDescent="0.3">
      <c r="A90" s="1">
        <v>45746</v>
      </c>
      <c r="B90">
        <v>706</v>
      </c>
      <c r="C90">
        <f>SUM($B$2:B90)</f>
        <v>37864</v>
      </c>
      <c r="D90">
        <v>163089</v>
      </c>
      <c r="E90">
        <v>126247</v>
      </c>
    </row>
    <row r="91" spans="1:5" x14ac:dyDescent="0.3">
      <c r="A91" s="1">
        <v>45747</v>
      </c>
      <c r="B91">
        <v>749</v>
      </c>
      <c r="C91">
        <f>SUM($B$2:B91)</f>
        <v>38613</v>
      </c>
      <c r="D91">
        <v>164506</v>
      </c>
      <c r="E91">
        <v>125060</v>
      </c>
    </row>
    <row r="92" spans="1:5" x14ac:dyDescent="0.3">
      <c r="A92" s="1">
        <v>45748</v>
      </c>
      <c r="B92">
        <v>315</v>
      </c>
      <c r="C92">
        <f>SUM($B$2:B92)</f>
        <v>38928</v>
      </c>
      <c r="D92">
        <v>165561</v>
      </c>
      <c r="E92">
        <v>124264</v>
      </c>
    </row>
    <row r="93" spans="1:5" x14ac:dyDescent="0.3">
      <c r="A93" s="1">
        <v>45749</v>
      </c>
      <c r="B93">
        <v>338</v>
      </c>
      <c r="C93">
        <f>SUM($B$2:B93)</f>
        <v>39266</v>
      </c>
      <c r="D93">
        <v>167118</v>
      </c>
      <c r="E93">
        <v>122937</v>
      </c>
    </row>
    <row r="94" spans="1:5" x14ac:dyDescent="0.3">
      <c r="A94" s="1">
        <v>45750</v>
      </c>
      <c r="B94">
        <v>336</v>
      </c>
      <c r="C94">
        <f>SUM($B$2:B94)</f>
        <v>39602</v>
      </c>
      <c r="D94">
        <v>168805</v>
      </c>
      <c r="E94">
        <v>121560</v>
      </c>
    </row>
    <row r="95" spans="1:5" x14ac:dyDescent="0.3">
      <c r="A95" s="1">
        <v>45751</v>
      </c>
      <c r="B95">
        <v>263</v>
      </c>
      <c r="C95">
        <f>SUM($B$2:B95)</f>
        <v>39865</v>
      </c>
      <c r="D95">
        <v>170777</v>
      </c>
      <c r="E95">
        <v>119889</v>
      </c>
    </row>
    <row r="96" spans="1:5" x14ac:dyDescent="0.3">
      <c r="A96" s="1">
        <v>45752</v>
      </c>
      <c r="B96">
        <v>340</v>
      </c>
      <c r="C96">
        <f>SUM($B$2:B96)</f>
        <v>40205</v>
      </c>
      <c r="D96">
        <v>172241</v>
      </c>
      <c r="E96">
        <v>118649</v>
      </c>
    </row>
    <row r="97" spans="1:5" x14ac:dyDescent="0.3">
      <c r="A97" s="1">
        <v>45753</v>
      </c>
      <c r="B97">
        <v>361</v>
      </c>
      <c r="C97">
        <f>SUM($B$2:B97)</f>
        <v>40566</v>
      </c>
      <c r="D97">
        <v>173153</v>
      </c>
      <c r="E97">
        <v>118026</v>
      </c>
    </row>
    <row r="98" spans="1:5" x14ac:dyDescent="0.3">
      <c r="A98" s="1">
        <v>45754</v>
      </c>
      <c r="B98">
        <v>316</v>
      </c>
      <c r="C98">
        <f>SUM($B$2:B98)</f>
        <v>40882</v>
      </c>
      <c r="D98">
        <v>174175</v>
      </c>
      <c r="E98">
        <v>117262</v>
      </c>
    </row>
    <row r="99" spans="1:5" x14ac:dyDescent="0.3">
      <c r="A99" s="1">
        <v>45755</v>
      </c>
      <c r="B99">
        <v>301</v>
      </c>
      <c r="C99">
        <f>SUM($B$2:B99)</f>
        <v>41183</v>
      </c>
      <c r="D99">
        <v>175249</v>
      </c>
      <c r="E99">
        <v>116472</v>
      </c>
    </row>
    <row r="100" spans="1:5" x14ac:dyDescent="0.3">
      <c r="A100" s="1">
        <v>45756</v>
      </c>
      <c r="B100">
        <v>288</v>
      </c>
      <c r="C100">
        <f>SUM($B$2:B100)</f>
        <v>41471</v>
      </c>
      <c r="D100">
        <v>176325</v>
      </c>
      <c r="E100">
        <v>115712</v>
      </c>
    </row>
    <row r="101" spans="1:5" x14ac:dyDescent="0.3">
      <c r="A101" s="1">
        <v>45757</v>
      </c>
      <c r="B101">
        <v>273</v>
      </c>
      <c r="C101">
        <f>SUM($B$2:B101)</f>
        <v>41744</v>
      </c>
      <c r="D101">
        <v>177153</v>
      </c>
      <c r="E101">
        <v>115117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2A7F6-E9F5-4A40-AB7A-136B671196AC}">
  <dimension ref="A1:AB111"/>
  <sheetViews>
    <sheetView showGridLines="0" topLeftCell="A70" workbookViewId="0">
      <selection activeCell="G100" sqref="G100"/>
    </sheetView>
  </sheetViews>
  <sheetFormatPr defaultRowHeight="16.5" x14ac:dyDescent="0.3"/>
  <cols>
    <col min="1" max="1" width="11.25" bestFit="1" customWidth="1"/>
    <col min="2" max="2" width="21.375" customWidth="1"/>
    <col min="3" max="4" width="11.25" customWidth="1"/>
    <col min="5" max="5" width="12.375" bestFit="1" customWidth="1"/>
    <col min="6" max="6" width="10.875" bestFit="1" customWidth="1"/>
    <col min="7" max="7" width="12.125" bestFit="1" customWidth="1"/>
    <col min="8" max="9" width="18.125" bestFit="1" customWidth="1"/>
    <col min="14" max="14" width="9.75" bestFit="1" customWidth="1"/>
    <col min="20" max="20" width="16.125" bestFit="1" customWidth="1"/>
    <col min="22" max="22" width="10.125" bestFit="1" customWidth="1"/>
    <col min="24" max="24" width="10.875" bestFit="1" customWidth="1"/>
    <col min="26" max="27" width="10.875" bestFit="1" customWidth="1"/>
  </cols>
  <sheetData>
    <row r="1" spans="1:28" x14ac:dyDescent="0.3">
      <c r="A1" s="12"/>
      <c r="B1" s="12"/>
      <c r="C1" s="12"/>
      <c r="D1" s="12"/>
      <c r="E1" s="12" t="s">
        <v>40</v>
      </c>
      <c r="F1" s="12" t="s">
        <v>41</v>
      </c>
      <c r="G1" s="12" t="s">
        <v>42</v>
      </c>
      <c r="H1" s="12"/>
      <c r="I1" s="12"/>
      <c r="J1" s="12"/>
      <c r="K1" s="12"/>
    </row>
    <row r="2" spans="1:28" x14ac:dyDescent="0.3">
      <c r="A2" s="12"/>
      <c r="B2" s="12"/>
      <c r="C2" s="12"/>
      <c r="D2" s="12"/>
      <c r="E2" s="12" t="s">
        <v>36</v>
      </c>
      <c r="F2" s="12" t="s">
        <v>43</v>
      </c>
      <c r="G2" s="12" t="s">
        <v>37</v>
      </c>
      <c r="H2" s="12" t="s">
        <v>38</v>
      </c>
      <c r="I2" s="12"/>
      <c r="J2" s="12"/>
      <c r="K2" s="12"/>
    </row>
    <row r="3" spans="1:28" x14ac:dyDescent="0.3">
      <c r="A3" s="12"/>
      <c r="B3" s="12"/>
      <c r="C3" s="12"/>
      <c r="D3" s="12"/>
      <c r="E3" s="12">
        <v>10000</v>
      </c>
      <c r="F3" s="12">
        <v>0</v>
      </c>
      <c r="G3" s="12">
        <f>E3*15%</f>
        <v>1500</v>
      </c>
      <c r="H3" s="12">
        <v>10000</v>
      </c>
      <c r="I3" s="12">
        <f>G3-H3</f>
        <v>-8500</v>
      </c>
      <c r="J3" s="12"/>
      <c r="K3" s="12"/>
      <c r="V3" s="12"/>
    </row>
    <row r="4" spans="1:28" x14ac:dyDescent="0.3">
      <c r="A4" s="12"/>
      <c r="B4" s="12"/>
      <c r="C4" s="12"/>
      <c r="D4" s="12"/>
      <c r="E4" s="12">
        <v>60000</v>
      </c>
      <c r="F4" s="12"/>
      <c r="G4" s="12">
        <f>E4*15%</f>
        <v>9000</v>
      </c>
      <c r="H4" s="12">
        <v>10000</v>
      </c>
      <c r="I4" s="12">
        <f>G4-H4</f>
        <v>-1000</v>
      </c>
      <c r="J4" s="12"/>
      <c r="K4" s="12"/>
      <c r="U4" t="s">
        <v>229</v>
      </c>
      <c r="V4" s="12">
        <v>23018</v>
      </c>
    </row>
    <row r="5" spans="1:28" x14ac:dyDescent="0.3">
      <c r="A5" s="12"/>
      <c r="B5" s="2">
        <f t="shared" ref="B5:D5" si="0">B11/C11-1</f>
        <v>0.25</v>
      </c>
      <c r="C5" s="2">
        <f t="shared" si="0"/>
        <v>0.33333333333333326</v>
      </c>
      <c r="D5" s="2">
        <f t="shared" si="0"/>
        <v>0.5</v>
      </c>
      <c r="E5" s="12">
        <f>E11/F11-1</f>
        <v>1</v>
      </c>
      <c r="F5" s="12"/>
      <c r="G5" s="12"/>
      <c r="H5" s="12"/>
      <c r="I5" s="12"/>
      <c r="J5" s="12"/>
      <c r="K5" s="12"/>
      <c r="N5">
        <v>50000</v>
      </c>
      <c r="U5" t="s">
        <v>227</v>
      </c>
      <c r="V5" s="12">
        <v>2000</v>
      </c>
      <c r="X5" t="s">
        <v>228</v>
      </c>
      <c r="Y5" s="18">
        <v>0.15</v>
      </c>
    </row>
    <row r="6" spans="1:28" x14ac:dyDescent="0.3">
      <c r="A6" s="12" t="s">
        <v>106</v>
      </c>
      <c r="B6" s="2">
        <f>B8/C8-1</f>
        <v>0.25000000000000333</v>
      </c>
      <c r="C6" s="2">
        <f>C8/D8-1</f>
        <v>0.33333333333333393</v>
      </c>
      <c r="D6" s="2">
        <f>D8/E8-1</f>
        <v>0.49999999999999911</v>
      </c>
      <c r="E6" s="2">
        <f>E8/F8-1</f>
        <v>0.62839309043402514</v>
      </c>
      <c r="F6" s="12"/>
      <c r="G6" s="12"/>
      <c r="H6" s="12" t="s">
        <v>105</v>
      </c>
      <c r="I6" s="12"/>
      <c r="J6" s="12"/>
      <c r="K6" s="12"/>
      <c r="U6" t="s">
        <v>230</v>
      </c>
      <c r="V6" s="12">
        <f>V5/Y5</f>
        <v>13333.333333333334</v>
      </c>
    </row>
    <row r="7" spans="1:28" x14ac:dyDescent="0.3">
      <c r="A7" t="s">
        <v>103</v>
      </c>
      <c r="B7" t="s">
        <v>117</v>
      </c>
      <c r="C7" t="s">
        <v>117</v>
      </c>
      <c r="D7" t="s">
        <v>117</v>
      </c>
      <c r="E7" s="12" t="s">
        <v>104</v>
      </c>
      <c r="F7" s="12" t="s">
        <v>104</v>
      </c>
      <c r="G7" s="12" t="s">
        <v>120</v>
      </c>
      <c r="H7" s="12" t="s">
        <v>107</v>
      </c>
      <c r="N7">
        <v>30000</v>
      </c>
      <c r="U7" t="s">
        <v>231</v>
      </c>
      <c r="V7" s="39">
        <f>V4*1%</f>
        <v>230.18</v>
      </c>
    </row>
    <row r="8" spans="1:28" x14ac:dyDescent="0.3">
      <c r="A8" s="12" t="s">
        <v>36</v>
      </c>
      <c r="B8" s="7">
        <v>156501.11607142899</v>
      </c>
      <c r="C8" s="7">
        <v>125200.89285714286</v>
      </c>
      <c r="D8" s="7">
        <v>93900.669642857101</v>
      </c>
      <c r="E8" s="7">
        <v>62600.446428571435</v>
      </c>
      <c r="F8" s="7">
        <v>38443.080357142862</v>
      </c>
      <c r="G8" s="7">
        <v>10397.205750954434</v>
      </c>
      <c r="H8" t="s">
        <v>108</v>
      </c>
      <c r="I8" s="12" t="s">
        <v>45</v>
      </c>
      <c r="J8" s="7">
        <v>64</v>
      </c>
      <c r="K8" s="7">
        <v>64</v>
      </c>
      <c r="L8" s="7">
        <v>50</v>
      </c>
      <c r="N8">
        <f>N5*25%</f>
        <v>12500</v>
      </c>
      <c r="V8" s="12"/>
      <c r="X8" s="25">
        <f>V5/13%</f>
        <v>15384.615384615385</v>
      </c>
      <c r="Z8" s="25">
        <f>V5/15%</f>
        <v>13333.333333333334</v>
      </c>
      <c r="AA8" s="25">
        <f>V5/14%</f>
        <v>14285.714285714284</v>
      </c>
      <c r="AB8" s="25">
        <f>AA8-Z8</f>
        <v>952.38095238095048</v>
      </c>
    </row>
    <row r="9" spans="1:28" x14ac:dyDescent="0.3">
      <c r="A9" s="12" t="s">
        <v>37</v>
      </c>
      <c r="B9" s="17">
        <v>0.15</v>
      </c>
      <c r="C9" s="17">
        <v>0.15</v>
      </c>
      <c r="D9" s="17">
        <v>0.15</v>
      </c>
      <c r="E9" s="17">
        <v>0.15</v>
      </c>
      <c r="F9" s="17">
        <v>0.15</v>
      </c>
      <c r="G9" s="17">
        <v>0.15</v>
      </c>
      <c r="H9" t="s">
        <v>108</v>
      </c>
      <c r="I9" s="12" t="s">
        <v>46</v>
      </c>
      <c r="J9" s="7">
        <v>6.17</v>
      </c>
      <c r="K9" s="7">
        <v>6.17</v>
      </c>
      <c r="L9" s="7">
        <v>6.17</v>
      </c>
      <c r="N9">
        <f>N7*1%</f>
        <v>300</v>
      </c>
      <c r="V9" s="12"/>
    </row>
    <row r="10" spans="1:28" x14ac:dyDescent="0.3">
      <c r="A10" s="12" t="s">
        <v>39</v>
      </c>
      <c r="B10" s="7">
        <f t="shared" ref="B10:G10" si="1">B8*B9</f>
        <v>23475.167410714348</v>
      </c>
      <c r="C10" s="7">
        <f t="shared" si="1"/>
        <v>18780.133928571428</v>
      </c>
      <c r="D10" s="7">
        <f>D8*D9</f>
        <v>14085.100446428565</v>
      </c>
      <c r="E10" s="7">
        <f t="shared" si="1"/>
        <v>9390.0669642857156</v>
      </c>
      <c r="F10" s="7">
        <f t="shared" si="1"/>
        <v>5766.4620535714294</v>
      </c>
      <c r="G10" s="7">
        <f t="shared" si="1"/>
        <v>1559.5808626431651</v>
      </c>
      <c r="H10" t="s">
        <v>108</v>
      </c>
      <c r="I10" s="12" t="s">
        <v>48</v>
      </c>
      <c r="J10" s="7">
        <v>1.74</v>
      </c>
      <c r="K10" s="7">
        <v>1.74</v>
      </c>
      <c r="L10" s="7">
        <v>1.74</v>
      </c>
      <c r="T10">
        <f>23018*1%</f>
        <v>230.18</v>
      </c>
      <c r="U10">
        <f>2000/14%</f>
        <v>14285.714285714284</v>
      </c>
    </row>
    <row r="11" spans="1:28" x14ac:dyDescent="0.3">
      <c r="A11" s="12" t="s">
        <v>42</v>
      </c>
      <c r="B11" s="7">
        <v>25000</v>
      </c>
      <c r="C11" s="7">
        <v>20000</v>
      </c>
      <c r="D11" s="7">
        <v>15000</v>
      </c>
      <c r="E11" s="7">
        <v>10000</v>
      </c>
      <c r="F11" s="7">
        <v>5000</v>
      </c>
      <c r="G11" s="22">
        <f>G8*5%</f>
        <v>519.86028754772167</v>
      </c>
      <c r="H11" t="s">
        <v>110</v>
      </c>
      <c r="I11" s="12" t="s">
        <v>109</v>
      </c>
      <c r="J11" s="17">
        <v>0.15</v>
      </c>
      <c r="K11" s="12"/>
    </row>
    <row r="12" spans="1:28" x14ac:dyDescent="0.3">
      <c r="A12" s="12" t="s">
        <v>47</v>
      </c>
      <c r="B12" s="22">
        <f>B11/$J$8 * ($J$9 + $J$10)</f>
        <v>3089.84375</v>
      </c>
      <c r="C12" s="22">
        <f>C11/$J$8 * ($J$9 + $J$10)</f>
        <v>2471.875</v>
      </c>
      <c r="D12" s="22">
        <f>D11/$J$8 * ($J$9 + $J$10)</f>
        <v>1853.90625</v>
      </c>
      <c r="E12" s="22">
        <f>E11/$J$8 * (J$9 + J$10)</f>
        <v>1235.9375</v>
      </c>
      <c r="F12" s="22">
        <f>F11/$J$8 * (K$9 + K$10)</f>
        <v>617.96875</v>
      </c>
      <c r="G12" s="22">
        <f>G11/$J$8 * ($J$9 + $J$10)</f>
        <v>64.251482414101233</v>
      </c>
      <c r="H12" s="12" t="s">
        <v>111</v>
      </c>
      <c r="I12" s="12" t="s">
        <v>112</v>
      </c>
      <c r="J12" s="17">
        <v>0.01</v>
      </c>
      <c r="K12" s="17">
        <v>0.05</v>
      </c>
      <c r="L12" s="18">
        <v>0.4</v>
      </c>
      <c r="N12">
        <f>N7 + N7*15%+N8+N9</f>
        <v>47300</v>
      </c>
    </row>
    <row r="13" spans="1:28" x14ac:dyDescent="0.3">
      <c r="A13" s="12" t="s">
        <v>113</v>
      </c>
      <c r="B13" s="7">
        <f t="shared" ref="B13:G13" si="2">B8*$J$12</f>
        <v>1565.0111607142899</v>
      </c>
      <c r="C13" s="7">
        <f t="shared" si="2"/>
        <v>1252.0089285714287</v>
      </c>
      <c r="D13" s="7">
        <f t="shared" si="2"/>
        <v>939.00669642857099</v>
      </c>
      <c r="E13" s="7">
        <f t="shared" si="2"/>
        <v>626.00446428571433</v>
      </c>
      <c r="F13" s="7">
        <f t="shared" si="2"/>
        <v>384.43080357142861</v>
      </c>
      <c r="G13" s="7">
        <f t="shared" si="2"/>
        <v>103.97205750954434</v>
      </c>
      <c r="H13" s="12"/>
      <c r="I13" s="12"/>
      <c r="J13" s="12"/>
      <c r="K13" s="12"/>
      <c r="Y13">
        <v>2000</v>
      </c>
    </row>
    <row r="14" spans="1:28" x14ac:dyDescent="0.3">
      <c r="A14" s="12" t="s">
        <v>51</v>
      </c>
      <c r="B14" s="7">
        <v>1000</v>
      </c>
      <c r="C14" s="7">
        <v>1000</v>
      </c>
      <c r="D14" s="7">
        <v>1000</v>
      </c>
      <c r="E14" s="7">
        <v>1000</v>
      </c>
      <c r="F14" s="7">
        <v>1000</v>
      </c>
      <c r="G14" s="7">
        <v>1000</v>
      </c>
      <c r="H14" s="12"/>
      <c r="I14" s="12"/>
      <c r="J14" s="12"/>
      <c r="K14" s="12"/>
      <c r="N14">
        <f>N12/N8</f>
        <v>3.7839999999999998</v>
      </c>
      <c r="Y14">
        <f>Y13/14%</f>
        <v>14285.714285714284</v>
      </c>
    </row>
    <row r="15" spans="1:28" x14ac:dyDescent="0.3">
      <c r="G15" s="12"/>
      <c r="H15" s="12"/>
      <c r="I15" s="12"/>
      <c r="J15" s="12"/>
      <c r="K15" s="12"/>
    </row>
    <row r="16" spans="1:28" x14ac:dyDescent="0.3">
      <c r="A16" s="12" t="s">
        <v>39</v>
      </c>
      <c r="B16" s="12">
        <f>B10+B12-B11-B13</f>
        <v>5.8207660913467407E-11</v>
      </c>
      <c r="C16" s="12">
        <f>C10+C12-C11-C13</f>
        <v>0</v>
      </c>
      <c r="D16" s="12">
        <f>D10+D12-D11-D13</f>
        <v>-5.7980287238024175E-12</v>
      </c>
      <c r="E16" s="12">
        <f>E10+E12-E11-E13</f>
        <v>1.2505552149377763E-12</v>
      </c>
      <c r="F16" s="12">
        <f>F10+F12-F11-F13-F14</f>
        <v>0</v>
      </c>
      <c r="G16" s="12">
        <f>G10+G12-G11-G13-G14</f>
        <v>0</v>
      </c>
      <c r="H16" s="12"/>
      <c r="I16" s="12"/>
      <c r="J16" s="12" t="s">
        <v>115</v>
      </c>
      <c r="K16" s="12" t="s">
        <v>114</v>
      </c>
      <c r="Y16">
        <f>Y14*15%</f>
        <v>2142.8571428571427</v>
      </c>
      <c r="AA16">
        <v>30000</v>
      </c>
      <c r="AB16">
        <f>AA16*1%</f>
        <v>300</v>
      </c>
    </row>
    <row r="17" spans="1:27" x14ac:dyDescent="0.3">
      <c r="A17" s="12"/>
      <c r="B17" s="12"/>
      <c r="C17" s="12"/>
      <c r="D17" s="12"/>
      <c r="E17" s="17"/>
      <c r="F17" s="17"/>
      <c r="G17" s="12"/>
      <c r="H17" s="12"/>
      <c r="I17" s="12" t="s">
        <v>116</v>
      </c>
      <c r="J17" s="12">
        <v>5200</v>
      </c>
      <c r="K17">
        <v>10000</v>
      </c>
      <c r="N17" s="20"/>
      <c r="Y17">
        <f>Y16-Y13</f>
        <v>142.85714285714266</v>
      </c>
      <c r="AA17">
        <f>25000-Y16</f>
        <v>22857.142857142859</v>
      </c>
    </row>
    <row r="18" spans="1:27" x14ac:dyDescent="0.3">
      <c r="A18" s="12"/>
      <c r="B18" s="12"/>
      <c r="C18" s="12"/>
      <c r="D18" s="12"/>
      <c r="E18" s="17"/>
      <c r="F18" s="17"/>
      <c r="G18" s="12"/>
      <c r="H18" s="12"/>
      <c r="I18" s="12" t="s">
        <v>115</v>
      </c>
      <c r="J18" s="12">
        <f>J17*15%</f>
        <v>780</v>
      </c>
      <c r="K18" s="12"/>
      <c r="T18" s="7">
        <f>64*200000*90</f>
        <v>1152000000</v>
      </c>
    </row>
    <row r="19" spans="1:27" x14ac:dyDescent="0.3">
      <c r="B19">
        <f>B8/B11</f>
        <v>6.2600446428571592</v>
      </c>
      <c r="C19">
        <f>C8/C11</f>
        <v>6.2600446428571423</v>
      </c>
      <c r="D19">
        <f>D8/D11</f>
        <v>6.2600446428571397</v>
      </c>
      <c r="E19">
        <f>E8/E11</f>
        <v>6.2600446428571432</v>
      </c>
      <c r="G19">
        <f>G8/G11</f>
        <v>20</v>
      </c>
      <c r="I19" t="s">
        <v>108</v>
      </c>
      <c r="J19" s="19">
        <f>K17/$K$8 * (K$9 + K$10)</f>
        <v>1235.9375</v>
      </c>
    </row>
    <row r="20" spans="1:27" x14ac:dyDescent="0.3">
      <c r="J20" s="19"/>
      <c r="M20" s="37">
        <v>28798</v>
      </c>
      <c r="N20" s="7">
        <f>2000/14%</f>
        <v>14285.714285714284</v>
      </c>
      <c r="O20" s="36">
        <f>M20-N20</f>
        <v>14512.285714285716</v>
      </c>
      <c r="P20" s="38">
        <f>M20*1%</f>
        <v>287.98</v>
      </c>
    </row>
    <row r="21" spans="1:27" x14ac:dyDescent="0.3">
      <c r="B21" t="s">
        <v>121</v>
      </c>
      <c r="C21" t="s">
        <v>135</v>
      </c>
      <c r="W21">
        <v>10695</v>
      </c>
    </row>
    <row r="22" spans="1:27" x14ac:dyDescent="0.3">
      <c r="B22" t="s">
        <v>134</v>
      </c>
      <c r="C22" t="s">
        <v>133</v>
      </c>
      <c r="D22" t="s">
        <v>142</v>
      </c>
      <c r="W22">
        <f>W21*15%</f>
        <v>1604.25</v>
      </c>
    </row>
    <row r="23" spans="1:27" x14ac:dyDescent="0.3">
      <c r="B23" t="s">
        <v>118</v>
      </c>
      <c r="C23" t="s">
        <v>130</v>
      </c>
      <c r="W23">
        <f>5000*25%</f>
        <v>1250</v>
      </c>
    </row>
    <row r="24" spans="1:27" x14ac:dyDescent="0.3">
      <c r="B24" t="s">
        <v>139</v>
      </c>
      <c r="C24" t="s">
        <v>140</v>
      </c>
      <c r="D24" s="18">
        <v>0.15</v>
      </c>
      <c r="W24">
        <v>214</v>
      </c>
    </row>
    <row r="25" spans="1:27" x14ac:dyDescent="0.3">
      <c r="B25" t="s">
        <v>122</v>
      </c>
      <c r="C25" t="s">
        <v>131</v>
      </c>
      <c r="W25">
        <v>213.9</v>
      </c>
    </row>
    <row r="26" spans="1:27" x14ac:dyDescent="0.3">
      <c r="B26" t="s">
        <v>137</v>
      </c>
      <c r="C26" t="s">
        <v>138</v>
      </c>
      <c r="W26">
        <f>SUM(W23:W25)</f>
        <v>1677.9</v>
      </c>
    </row>
    <row r="27" spans="1:27" x14ac:dyDescent="0.3">
      <c r="B27" t="s">
        <v>123</v>
      </c>
      <c r="C27" t="s">
        <v>129</v>
      </c>
      <c r="D27" s="23">
        <f>J8</f>
        <v>64</v>
      </c>
    </row>
    <row r="28" spans="1:27" x14ac:dyDescent="0.3">
      <c r="B28" t="s">
        <v>124</v>
      </c>
      <c r="C28" t="s">
        <v>127</v>
      </c>
      <c r="D28" s="23">
        <f>SUM(J9:J10)</f>
        <v>7.91</v>
      </c>
    </row>
    <row r="29" spans="1:27" x14ac:dyDescent="0.3">
      <c r="B29" t="s">
        <v>125</v>
      </c>
      <c r="C29" t="s">
        <v>132</v>
      </c>
    </row>
    <row r="30" spans="1:27" x14ac:dyDescent="0.3">
      <c r="B30" t="s">
        <v>126</v>
      </c>
      <c r="C30" t="s">
        <v>128</v>
      </c>
      <c r="D30" s="18">
        <v>0.01</v>
      </c>
      <c r="G30">
        <v>100000</v>
      </c>
      <c r="H30">
        <f>G30*15%</f>
        <v>15000</v>
      </c>
      <c r="I30">
        <f>G30/H30</f>
        <v>6.666666666666667</v>
      </c>
    </row>
    <row r="31" spans="1:27" x14ac:dyDescent="0.3">
      <c r="B31" t="s">
        <v>143</v>
      </c>
      <c r="C31" t="s">
        <v>141</v>
      </c>
      <c r="I31">
        <f>H30*(1/12%)</f>
        <v>125000.00000000001</v>
      </c>
    </row>
    <row r="32" spans="1:27" x14ac:dyDescent="0.3">
      <c r="C32" t="s">
        <v>136</v>
      </c>
    </row>
    <row r="33" spans="2:10" x14ac:dyDescent="0.3">
      <c r="C33" s="21">
        <f>(1-D28/D27)/0.14</f>
        <v>6.2600446428571423</v>
      </c>
    </row>
    <row r="34" spans="2:10" x14ac:dyDescent="0.3">
      <c r="B34" t="s">
        <v>144</v>
      </c>
      <c r="C34" t="s">
        <v>145</v>
      </c>
    </row>
    <row r="35" spans="2:10" x14ac:dyDescent="0.3">
      <c r="C35" t="s">
        <v>146</v>
      </c>
      <c r="G35" s="26">
        <f>10000*1/14%</f>
        <v>71428.57142857142</v>
      </c>
      <c r="J35">
        <f>15000*C39</f>
        <v>107142.85714285713</v>
      </c>
    </row>
    <row r="36" spans="2:10" x14ac:dyDescent="0.3">
      <c r="C36" t="s">
        <v>147</v>
      </c>
      <c r="G36" s="26">
        <f>10000*1/12%</f>
        <v>83333.333333333343</v>
      </c>
      <c r="J36">
        <f>15000/14%</f>
        <v>107142.85714285713</v>
      </c>
    </row>
    <row r="37" spans="2:10" x14ac:dyDescent="0.3">
      <c r="C37" t="s">
        <v>148</v>
      </c>
      <c r="G37" s="2">
        <f>G36/G35-1</f>
        <v>0.16666666666666696</v>
      </c>
    </row>
    <row r="38" spans="2:10" x14ac:dyDescent="0.3">
      <c r="C38" t="s">
        <v>149</v>
      </c>
    </row>
    <row r="39" spans="2:10" x14ac:dyDescent="0.3">
      <c r="C39" s="21">
        <f>1/0.14</f>
        <v>7.1428571428571423</v>
      </c>
    </row>
    <row r="40" spans="2:10" x14ac:dyDescent="0.3">
      <c r="B40" t="s">
        <v>150</v>
      </c>
      <c r="C40" t="s">
        <v>151</v>
      </c>
    </row>
    <row r="44" spans="2:10" x14ac:dyDescent="0.3">
      <c r="B44" s="18"/>
      <c r="C44" s="24"/>
      <c r="D44" s="12"/>
      <c r="E44" s="25"/>
    </row>
    <row r="45" spans="2:10" x14ac:dyDescent="0.3">
      <c r="B45" s="18"/>
      <c r="C45" s="24"/>
      <c r="D45" s="12"/>
      <c r="E45" s="25"/>
    </row>
    <row r="46" spans="2:10" x14ac:dyDescent="0.3">
      <c r="B46" s="18"/>
      <c r="C46" s="24"/>
      <c r="D46" s="12"/>
      <c r="E46" s="25"/>
    </row>
    <row r="47" spans="2:10" x14ac:dyDescent="0.3">
      <c r="B47" s="18"/>
      <c r="C47" s="24"/>
      <c r="D47" s="12"/>
      <c r="E47" s="25"/>
    </row>
    <row r="48" spans="2:10" x14ac:dyDescent="0.3">
      <c r="B48" s="18"/>
      <c r="C48" s="24"/>
      <c r="D48" s="12"/>
      <c r="E48" s="25"/>
    </row>
    <row r="49" spans="2:5" x14ac:dyDescent="0.3">
      <c r="B49" s="18"/>
      <c r="C49" s="24"/>
      <c r="D49" s="12"/>
      <c r="E49" s="25"/>
    </row>
    <row r="50" spans="2:5" x14ac:dyDescent="0.3">
      <c r="B50" s="18"/>
      <c r="C50" s="24"/>
      <c r="D50" s="12"/>
    </row>
    <row r="51" spans="2:5" x14ac:dyDescent="0.3">
      <c r="B51" s="18"/>
      <c r="C51" s="24"/>
      <c r="D51" s="12"/>
    </row>
    <row r="52" spans="2:5" x14ac:dyDescent="0.3">
      <c r="B52" s="18"/>
      <c r="C52" s="24"/>
      <c r="D52" s="12"/>
    </row>
    <row r="53" spans="2:5" x14ac:dyDescent="0.3">
      <c r="B53" s="18"/>
      <c r="C53" s="24"/>
      <c r="D53" s="12"/>
    </row>
    <row r="54" spans="2:5" x14ac:dyDescent="0.3">
      <c r="B54" s="18"/>
      <c r="C54" s="24"/>
    </row>
    <row r="98" spans="3:15" x14ac:dyDescent="0.3">
      <c r="C98" s="7">
        <f>(13000 * 0.15)/14%</f>
        <v>13928.571428571428</v>
      </c>
    </row>
    <row r="99" spans="3:15" x14ac:dyDescent="0.3">
      <c r="C99" s="7">
        <f>13000/14%</f>
        <v>92857.142857142855</v>
      </c>
      <c r="D99">
        <f>C98/C99-1</f>
        <v>-0.85</v>
      </c>
      <c r="K99" t="s">
        <v>335</v>
      </c>
      <c r="L99" t="s">
        <v>336</v>
      </c>
      <c r="M99" t="s">
        <v>337</v>
      </c>
      <c r="N99" t="s">
        <v>338</v>
      </c>
      <c r="O99" t="s">
        <v>339</v>
      </c>
    </row>
    <row r="100" spans="3:15" x14ac:dyDescent="0.3">
      <c r="K100" t="s">
        <v>340</v>
      </c>
      <c r="L100" t="s">
        <v>341</v>
      </c>
      <c r="M100">
        <v>8528</v>
      </c>
      <c r="N100" s="2">
        <f>SUM(M100:M101)/SUM(M100:M109)</f>
        <v>0.16774213563318235</v>
      </c>
    </row>
    <row r="101" spans="3:15" x14ac:dyDescent="0.3">
      <c r="K101" t="s">
        <v>342</v>
      </c>
      <c r="L101" t="s">
        <v>343</v>
      </c>
      <c r="M101">
        <v>2286</v>
      </c>
    </row>
    <row r="102" spans="3:15" x14ac:dyDescent="0.3">
      <c r="F102" s="2"/>
      <c r="K102" t="s">
        <v>344</v>
      </c>
      <c r="L102" t="s">
        <v>345</v>
      </c>
      <c r="M102">
        <v>2320</v>
      </c>
    </row>
    <row r="103" spans="3:15" x14ac:dyDescent="0.3">
      <c r="F103" s="2"/>
      <c r="K103" t="s">
        <v>346</v>
      </c>
      <c r="L103" t="s">
        <v>347</v>
      </c>
      <c r="M103">
        <v>2415</v>
      </c>
    </row>
    <row r="104" spans="3:15" x14ac:dyDescent="0.3">
      <c r="F104" s="2"/>
      <c r="K104" t="s">
        <v>348</v>
      </c>
      <c r="L104" t="s">
        <v>349</v>
      </c>
      <c r="M104">
        <v>2965</v>
      </c>
    </row>
    <row r="105" spans="3:15" x14ac:dyDescent="0.3">
      <c r="F105" s="2"/>
      <c r="K105" t="s">
        <v>350</v>
      </c>
      <c r="L105" t="s">
        <v>351</v>
      </c>
      <c r="M105">
        <v>2872</v>
      </c>
    </row>
    <row r="106" spans="3:15" x14ac:dyDescent="0.3">
      <c r="F106" s="2"/>
      <c r="K106" t="s">
        <v>352</v>
      </c>
      <c r="L106" t="s">
        <v>353</v>
      </c>
      <c r="M106">
        <v>3131</v>
      </c>
    </row>
    <row r="107" spans="3:15" x14ac:dyDescent="0.3">
      <c r="F107" s="2"/>
      <c r="K107" t="s">
        <v>354</v>
      </c>
      <c r="L107" t="s">
        <v>355</v>
      </c>
      <c r="M107">
        <v>3489</v>
      </c>
    </row>
    <row r="108" spans="3:15" x14ac:dyDescent="0.3">
      <c r="F108" s="2"/>
      <c r="K108" t="s">
        <v>356</v>
      </c>
      <c r="L108" t="s">
        <v>357</v>
      </c>
      <c r="M108">
        <v>4165</v>
      </c>
    </row>
    <row r="109" spans="3:15" x14ac:dyDescent="0.3">
      <c r="F109" s="2"/>
      <c r="K109" t="s">
        <v>358</v>
      </c>
      <c r="L109" t="s">
        <v>359</v>
      </c>
      <c r="M109">
        <v>32297</v>
      </c>
    </row>
    <row r="110" spans="3:15" x14ac:dyDescent="0.3">
      <c r="F110" s="2"/>
      <c r="K110" t="s">
        <v>360</v>
      </c>
      <c r="L110" t="s">
        <v>10</v>
      </c>
      <c r="M110" t="s">
        <v>361</v>
      </c>
      <c r="N110" t="s">
        <v>362</v>
      </c>
    </row>
    <row r="111" spans="3:15" x14ac:dyDescent="0.3">
      <c r="F111" s="2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490E-497B-4B1D-AFED-AB0DD55B64AF}">
  <dimension ref="A1:AF246"/>
  <sheetViews>
    <sheetView showGridLines="0" topLeftCell="A16" zoomScale="85" zoomScaleNormal="85" workbookViewId="0">
      <selection activeCell="L45" sqref="L45"/>
    </sheetView>
  </sheetViews>
  <sheetFormatPr defaultRowHeight="16.5" x14ac:dyDescent="0.3"/>
  <cols>
    <col min="1" max="1" width="14.75" style="50" customWidth="1"/>
    <col min="2" max="2" width="14" style="56" customWidth="1"/>
    <col min="3" max="3" width="10.125" style="50" bestFit="1" customWidth="1"/>
    <col min="4" max="4" width="9.625" style="50" bestFit="1" customWidth="1"/>
    <col min="5" max="5" width="9.375" style="50" bestFit="1" customWidth="1"/>
    <col min="6" max="6" width="9.625" style="50" bestFit="1" customWidth="1"/>
    <col min="7" max="7" width="10.5" style="50" bestFit="1" customWidth="1"/>
    <col min="8" max="8" width="15" style="50" bestFit="1" customWidth="1"/>
    <col min="9" max="9" width="13.625" style="50" bestFit="1" customWidth="1"/>
    <col min="10" max="10" width="11.125" style="50" customWidth="1"/>
    <col min="11" max="11" width="11.125" style="50" bestFit="1" customWidth="1"/>
    <col min="12" max="12" width="13.625" style="50" bestFit="1" customWidth="1"/>
    <col min="13" max="13" width="11.125" style="50" bestFit="1" customWidth="1"/>
    <col min="14" max="14" width="15.125" style="50" bestFit="1" customWidth="1"/>
    <col min="15" max="15" width="9.25" style="50" bestFit="1" customWidth="1"/>
    <col min="16" max="16" width="9.625" style="50" bestFit="1" customWidth="1"/>
    <col min="17" max="17" width="12.5" style="50" customWidth="1"/>
    <col min="18" max="18" width="9.25" style="50" customWidth="1"/>
    <col min="19" max="19" width="7.875" style="50" bestFit="1" customWidth="1"/>
    <col min="20" max="20" width="15.875" style="50" bestFit="1" customWidth="1"/>
    <col min="21" max="21" width="17.25" style="50" bestFit="1" customWidth="1"/>
    <col min="22" max="22" width="10" style="50" bestFit="1" customWidth="1"/>
    <col min="23" max="23" width="15.25" style="50" bestFit="1" customWidth="1"/>
    <col min="24" max="24" width="15.375" style="50" bestFit="1" customWidth="1"/>
    <col min="25" max="25" width="16" style="50" bestFit="1" customWidth="1"/>
    <col min="26" max="26" width="9" style="50"/>
    <col min="27" max="30" width="12.25" style="50" customWidth="1"/>
    <col min="31" max="32" width="9.125" style="50" bestFit="1" customWidth="1"/>
    <col min="33" max="37" width="9" style="50"/>
    <col min="38" max="38" width="9.125" style="50" customWidth="1"/>
    <col min="39" max="16384" width="9" style="50"/>
  </cols>
  <sheetData>
    <row r="1" spans="1:32" ht="20.25" x14ac:dyDescent="0.3">
      <c r="A1" s="95" t="s">
        <v>329</v>
      </c>
    </row>
    <row r="2" spans="1:32" x14ac:dyDescent="0.3">
      <c r="I2" s="96" t="s">
        <v>331</v>
      </c>
    </row>
    <row r="3" spans="1:32" x14ac:dyDescent="0.3">
      <c r="A3" s="50" t="s">
        <v>330</v>
      </c>
    </row>
    <row r="4" spans="1:32" x14ac:dyDescent="0.3">
      <c r="A4" s="88" t="s">
        <v>323</v>
      </c>
    </row>
    <row r="5" spans="1:32" x14ac:dyDescent="0.3">
      <c r="A5" s="88" t="s">
        <v>324</v>
      </c>
    </row>
    <row r="6" spans="1:32" x14ac:dyDescent="0.3">
      <c r="A6" s="88" t="s">
        <v>325</v>
      </c>
    </row>
    <row r="7" spans="1:32" x14ac:dyDescent="0.3">
      <c r="A7" s="88" t="s">
        <v>326</v>
      </c>
    </row>
    <row r="9" spans="1:32" x14ac:dyDescent="0.3">
      <c r="A9" s="50" t="s">
        <v>332</v>
      </c>
    </row>
    <row r="10" spans="1:32" x14ac:dyDescent="0.3">
      <c r="A10" s="50" t="s">
        <v>327</v>
      </c>
    </row>
    <row r="12" spans="1:32" ht="17.25" x14ac:dyDescent="0.3">
      <c r="A12" s="94" t="s">
        <v>320</v>
      </c>
      <c r="B12" s="58"/>
      <c r="F12" s="94" t="s">
        <v>304</v>
      </c>
      <c r="K12" s="94" t="s">
        <v>306</v>
      </c>
    </row>
    <row r="13" spans="1:32" x14ac:dyDescent="0.3">
      <c r="A13" s="50" t="s">
        <v>321</v>
      </c>
      <c r="B13" s="58"/>
      <c r="F13" s="50" t="s">
        <v>334</v>
      </c>
      <c r="K13" s="50" t="s">
        <v>319</v>
      </c>
    </row>
    <row r="14" spans="1:32" x14ac:dyDescent="0.3">
      <c r="A14" s="49" t="s">
        <v>307</v>
      </c>
      <c r="B14" s="49" t="s">
        <v>294</v>
      </c>
      <c r="C14" s="59" t="s">
        <v>295</v>
      </c>
      <c r="D14" s="49" t="s">
        <v>282</v>
      </c>
      <c r="F14" s="49" t="s">
        <v>294</v>
      </c>
      <c r="G14" s="49" t="s">
        <v>291</v>
      </c>
      <c r="H14" s="49" t="s">
        <v>292</v>
      </c>
      <c r="I14" s="49" t="s">
        <v>293</v>
      </c>
      <c r="K14" s="84" t="s">
        <v>298</v>
      </c>
      <c r="L14" s="84" t="s">
        <v>287</v>
      </c>
      <c r="M14" s="84" t="s">
        <v>250</v>
      </c>
      <c r="N14" s="84" t="s">
        <v>297</v>
      </c>
    </row>
    <row r="15" spans="1:32" x14ac:dyDescent="0.3">
      <c r="A15" s="86" t="s">
        <v>308</v>
      </c>
      <c r="B15" s="51" t="s">
        <v>298</v>
      </c>
      <c r="C15" s="52">
        <v>0.2</v>
      </c>
      <c r="D15" s="53">
        <v>0.5</v>
      </c>
      <c r="F15" s="51" t="s">
        <v>285</v>
      </c>
      <c r="G15" s="62">
        <f ca="1">COUNTIF(P42:P241,"&gt;0") / COUNTIF(P42:P241,"&lt;0")</f>
        <v>3.6511627906976742</v>
      </c>
      <c r="H15" s="62">
        <f ca="1">COUNTIF(Q42:Q241,"&gt;0") / COUNTIF(Q42:Q241,"&lt;0")</f>
        <v>0.51515151515151514</v>
      </c>
      <c r="I15" s="63">
        <f ca="1">G15/H15</f>
        <v>7.0875512995896033</v>
      </c>
      <c r="K15" s="53">
        <v>0.2</v>
      </c>
      <c r="L15" s="83">
        <f ca="1">G18</f>
        <v>688.62964156110775</v>
      </c>
      <c r="M15" s="83">
        <f ca="1">G19</f>
        <v>1831.477153202309</v>
      </c>
      <c r="N15" s="69">
        <f ca="1">G23</f>
        <v>137725.92831222154</v>
      </c>
      <c r="AE15" s="65"/>
    </row>
    <row r="16" spans="1:32" x14ac:dyDescent="0.3">
      <c r="A16" s="87"/>
      <c r="B16" s="51" t="s">
        <v>299</v>
      </c>
      <c r="C16" s="52">
        <v>0.15</v>
      </c>
      <c r="D16" s="53">
        <v>0.5</v>
      </c>
      <c r="F16" s="51" t="s">
        <v>286</v>
      </c>
      <c r="G16" s="62">
        <f ca="1">SUMIF(P42:P241,"&gt;0") / ABS( SUMIF(P42:P241,"&lt;0"))</f>
        <v>2.9112563394536317</v>
      </c>
      <c r="H16" s="62">
        <f ca="1">SUMIF(Q42:Q241,"&gt;0") / ABS( SUMIF(Q42:Q241,"&lt;0"))</f>
        <v>0.21052855183513616</v>
      </c>
      <c r="I16" s="63">
        <f ca="1">G16/H16</f>
        <v>13.828320738810866</v>
      </c>
      <c r="K16" s="53">
        <v>0.25</v>
      </c>
      <c r="L16" s="69">
        <f t="dataTable" ref="L16:N23" dt2D="0" dtr="0" r1="C15" ca="1"/>
        <v>350.31247912080494</v>
      </c>
      <c r="M16" s="69">
        <v>1694.8232034625876</v>
      </c>
      <c r="N16" s="69">
        <v>70062.495824160986</v>
      </c>
      <c r="R16" s="61"/>
      <c r="AC16" s="65"/>
      <c r="AF16" s="66"/>
    </row>
    <row r="17" spans="1:32" x14ac:dyDescent="0.3">
      <c r="A17" s="86" t="s">
        <v>309</v>
      </c>
      <c r="B17" s="51" t="s">
        <v>310</v>
      </c>
      <c r="C17" s="67">
        <v>0.03</v>
      </c>
      <c r="D17" s="51" t="s">
        <v>300</v>
      </c>
      <c r="F17" s="51" t="s">
        <v>284</v>
      </c>
      <c r="G17" s="52">
        <f ca="1">G15/(1+G15)</f>
        <v>0.78500000000000003</v>
      </c>
      <c r="H17" s="52">
        <f ca="1">H15/(1+H15)</f>
        <v>0.33999999999999997</v>
      </c>
      <c r="I17" s="52">
        <f t="shared" ref="I17" ca="1" si="0">G17/H17-1</f>
        <v>1.3088235294117649</v>
      </c>
      <c r="K17" s="53">
        <v>0.3</v>
      </c>
      <c r="L17" s="69">
        <v>446.02316393091428</v>
      </c>
      <c r="M17" s="69">
        <v>1734.0732624300315</v>
      </c>
      <c r="N17" s="69">
        <v>89204.632786182861</v>
      </c>
      <c r="O17" s="68"/>
      <c r="AC17" s="65"/>
      <c r="AF17" s="66"/>
    </row>
    <row r="18" spans="1:32" x14ac:dyDescent="0.3">
      <c r="A18" s="87"/>
      <c r="B18" s="51" t="s">
        <v>311</v>
      </c>
      <c r="C18" s="67">
        <v>0.05</v>
      </c>
      <c r="D18" s="51" t="s">
        <v>301</v>
      </c>
      <c r="F18" s="51" t="s">
        <v>287</v>
      </c>
      <c r="G18" s="69">
        <f ca="1">AVERAGE(P42:P241)</f>
        <v>688.62964156110775</v>
      </c>
      <c r="H18" s="69">
        <f ca="1">AVERAGE(Q42:Q241)</f>
        <v>-2434.3693063523842</v>
      </c>
      <c r="I18" s="52">
        <f t="shared" ref="I18:I22" ca="1" si="1">ABS(G18/H18-1)</f>
        <v>1.2828780496714929</v>
      </c>
      <c r="K18" s="53">
        <v>0.35</v>
      </c>
      <c r="L18" s="69">
        <v>16.238626780478711</v>
      </c>
      <c r="M18" s="69">
        <v>2171.6573227960812</v>
      </c>
      <c r="N18" s="69">
        <v>3247.7253560957424</v>
      </c>
      <c r="AC18" s="65"/>
      <c r="AF18" s="66"/>
    </row>
    <row r="19" spans="1:32" ht="33" customHeight="1" x14ac:dyDescent="0.3">
      <c r="A19" s="86" t="s">
        <v>316</v>
      </c>
      <c r="B19" s="51" t="s">
        <v>312</v>
      </c>
      <c r="C19" s="70">
        <v>0.05</v>
      </c>
      <c r="D19" s="51" t="s">
        <v>302</v>
      </c>
      <c r="F19" s="51" t="s">
        <v>288</v>
      </c>
      <c r="G19" s="69">
        <f ca="1">_xlfn.STDEV.S(P42:P241)</f>
        <v>1831.477153202309</v>
      </c>
      <c r="H19" s="69">
        <f ca="1">_xlfn.STDEV.S(Q42:Q241)</f>
        <v>5777.1316316789143</v>
      </c>
      <c r="I19" s="52">
        <f t="shared" ca="1" si="1"/>
        <v>0.6829781161364924</v>
      </c>
      <c r="K19" s="53">
        <v>0.4</v>
      </c>
      <c r="L19" s="69">
        <v>-80.531438918172583</v>
      </c>
      <c r="M19" s="69">
        <v>2689.6963512706461</v>
      </c>
      <c r="N19" s="69">
        <v>-16106.287783634518</v>
      </c>
      <c r="AF19" s="66"/>
    </row>
    <row r="20" spans="1:32" x14ac:dyDescent="0.3">
      <c r="A20" s="86"/>
      <c r="B20" s="51" t="s">
        <v>313</v>
      </c>
      <c r="C20" s="67">
        <v>0.02</v>
      </c>
      <c r="D20" s="51" t="s">
        <v>302</v>
      </c>
      <c r="F20" s="51" t="s">
        <v>305</v>
      </c>
      <c r="G20" s="69">
        <f ca="1">G$18+_xlfn.NORM.S.INV(0.975) * G$19 / SQRT(200)</f>
        <v>942.45476064432182</v>
      </c>
      <c r="H20" s="69">
        <f ca="1">H$18+_xlfn.NORM.S.INV(0.975) * H$19 / SQRT(200)</f>
        <v>-1633.7144241408544</v>
      </c>
      <c r="I20" s="52">
        <f t="shared" ca="1" si="1"/>
        <v>1.5768785209446532</v>
      </c>
      <c r="K20" s="53">
        <v>0.45</v>
      </c>
      <c r="L20" s="69">
        <v>-256.70443683741081</v>
      </c>
      <c r="M20" s="69">
        <v>2801.6070583491282</v>
      </c>
      <c r="N20" s="69">
        <v>-51340.887367482159</v>
      </c>
      <c r="AF20" s="66"/>
    </row>
    <row r="21" spans="1:32" x14ac:dyDescent="0.3">
      <c r="A21" s="87" t="s">
        <v>317</v>
      </c>
      <c r="B21" s="51" t="s">
        <v>314</v>
      </c>
      <c r="C21" s="67">
        <v>0.1</v>
      </c>
      <c r="D21" s="51" t="s">
        <v>303</v>
      </c>
      <c r="F21" s="51" t="s">
        <v>289</v>
      </c>
      <c r="G21" s="69">
        <f ca="1">G$18-_xlfn.NORM.S.INV(0.975) * G$19 / SQRT(200)</f>
        <v>434.80452247789373</v>
      </c>
      <c r="H21" s="69">
        <f ca="1">H$18-_xlfn.NORM.S.INV(0.975) * H$19 / SQRT(200)</f>
        <v>-3235.0241885639143</v>
      </c>
      <c r="I21" s="52">
        <f t="shared" ca="1" si="1"/>
        <v>1.1344053389198649</v>
      </c>
      <c r="K21" s="53">
        <v>0.5</v>
      </c>
      <c r="L21" s="69">
        <v>-274.23688760603471</v>
      </c>
      <c r="M21" s="69">
        <v>2667.7440513648762</v>
      </c>
      <c r="N21" s="69">
        <v>-54847.377521206945</v>
      </c>
      <c r="AF21" s="66"/>
    </row>
    <row r="22" spans="1:32" x14ac:dyDescent="0.3">
      <c r="A22" s="87"/>
      <c r="B22" s="51" t="s">
        <v>315</v>
      </c>
      <c r="C22" s="67">
        <v>0.05</v>
      </c>
      <c r="D22" s="51" t="s">
        <v>303</v>
      </c>
      <c r="F22" s="51" t="s">
        <v>290</v>
      </c>
      <c r="G22" s="72">
        <f ca="1">AVERAGE(J42:J241)</f>
        <v>15050.754999999999</v>
      </c>
      <c r="H22" s="72">
        <f ca="1">AVERAGE(J42:J241)</f>
        <v>15050.754999999999</v>
      </c>
      <c r="I22" s="52">
        <f t="shared" ca="1" si="1"/>
        <v>0</v>
      </c>
      <c r="K22" s="53">
        <v>0.55000000000000004</v>
      </c>
      <c r="L22" s="69">
        <v>38.536781089841497</v>
      </c>
      <c r="M22" s="69">
        <v>2878.741196384763</v>
      </c>
      <c r="N22" s="69">
        <v>7707.3562179682995</v>
      </c>
      <c r="AF22" s="66"/>
    </row>
    <row r="23" spans="1:32" x14ac:dyDescent="0.3">
      <c r="A23" s="51" t="s">
        <v>318</v>
      </c>
      <c r="B23" s="51" t="s">
        <v>235</v>
      </c>
      <c r="C23" s="73">
        <v>1</v>
      </c>
      <c r="D23" s="51" t="s">
        <v>303</v>
      </c>
      <c r="F23" s="51" t="s">
        <v>322</v>
      </c>
      <c r="G23" s="72">
        <f ca="1">SUM(P42:P241)</f>
        <v>137725.92831222154</v>
      </c>
      <c r="H23" s="72">
        <f ca="1">SUM(Q42:Q241)</f>
        <v>-486873.86127047683</v>
      </c>
      <c r="I23" s="52">
        <f ca="1">ABS(G23/H23-1)</f>
        <v>1.2828780496714929</v>
      </c>
      <c r="J23" s="74"/>
      <c r="K23" s="53">
        <v>0.6</v>
      </c>
      <c r="L23" s="69">
        <v>-326.6364623719565</v>
      </c>
      <c r="M23" s="69">
        <v>3003.097219218093</v>
      </c>
      <c r="N23" s="69">
        <v>-65327.292474391295</v>
      </c>
      <c r="AF23" s="66"/>
    </row>
    <row r="24" spans="1:32" x14ac:dyDescent="0.3">
      <c r="B24" s="65"/>
      <c r="E24" s="61"/>
      <c r="F24" s="61"/>
      <c r="G24" s="71"/>
      <c r="I24" s="74"/>
      <c r="J24" s="61"/>
      <c r="M24" s="61"/>
      <c r="AF24" s="66"/>
    </row>
    <row r="25" spans="1:32" x14ac:dyDescent="0.3">
      <c r="B25" s="65"/>
      <c r="E25" s="61"/>
      <c r="F25" s="61"/>
      <c r="G25" s="71"/>
      <c r="I25" s="74"/>
      <c r="J25" s="61"/>
      <c r="M25" s="61"/>
      <c r="AF25" s="66"/>
    </row>
    <row r="26" spans="1:32" x14ac:dyDescent="0.3">
      <c r="B26" s="65"/>
      <c r="E26" s="61"/>
      <c r="F26" s="61"/>
      <c r="G26" s="71"/>
      <c r="I26" s="74"/>
      <c r="J26" s="61"/>
      <c r="M26" s="61"/>
      <c r="AF26" s="66"/>
    </row>
    <row r="27" spans="1:32" x14ac:dyDescent="0.3">
      <c r="B27" s="65"/>
      <c r="E27" s="61"/>
      <c r="F27" s="61"/>
      <c r="G27" s="71"/>
      <c r="I27" s="74"/>
      <c r="J27" s="61"/>
      <c r="M27" s="61"/>
      <c r="AF27" s="66"/>
    </row>
    <row r="28" spans="1:32" x14ac:dyDescent="0.3">
      <c r="B28" s="65"/>
      <c r="E28" s="61"/>
      <c r="F28" s="61"/>
      <c r="G28" s="71"/>
      <c r="I28" s="74"/>
      <c r="J28" s="61"/>
      <c r="M28" s="61"/>
      <c r="AF28" s="66"/>
    </row>
    <row r="29" spans="1:32" x14ac:dyDescent="0.3">
      <c r="B29" s="65"/>
      <c r="E29" s="61"/>
      <c r="F29" s="61"/>
      <c r="G29" s="71"/>
      <c r="I29" s="74"/>
      <c r="J29" s="61"/>
      <c r="M29" s="61"/>
      <c r="AF29" s="66"/>
    </row>
    <row r="30" spans="1:32" x14ac:dyDescent="0.3">
      <c r="B30" s="65"/>
      <c r="E30" s="61"/>
      <c r="F30" s="61"/>
      <c r="G30" s="71"/>
      <c r="I30" s="74"/>
      <c r="J30" s="61"/>
      <c r="M30" s="61"/>
      <c r="AF30" s="66"/>
    </row>
    <row r="31" spans="1:32" x14ac:dyDescent="0.3">
      <c r="B31" s="65"/>
      <c r="E31" s="61"/>
      <c r="F31" s="61"/>
      <c r="G31" s="71"/>
      <c r="I31" s="74"/>
      <c r="J31" s="61"/>
      <c r="M31" s="61"/>
      <c r="AF31" s="66"/>
    </row>
    <row r="32" spans="1:32" x14ac:dyDescent="0.3">
      <c r="B32" s="65"/>
      <c r="E32" s="61"/>
      <c r="F32" s="61"/>
      <c r="G32" s="71"/>
      <c r="I32" s="74"/>
      <c r="J32" s="61"/>
      <c r="M32" s="61"/>
      <c r="AF32" s="66"/>
    </row>
    <row r="33" spans="1:32" x14ac:dyDescent="0.3">
      <c r="B33" s="65"/>
      <c r="E33" s="61"/>
      <c r="F33" s="61"/>
      <c r="G33" s="71"/>
      <c r="I33" s="74"/>
      <c r="J33" s="61"/>
      <c r="M33" s="61"/>
      <c r="AF33" s="66"/>
    </row>
    <row r="34" spans="1:32" x14ac:dyDescent="0.3">
      <c r="B34" s="65"/>
      <c r="E34" s="61"/>
      <c r="F34" s="61"/>
      <c r="G34" s="71"/>
      <c r="I34" s="74"/>
      <c r="J34" s="61"/>
      <c r="M34" s="61"/>
      <c r="AF34" s="66"/>
    </row>
    <row r="35" spans="1:32" x14ac:dyDescent="0.3">
      <c r="B35" s="65"/>
      <c r="E35" s="61"/>
      <c r="F35" s="61"/>
      <c r="G35" s="71"/>
      <c r="I35" s="74"/>
      <c r="J35" s="61"/>
      <c r="M35" s="61"/>
      <c r="AF35" s="66"/>
    </row>
    <row r="36" spans="1:32" x14ac:dyDescent="0.3">
      <c r="B36" s="65"/>
      <c r="E36" s="61"/>
      <c r="F36" s="61"/>
      <c r="G36" s="71"/>
      <c r="I36" s="74"/>
      <c r="J36" s="61"/>
      <c r="M36" s="61"/>
      <c r="AF36" s="66"/>
    </row>
    <row r="37" spans="1:32" x14ac:dyDescent="0.3">
      <c r="B37" s="65"/>
      <c r="E37" s="61"/>
      <c r="F37" s="61"/>
      <c r="G37" s="71"/>
      <c r="I37" s="74"/>
      <c r="J37" s="61"/>
      <c r="M37" s="61"/>
      <c r="AF37" s="66"/>
    </row>
    <row r="38" spans="1:32" x14ac:dyDescent="0.3">
      <c r="B38" s="65"/>
      <c r="E38" s="61"/>
      <c r="F38" s="61"/>
      <c r="G38" s="71"/>
      <c r="I38" s="74"/>
      <c r="J38" s="61"/>
      <c r="M38" s="61"/>
      <c r="AF38" s="66"/>
    </row>
    <row r="39" spans="1:32" x14ac:dyDescent="0.3">
      <c r="B39" s="65"/>
      <c r="E39" s="61"/>
      <c r="F39" s="61"/>
      <c r="G39" s="71"/>
      <c r="I39" s="74"/>
      <c r="J39" s="61"/>
      <c r="M39" s="61"/>
      <c r="AF39" s="66"/>
    </row>
    <row r="40" spans="1:32" x14ac:dyDescent="0.3">
      <c r="A40" s="57" t="s">
        <v>251</v>
      </c>
      <c r="B40" s="58"/>
      <c r="S40" s="57" t="s">
        <v>333</v>
      </c>
      <c r="AF40" s="66"/>
    </row>
    <row r="41" spans="1:32" ht="33" x14ac:dyDescent="0.3">
      <c r="A41" s="89" t="s">
        <v>247</v>
      </c>
      <c r="B41" s="90" t="s">
        <v>283</v>
      </c>
      <c r="C41" s="89" t="s">
        <v>236</v>
      </c>
      <c r="D41" s="89" t="s">
        <v>237</v>
      </c>
      <c r="E41" s="89" t="s">
        <v>238</v>
      </c>
      <c r="F41" s="89" t="s">
        <v>239</v>
      </c>
      <c r="G41" s="89" t="s">
        <v>240</v>
      </c>
      <c r="H41" s="89" t="s">
        <v>241</v>
      </c>
      <c r="I41" s="89" t="s">
        <v>241</v>
      </c>
      <c r="J41" s="89" t="s">
        <v>242</v>
      </c>
      <c r="K41" s="89" t="s">
        <v>243</v>
      </c>
      <c r="L41" s="89" t="s">
        <v>244</v>
      </c>
      <c r="M41" s="89" t="s">
        <v>226</v>
      </c>
      <c r="N41" s="89" t="s">
        <v>245</v>
      </c>
      <c r="O41" s="89" t="s">
        <v>246</v>
      </c>
      <c r="P41" s="89" t="s">
        <v>322</v>
      </c>
      <c r="Q41" s="89" t="s">
        <v>328</v>
      </c>
      <c r="S41" s="75" t="s">
        <v>282</v>
      </c>
      <c r="T41" s="75" t="s">
        <v>232</v>
      </c>
      <c r="U41" s="76" t="s">
        <v>252</v>
      </c>
      <c r="V41" s="75" t="s">
        <v>233</v>
      </c>
      <c r="W41" s="76" t="s">
        <v>225</v>
      </c>
      <c r="X41" s="75" t="s">
        <v>253</v>
      </c>
      <c r="Y41" s="75" t="s">
        <v>234</v>
      </c>
      <c r="AF41" s="66"/>
    </row>
    <row r="42" spans="1:32" x14ac:dyDescent="0.3">
      <c r="A42" s="51">
        <v>1</v>
      </c>
      <c r="B42" s="91">
        <f ca="1">RAND()</f>
        <v>0.11661087522998215</v>
      </c>
      <c r="C42" s="92">
        <f ca="1">VLOOKUP(B42,표4[#Data],3)</f>
        <v>1672.5106827944833</v>
      </c>
      <c r="D42" s="67">
        <f ca="1">IF(RAND()&gt;=D$15,C$15,C$16)</f>
        <v>0.2</v>
      </c>
      <c r="E42" s="93">
        <f ca="1">C42*D42</f>
        <v>334.50213655889667</v>
      </c>
      <c r="F42" s="70">
        <f ca="1">15%-(IF(D42=20%,2%,3%))</f>
        <v>0.13</v>
      </c>
      <c r="G42" s="93">
        <f ca="1">E42/F42</f>
        <v>2573.0933581453587</v>
      </c>
      <c r="H42" s="93">
        <f ca="1">E42/(F42-2%)</f>
        <v>3040.9285141717878</v>
      </c>
      <c r="I42" s="93">
        <f ca="1">E42/(F42-5%)</f>
        <v>4181.2767069862084</v>
      </c>
      <c r="J42" s="93">
        <f ca="1">ROUND(IF(RAND()&lt;0.7,
    3200+(-4000*LN(RAND())),
    20000+(-10000*LN(RAND()))), 0)</f>
        <v>20237</v>
      </c>
      <c r="K42" s="73">
        <f ca="1">IF( G42/J42 &lt; 1, 1, ROUND(I42/J42,0))</f>
        <v>1</v>
      </c>
      <c r="L42" s="73">
        <f ca="1">IF(K42=1, IF(_xlfn.BINOM.INV(1, C$22, RAND())&gt;0, K42*2, C$23), IF(_xlfn.BINOM.INV(1, C$21, RAND())&gt;0, K42, C$23))</f>
        <v>1</v>
      </c>
      <c r="M42" s="93">
        <f ca="1">J42*L42</f>
        <v>20237</v>
      </c>
      <c r="N42" s="70">
        <f ca="1">IF(AND(K42=1, L42&gt;1), C$20, IF(AND(K42&gt;1, L42&gt;1), C$19, 0))</f>
        <v>0</v>
      </c>
      <c r="O42" s="67">
        <f ca="1">IF(D42=15%,C$18,C$17)</f>
        <v>0.03</v>
      </c>
      <c r="P42" s="93">
        <f ca="1">M42*15%-E42 -M42*N42-M42*O42</f>
        <v>2093.9378634411028</v>
      </c>
      <c r="Q42" s="93">
        <f ca="1">J42*0.15 - C42*0.8 - C42*0.01</f>
        <v>1680.8163469364683</v>
      </c>
      <c r="R42" s="66"/>
      <c r="S42" s="54">
        <v>0</v>
      </c>
      <c r="T42" s="50" t="s">
        <v>254</v>
      </c>
      <c r="U42" s="79">
        <f>W42/V42</f>
        <v>1672.5106827944833</v>
      </c>
      <c r="V42" s="80">
        <v>176920</v>
      </c>
      <c r="W42" s="81">
        <v>295900590</v>
      </c>
      <c r="X42" s="85">
        <f>SUM(V42:V$42) / SUM(V$42:V$69)</f>
        <v>0.64559447092051581</v>
      </c>
      <c r="Y42" s="85">
        <f>SUM(W42:W$42) / SUM(W$42:W$69)</f>
        <v>0.19545267606562738</v>
      </c>
      <c r="AA42" s="60"/>
      <c r="AF42" s="66"/>
    </row>
    <row r="43" spans="1:32" x14ac:dyDescent="0.3">
      <c r="A43" s="51">
        <v>2</v>
      </c>
      <c r="B43" s="91">
        <f t="shared" ref="B43:B106" ca="1" si="2">RAND()</f>
        <v>0.74951422567333137</v>
      </c>
      <c r="C43" s="92">
        <f ca="1">VLOOKUP(B43,표4[#Data],3)</f>
        <v>7164.2608066002549</v>
      </c>
      <c r="D43" s="67">
        <f ca="1">IF(RAND()&gt;=D$15,C$15,C$16)</f>
        <v>0.2</v>
      </c>
      <c r="E43" s="93">
        <f ca="1">C43*D43</f>
        <v>1432.852161320051</v>
      </c>
      <c r="F43" s="70">
        <f t="shared" ref="F43:F61" ca="1" si="3">15%-(IF(D43=20%,2%,3%))</f>
        <v>0.13</v>
      </c>
      <c r="G43" s="93">
        <f t="shared" ref="G43:G61" ca="1" si="4">E43/F43</f>
        <v>11021.93970246193</v>
      </c>
      <c r="H43" s="93">
        <f t="shared" ref="H43:H61" ca="1" si="5">E43/(F43-2%)</f>
        <v>13025.928739273191</v>
      </c>
      <c r="I43" s="93">
        <f t="shared" ref="I43:I61" ca="1" si="6">E43/(F43-5%)</f>
        <v>17910.652016500637</v>
      </c>
      <c r="J43" s="93">
        <f t="shared" ref="J43:J106" ca="1" si="7">ROUND(IF(RAND()&lt;0.7,
    3200+(-4000*LN(RAND())),
    20000+(-10000*LN(RAND()))), 0)</f>
        <v>4697</v>
      </c>
      <c r="K43" s="73">
        <f t="shared" ref="K43:K61" ca="1" si="8">IF( G43/J43 &lt; 1, 1, ROUND(I43/J43,0))</f>
        <v>4</v>
      </c>
      <c r="L43" s="73">
        <f ca="1">IF(K43=1, IF(_xlfn.BINOM.INV(1, C$22, RAND())&gt;0, K43*2, C$23), IF(_xlfn.BINOM.INV(1, C$21, RAND())&gt;0, K43, C$23))</f>
        <v>1</v>
      </c>
      <c r="M43" s="93">
        <f t="shared" ref="M43:M61" ca="1" si="9">J43*L43</f>
        <v>4697</v>
      </c>
      <c r="N43" s="70">
        <f ca="1">IF(AND(K43=1, L43&gt;1), C$20, IF(AND(K43&gt;1, L43&gt;1), C$19, 0))</f>
        <v>0</v>
      </c>
      <c r="O43" s="67">
        <f ca="1">IF(D43=15%,C$18,C$17)</f>
        <v>0.03</v>
      </c>
      <c r="P43" s="93">
        <f t="shared" ref="P43:P61" ca="1" si="10">M43*15%-E43 -M43*N43-M43*O43</f>
        <v>-869.212161320051</v>
      </c>
      <c r="Q43" s="93">
        <f ca="1">J43*0.15 - C43*0.8 - C43*0.01</f>
        <v>-5098.5012533462059</v>
      </c>
      <c r="R43" s="66"/>
      <c r="S43" s="54">
        <f>SUM(V42:V$42)/SUM(V$42:V$69)</f>
        <v>0.64559447092051581</v>
      </c>
      <c r="T43" s="50" t="s">
        <v>255</v>
      </c>
      <c r="U43" s="79">
        <f>W43/V43</f>
        <v>7164.2608066002549</v>
      </c>
      <c r="V43" s="80">
        <v>45574</v>
      </c>
      <c r="W43" s="81">
        <v>326504022</v>
      </c>
      <c r="X43" s="85">
        <f>SUM(V$42:V43) / SUM(V$42:V$69)</f>
        <v>0.8118974463768327</v>
      </c>
      <c r="Y43" s="85">
        <f>SUM(W$42:W43) / SUM(W$42:W$69)</f>
        <v>0.41111998800336458</v>
      </c>
      <c r="AA43" s="82"/>
      <c r="AF43" s="66"/>
    </row>
    <row r="44" spans="1:32" x14ac:dyDescent="0.3">
      <c r="A44" s="51">
        <v>3</v>
      </c>
      <c r="B44" s="91">
        <f t="shared" ca="1" si="2"/>
        <v>0.68990739470898277</v>
      </c>
      <c r="C44" s="92">
        <f ca="1">VLOOKUP(B44,표4[#Data],3)</f>
        <v>7164.2608066002549</v>
      </c>
      <c r="D44" s="67">
        <f ca="1">IF(RAND()&gt;=D$15,C$15,C$16)</f>
        <v>0.15</v>
      </c>
      <c r="E44" s="93">
        <f ca="1">C44*D44</f>
        <v>1074.6391209900382</v>
      </c>
      <c r="F44" s="70">
        <f t="shared" ca="1" si="3"/>
        <v>0.12</v>
      </c>
      <c r="G44" s="93">
        <f t="shared" ca="1" si="4"/>
        <v>8955.3260082503184</v>
      </c>
      <c r="H44" s="93">
        <f t="shared" ca="1" si="5"/>
        <v>10746.391209900383</v>
      </c>
      <c r="I44" s="93">
        <f t="shared" ca="1" si="6"/>
        <v>15351.987442714833</v>
      </c>
      <c r="J44" s="93">
        <f t="shared" ca="1" si="7"/>
        <v>6193</v>
      </c>
      <c r="K44" s="73">
        <f t="shared" ca="1" si="8"/>
        <v>2</v>
      </c>
      <c r="L44" s="73">
        <f ca="1">IF(K44=1, IF(_xlfn.BINOM.INV(1, C$22, RAND())&gt;0, K44*2, C$23), IF(_xlfn.BINOM.INV(1, C$21, RAND())&gt;0, K44, C$23))</f>
        <v>1</v>
      </c>
      <c r="M44" s="93">
        <f t="shared" ca="1" si="9"/>
        <v>6193</v>
      </c>
      <c r="N44" s="70">
        <f ca="1">IF(AND(K44=1, L44&gt;1), C$20, IF(AND(K44&gt;1, L44&gt;1), C$19, 0))</f>
        <v>0</v>
      </c>
      <c r="O44" s="67">
        <f ca="1">IF(D44=15%,C$18,C$17)</f>
        <v>0.05</v>
      </c>
      <c r="P44" s="93">
        <f t="shared" ca="1" si="10"/>
        <v>-455.33912099003834</v>
      </c>
      <c r="Q44" s="93">
        <f ca="1">J44*0.15 - C44*0.8 - C44*0.01</f>
        <v>-4874.1012533462062</v>
      </c>
      <c r="R44" s="66"/>
      <c r="S44" s="54">
        <f>SUM(V$42:V43)/SUM(V$42:V$69)</f>
        <v>0.8118974463768327</v>
      </c>
      <c r="T44" s="50" t="s">
        <v>256</v>
      </c>
      <c r="U44" s="79">
        <f>W44/V44</f>
        <v>12285.574360263015</v>
      </c>
      <c r="V44" s="80">
        <v>23877</v>
      </c>
      <c r="W44" s="81">
        <v>293342659</v>
      </c>
      <c r="X44" s="85">
        <f>SUM(V$42:V44) / SUM(V$42:V$69)</f>
        <v>0.89902642660614063</v>
      </c>
      <c r="Y44" s="85">
        <f>SUM(W$42:W44) / SUM(W$42:W$69)</f>
        <v>0.60488306129009506</v>
      </c>
      <c r="AA44" s="82"/>
      <c r="AF44" s="66"/>
    </row>
    <row r="45" spans="1:32" x14ac:dyDescent="0.3">
      <c r="A45" s="51">
        <v>4</v>
      </c>
      <c r="B45" s="91">
        <f t="shared" ca="1" si="2"/>
        <v>0.60051578623889368</v>
      </c>
      <c r="C45" s="92">
        <f ca="1">VLOOKUP(B45,표4[#Data],3)</f>
        <v>1672.5106827944833</v>
      </c>
      <c r="D45" s="67">
        <f ca="1">IF(RAND()&gt;=D$15,C$15,C$16)</f>
        <v>0.15</v>
      </c>
      <c r="E45" s="93">
        <f ca="1">C45*D45</f>
        <v>250.87660241917249</v>
      </c>
      <c r="F45" s="70">
        <f ca="1">15%-(IF(D45=20%,2%,3%))</f>
        <v>0.12</v>
      </c>
      <c r="G45" s="93">
        <f t="shared" ca="1" si="4"/>
        <v>2090.6383534931042</v>
      </c>
      <c r="H45" s="93">
        <f t="shared" ca="1" si="5"/>
        <v>2508.7660241917251</v>
      </c>
      <c r="I45" s="93">
        <f ca="1">E45/(F45-5%)</f>
        <v>3583.9514631310358</v>
      </c>
      <c r="J45" s="93">
        <f t="shared" ca="1" si="7"/>
        <v>9334</v>
      </c>
      <c r="K45" s="73">
        <f t="shared" ca="1" si="8"/>
        <v>1</v>
      </c>
      <c r="L45" s="73">
        <f ca="1">IF(K45=1, IF(_xlfn.BINOM.INV(1, C$22, RAND())&gt;0, K45*2, C$23), IF(_xlfn.BINOM.INV(1, C$21, RAND())&gt;0, K45, C$23))</f>
        <v>1</v>
      </c>
      <c r="M45" s="93">
        <f t="shared" ca="1" si="9"/>
        <v>9334</v>
      </c>
      <c r="N45" s="70">
        <f ca="1">IF(AND(K45=1, L45&gt;1), C$20, IF(AND(K45&gt;1, L45&gt;1), C$19, 0))</f>
        <v>0</v>
      </c>
      <c r="O45" s="67">
        <f ca="1">IF(D45=15%,C$18,C$17)</f>
        <v>0.05</v>
      </c>
      <c r="P45" s="93">
        <f ca="1">M45*15%-E45 -M45*N45-M45*O45</f>
        <v>682.52339758082735</v>
      </c>
      <c r="Q45" s="93">
        <f ca="1">J45*0.15 - C45*0.8 - C45*0.01</f>
        <v>45.36634693646841</v>
      </c>
      <c r="R45" s="66"/>
      <c r="S45" s="54">
        <f>SUM(V$42:V44)/SUM(V$42:V$69)</f>
        <v>0.89902642660614063</v>
      </c>
      <c r="T45" s="50" t="s">
        <v>257</v>
      </c>
      <c r="U45" s="79">
        <f>W45/V45</f>
        <v>17243.006404326479</v>
      </c>
      <c r="V45" s="80">
        <v>14053</v>
      </c>
      <c r="W45" s="81">
        <v>242315969</v>
      </c>
      <c r="X45" s="85">
        <f>SUM(V$42:V45) / SUM(V$42:V$69)</f>
        <v>0.95030688726545565</v>
      </c>
      <c r="Y45" s="85">
        <f>SUM(W$42:W45) / SUM(W$42:W$69)</f>
        <v>0.76494122337245385</v>
      </c>
      <c r="AA45" s="82"/>
      <c r="AF45" s="66"/>
    </row>
    <row r="46" spans="1:32" x14ac:dyDescent="0.3">
      <c r="A46" s="51">
        <v>5</v>
      </c>
      <c r="B46" s="91">
        <f t="shared" ca="1" si="2"/>
        <v>5.4883245225276434E-2</v>
      </c>
      <c r="C46" s="92">
        <f ca="1">VLOOKUP(B46,표4[#Data],3)</f>
        <v>1672.5106827944833</v>
      </c>
      <c r="D46" s="67">
        <f ca="1">IF(RAND()&gt;=D$15,C$15,C$16)</f>
        <v>0.2</v>
      </c>
      <c r="E46" s="93">
        <f ca="1">C46*D46</f>
        <v>334.50213655889667</v>
      </c>
      <c r="F46" s="70">
        <f t="shared" ca="1" si="3"/>
        <v>0.13</v>
      </c>
      <c r="G46" s="93">
        <f t="shared" ca="1" si="4"/>
        <v>2573.0933581453587</v>
      </c>
      <c r="H46" s="93">
        <f t="shared" ca="1" si="5"/>
        <v>3040.9285141717878</v>
      </c>
      <c r="I46" s="93">
        <f t="shared" ca="1" si="6"/>
        <v>4181.2767069862084</v>
      </c>
      <c r="J46" s="93">
        <f t="shared" ca="1" si="7"/>
        <v>5719</v>
      </c>
      <c r="K46" s="73">
        <f t="shared" ca="1" si="8"/>
        <v>1</v>
      </c>
      <c r="L46" s="73">
        <f ca="1">IF(K46=1, IF(_xlfn.BINOM.INV(1, C$22, RAND())&gt;0, K46*2, C$23), IF(_xlfn.BINOM.INV(1, C$21, RAND())&gt;0, K46, C$23))</f>
        <v>1</v>
      </c>
      <c r="M46" s="93">
        <f t="shared" ca="1" si="9"/>
        <v>5719</v>
      </c>
      <c r="N46" s="70">
        <f ca="1">IF(AND(K46=1, L46&gt;1), C$20, IF(AND(K46&gt;1, L46&gt;1), C$19, 0))</f>
        <v>0</v>
      </c>
      <c r="O46" s="67">
        <f ca="1">IF(D46=15%,C$18,C$17)</f>
        <v>0.03</v>
      </c>
      <c r="P46" s="93">
        <f t="shared" ca="1" si="10"/>
        <v>351.77786344110331</v>
      </c>
      <c r="Q46" s="93">
        <f ca="1">J46*0.15 - C46*0.8 - C46*0.01</f>
        <v>-496.88365306353148</v>
      </c>
      <c r="R46" s="66"/>
      <c r="S46" s="54">
        <f>SUM(V$42:V45)/SUM(V$42:V$69)</f>
        <v>0.95030688726545565</v>
      </c>
      <c r="T46" s="50" t="s">
        <v>258</v>
      </c>
      <c r="U46" s="79">
        <f>W46/V46</f>
        <v>22192.796279313508</v>
      </c>
      <c r="V46" s="80">
        <v>7633</v>
      </c>
      <c r="W46" s="81">
        <v>169397614</v>
      </c>
      <c r="X46" s="85">
        <f>SUM(V$42:V46) / SUM(V$42:V$69)</f>
        <v>0.97816028200056926</v>
      </c>
      <c r="Y46" s="85">
        <f>SUM(W$42:W46) / SUM(W$42:W$69)</f>
        <v>0.8768342648004287</v>
      </c>
      <c r="AF46" s="66"/>
    </row>
    <row r="47" spans="1:32" x14ac:dyDescent="0.3">
      <c r="A47" s="51">
        <v>6</v>
      </c>
      <c r="B47" s="91">
        <f t="shared" ca="1" si="2"/>
        <v>7.6453843488613393E-2</v>
      </c>
      <c r="C47" s="92">
        <f ca="1">VLOOKUP(B47,표4[#Data],3)</f>
        <v>1672.5106827944833</v>
      </c>
      <c r="D47" s="67">
        <f ca="1">IF(RAND()&gt;=D$15,C$15,C$16)</f>
        <v>0.2</v>
      </c>
      <c r="E47" s="93">
        <f ca="1">C47*D47</f>
        <v>334.50213655889667</v>
      </c>
      <c r="F47" s="70">
        <f t="shared" ca="1" si="3"/>
        <v>0.13</v>
      </c>
      <c r="G47" s="93">
        <f t="shared" ca="1" si="4"/>
        <v>2573.0933581453587</v>
      </c>
      <c r="H47" s="93">
        <f t="shared" ca="1" si="5"/>
        <v>3040.9285141717878</v>
      </c>
      <c r="I47" s="93">
        <f t="shared" ca="1" si="6"/>
        <v>4181.2767069862084</v>
      </c>
      <c r="J47" s="93">
        <f t="shared" ca="1" si="7"/>
        <v>12696</v>
      </c>
      <c r="K47" s="73">
        <f t="shared" ca="1" si="8"/>
        <v>1</v>
      </c>
      <c r="L47" s="73">
        <f ca="1">IF(K47=1, IF(_xlfn.BINOM.INV(1, C$22, RAND())&gt;0, K47*2, C$23), IF(_xlfn.BINOM.INV(1, C$21, RAND())&gt;0, K47, C$23))</f>
        <v>1</v>
      </c>
      <c r="M47" s="93">
        <f t="shared" ca="1" si="9"/>
        <v>12696</v>
      </c>
      <c r="N47" s="70">
        <f ca="1">IF(AND(K47=1, L47&gt;1), C$20, IF(AND(K47&gt;1, L47&gt;1), C$19, 0))</f>
        <v>0</v>
      </c>
      <c r="O47" s="67">
        <f ca="1">IF(D47=15%,C$18,C$17)</f>
        <v>0.03</v>
      </c>
      <c r="P47" s="93">
        <f t="shared" ca="1" si="10"/>
        <v>1189.0178634411031</v>
      </c>
      <c r="Q47" s="93">
        <f ca="1">J47*0.15 - C47*0.8 - C47*0.01</f>
        <v>549.66634693646836</v>
      </c>
      <c r="R47" s="66"/>
      <c r="S47" s="54">
        <f>SUM(V$42:V46)/SUM(V$42:V$69)</f>
        <v>0.97816028200056926</v>
      </c>
      <c r="T47" s="50" t="s">
        <v>259</v>
      </c>
      <c r="U47" s="79">
        <f>W47/V47</f>
        <v>27119.919722222221</v>
      </c>
      <c r="V47" s="80">
        <v>3600</v>
      </c>
      <c r="W47" s="81">
        <v>97631711</v>
      </c>
      <c r="X47" s="85">
        <f>SUM(V$42:V47) / SUM(V$42:V$69)</f>
        <v>0.99129695448142985</v>
      </c>
      <c r="Y47" s="85">
        <f>SUM(W$42:W47) / SUM(W$42:W$69)</f>
        <v>0.94132342037736061</v>
      </c>
      <c r="AF47" s="66"/>
    </row>
    <row r="48" spans="1:32" x14ac:dyDescent="0.3">
      <c r="A48" s="51">
        <v>7</v>
      </c>
      <c r="B48" s="91">
        <f t="shared" ca="1" si="2"/>
        <v>0.25802515743425569</v>
      </c>
      <c r="C48" s="92">
        <f ca="1">VLOOKUP(B48,표4[#Data],3)</f>
        <v>1672.5106827944833</v>
      </c>
      <c r="D48" s="67">
        <f ca="1">IF(RAND()&gt;=D$15,C$15,C$16)</f>
        <v>0.2</v>
      </c>
      <c r="E48" s="93">
        <f ca="1">C48*D48</f>
        <v>334.50213655889667</v>
      </c>
      <c r="F48" s="70">
        <f t="shared" ca="1" si="3"/>
        <v>0.13</v>
      </c>
      <c r="G48" s="93">
        <f t="shared" ca="1" si="4"/>
        <v>2573.0933581453587</v>
      </c>
      <c r="H48" s="93">
        <f t="shared" ca="1" si="5"/>
        <v>3040.9285141717878</v>
      </c>
      <c r="I48" s="93">
        <f t="shared" ca="1" si="6"/>
        <v>4181.2767069862084</v>
      </c>
      <c r="J48" s="93">
        <f t="shared" ca="1" si="7"/>
        <v>31449</v>
      </c>
      <c r="K48" s="73">
        <f t="shared" ca="1" si="8"/>
        <v>1</v>
      </c>
      <c r="L48" s="73">
        <f ca="1">IF(K48=1, IF(_xlfn.BINOM.INV(1, C$22, RAND())&gt;0, K48*2, C$23), IF(_xlfn.BINOM.INV(1, C$21, RAND())&gt;0, K48, C$23))</f>
        <v>1</v>
      </c>
      <c r="M48" s="93">
        <f t="shared" ca="1" si="9"/>
        <v>31449</v>
      </c>
      <c r="N48" s="70">
        <f ca="1">IF(AND(K48=1, L48&gt;1), C$20, IF(AND(K48&gt;1, L48&gt;1), C$19, 0))</f>
        <v>0</v>
      </c>
      <c r="O48" s="67">
        <f ca="1">IF(D48=15%,C$18,C$17)</f>
        <v>0.03</v>
      </c>
      <c r="P48" s="93">
        <f t="shared" ca="1" si="10"/>
        <v>3439.3778634411033</v>
      </c>
      <c r="Q48" s="93">
        <f ca="1">J48*0.15 - C48*0.8 - C48*0.01</f>
        <v>3362.6163469364683</v>
      </c>
      <c r="R48" s="66"/>
      <c r="S48" s="54">
        <f>SUM(V$42:V47)/SUM(V$42:V$69)</f>
        <v>0.99129695448142985</v>
      </c>
      <c r="T48" s="50" t="s">
        <v>260</v>
      </c>
      <c r="U48" s="79">
        <f>W48/V48</f>
        <v>32146.038888888888</v>
      </c>
      <c r="V48" s="80">
        <v>1440</v>
      </c>
      <c r="W48" s="81">
        <v>46290296</v>
      </c>
      <c r="X48" s="85">
        <f>SUM(V$42:V48) / SUM(V$42:V$69)</f>
        <v>0.99655162347377413</v>
      </c>
      <c r="Y48" s="85">
        <f>SUM(W$42:W48) / SUM(W$42:W$69)</f>
        <v>0.97189977789347781</v>
      </c>
      <c r="AF48" s="66"/>
    </row>
    <row r="49" spans="1:32" x14ac:dyDescent="0.3">
      <c r="A49" s="51">
        <v>8</v>
      </c>
      <c r="B49" s="91">
        <f t="shared" ca="1" si="2"/>
        <v>0.74539385429674765</v>
      </c>
      <c r="C49" s="92">
        <f ca="1">VLOOKUP(B49,표4[#Data],3)</f>
        <v>7164.2608066002549</v>
      </c>
      <c r="D49" s="67">
        <f ca="1">IF(RAND()&gt;=D$15,C$15,C$16)</f>
        <v>0.15</v>
      </c>
      <c r="E49" s="93">
        <f ca="1">C49*D49</f>
        <v>1074.6391209900382</v>
      </c>
      <c r="F49" s="70">
        <f t="shared" ca="1" si="3"/>
        <v>0.12</v>
      </c>
      <c r="G49" s="93">
        <f t="shared" ca="1" si="4"/>
        <v>8955.3260082503184</v>
      </c>
      <c r="H49" s="93">
        <f t="shared" ca="1" si="5"/>
        <v>10746.391209900383</v>
      </c>
      <c r="I49" s="93">
        <f t="shared" ca="1" si="6"/>
        <v>15351.987442714833</v>
      </c>
      <c r="J49" s="93">
        <f t="shared" ca="1" si="7"/>
        <v>24153</v>
      </c>
      <c r="K49" s="73">
        <f t="shared" ca="1" si="8"/>
        <v>1</v>
      </c>
      <c r="L49" s="73">
        <f ca="1">IF(K49=1, IF(_xlfn.BINOM.INV(1, C$22, RAND())&gt;0, K49*2, C$23), IF(_xlfn.BINOM.INV(1, C$21, RAND())&gt;0, K49, C$23))</f>
        <v>1</v>
      </c>
      <c r="M49" s="93">
        <f t="shared" ca="1" si="9"/>
        <v>24153</v>
      </c>
      <c r="N49" s="70">
        <f ca="1">IF(AND(K49=1, L49&gt;1), C$20, IF(AND(K49&gt;1, L49&gt;1), C$19, 0))</f>
        <v>0</v>
      </c>
      <c r="O49" s="67">
        <f ca="1">IF(D49=15%,C$18,C$17)</f>
        <v>0.05</v>
      </c>
      <c r="P49" s="93">
        <f t="shared" ca="1" si="10"/>
        <v>1340.6608790099613</v>
      </c>
      <c r="Q49" s="93">
        <f ca="1">J49*0.15 - C49*0.8 - C49*0.01</f>
        <v>-2180.1012533462067</v>
      </c>
      <c r="R49" s="66"/>
      <c r="S49" s="54">
        <f>SUM(V$42:V48)/SUM(V$42:V$69)</f>
        <v>0.99655162347377413</v>
      </c>
      <c r="T49" s="50" t="s">
        <v>261</v>
      </c>
      <c r="U49" s="79">
        <f>W49/V49</f>
        <v>37057.099800399199</v>
      </c>
      <c r="V49" s="80">
        <v>501</v>
      </c>
      <c r="W49" s="81">
        <v>18565607</v>
      </c>
      <c r="X49" s="85">
        <f>SUM(V$42:V49) / SUM(V$42:V$69)</f>
        <v>0.99837981039402723</v>
      </c>
      <c r="Y49" s="85">
        <f>SUM(W$42:W49) / SUM(W$42:W$69)</f>
        <v>0.98416300984895566</v>
      </c>
      <c r="AF49" s="66"/>
    </row>
    <row r="50" spans="1:32" x14ac:dyDescent="0.3">
      <c r="A50" s="51">
        <v>9</v>
      </c>
      <c r="B50" s="91">
        <f t="shared" ca="1" si="2"/>
        <v>0.50139218847260025</v>
      </c>
      <c r="C50" s="92">
        <f ca="1">VLOOKUP(B50,표4[#Data],3)</f>
        <v>1672.5106827944833</v>
      </c>
      <c r="D50" s="67">
        <f ca="1">IF(RAND()&gt;=D$15,C$15,C$16)</f>
        <v>0.2</v>
      </c>
      <c r="E50" s="93">
        <f ca="1">C50*D50</f>
        <v>334.50213655889667</v>
      </c>
      <c r="F50" s="70">
        <f t="shared" ca="1" si="3"/>
        <v>0.13</v>
      </c>
      <c r="G50" s="93">
        <f t="shared" ca="1" si="4"/>
        <v>2573.0933581453587</v>
      </c>
      <c r="H50" s="93">
        <f t="shared" ca="1" si="5"/>
        <v>3040.9285141717878</v>
      </c>
      <c r="I50" s="93">
        <f t="shared" ca="1" si="6"/>
        <v>4181.2767069862084</v>
      </c>
      <c r="J50" s="93">
        <f t="shared" ca="1" si="7"/>
        <v>30979</v>
      </c>
      <c r="K50" s="73">
        <f t="shared" ca="1" si="8"/>
        <v>1</v>
      </c>
      <c r="L50" s="73">
        <f ca="1">IF(K50=1, IF(_xlfn.BINOM.INV(1, C$22, RAND())&gt;0, K50*2, C$23), IF(_xlfn.BINOM.INV(1, C$21, RAND())&gt;0, K50, C$23))</f>
        <v>1</v>
      </c>
      <c r="M50" s="93">
        <f t="shared" ca="1" si="9"/>
        <v>30979</v>
      </c>
      <c r="N50" s="70">
        <f ca="1">IF(AND(K50=1, L50&gt;1), C$20, IF(AND(K50&gt;1, L50&gt;1), C$19, 0))</f>
        <v>0</v>
      </c>
      <c r="O50" s="67">
        <f ca="1">IF(D50=15%,C$18,C$17)</f>
        <v>0.03</v>
      </c>
      <c r="P50" s="93">
        <f t="shared" ca="1" si="10"/>
        <v>3382.9778634411032</v>
      </c>
      <c r="Q50" s="93">
        <f ca="1">J50*0.15 - C50*0.8 - C50*0.01</f>
        <v>3292.1163469364683</v>
      </c>
      <c r="R50" s="66"/>
      <c r="S50" s="54">
        <f>SUM(V$42:V49)/SUM(V$42:V$69)</f>
        <v>0.99837981039402723</v>
      </c>
      <c r="T50" s="50" t="s">
        <v>262</v>
      </c>
      <c r="U50" s="79">
        <f>W50/V50</f>
        <v>41980.043689320388</v>
      </c>
      <c r="V50" s="65">
        <v>206</v>
      </c>
      <c r="W50" s="81">
        <v>8647889</v>
      </c>
      <c r="X50" s="85">
        <f>SUM(V$42:V50) / SUM(V$42:V$69)</f>
        <v>0.99913151998598759</v>
      </c>
      <c r="Y50" s="85">
        <f>SUM(W$42:W50) / SUM(W$42:W$69)</f>
        <v>0.98987524262067306</v>
      </c>
      <c r="AF50" s="66"/>
    </row>
    <row r="51" spans="1:32" x14ac:dyDescent="0.3">
      <c r="A51" s="51">
        <v>10</v>
      </c>
      <c r="B51" s="91">
        <f t="shared" ca="1" si="2"/>
        <v>0.39900161952298585</v>
      </c>
      <c r="C51" s="92">
        <f ca="1">VLOOKUP(B51,표4[#Data],3)</f>
        <v>1672.5106827944833</v>
      </c>
      <c r="D51" s="67">
        <f ca="1">IF(RAND()&gt;=D$15,C$15,C$16)</f>
        <v>0.2</v>
      </c>
      <c r="E51" s="93">
        <f ca="1">C51*D51</f>
        <v>334.50213655889667</v>
      </c>
      <c r="F51" s="70">
        <f t="shared" ca="1" si="3"/>
        <v>0.13</v>
      </c>
      <c r="G51" s="93">
        <f t="shared" ca="1" si="4"/>
        <v>2573.0933581453587</v>
      </c>
      <c r="H51" s="93">
        <f t="shared" ca="1" si="5"/>
        <v>3040.9285141717878</v>
      </c>
      <c r="I51" s="93">
        <f t="shared" ca="1" si="6"/>
        <v>4181.2767069862084</v>
      </c>
      <c r="J51" s="93">
        <f t="shared" ca="1" si="7"/>
        <v>4683</v>
      </c>
      <c r="K51" s="73">
        <f t="shared" ca="1" si="8"/>
        <v>1</v>
      </c>
      <c r="L51" s="73">
        <f ca="1">IF(K51=1, IF(_xlfn.BINOM.INV(1, C$22, RAND())&gt;0, K51*2, C$23), IF(_xlfn.BINOM.INV(1, C$21, RAND())&gt;0, K51, C$23))</f>
        <v>1</v>
      </c>
      <c r="M51" s="93">
        <f t="shared" ca="1" si="9"/>
        <v>4683</v>
      </c>
      <c r="N51" s="70">
        <f ca="1">IF(AND(K51=1, L51&gt;1), C$20, IF(AND(K51&gt;1, L51&gt;1), C$19, 0))</f>
        <v>0</v>
      </c>
      <c r="O51" s="67">
        <f ca="1">IF(D51=15%,C$18,C$17)</f>
        <v>0.03</v>
      </c>
      <c r="P51" s="93">
        <f t="shared" ca="1" si="10"/>
        <v>227.45786344110329</v>
      </c>
      <c r="Q51" s="93">
        <f ca="1">J51*0.15 - C51*0.8 - C51*0.01</f>
        <v>-652.28365306353157</v>
      </c>
      <c r="R51" s="66"/>
      <c r="S51" s="54">
        <f>SUM(V$42:V50)/SUM(V$42:V$69)</f>
        <v>0.99913151998598759</v>
      </c>
      <c r="T51" s="50" t="s">
        <v>263</v>
      </c>
      <c r="U51" s="79">
        <f>W51/V51</f>
        <v>46959.787234042553</v>
      </c>
      <c r="V51" s="65">
        <v>94</v>
      </c>
      <c r="W51" s="81">
        <v>4414220</v>
      </c>
      <c r="X51" s="85">
        <f>SUM(V$42:V51) / SUM(V$42:V$69)</f>
        <v>0.99947453310076562</v>
      </c>
      <c r="Y51" s="85">
        <f>SUM(W$42:W51) / SUM(W$42:W$69)</f>
        <v>0.99279098912777664</v>
      </c>
      <c r="AF51" s="66"/>
    </row>
    <row r="52" spans="1:32" x14ac:dyDescent="0.3">
      <c r="A52" s="51">
        <v>11</v>
      </c>
      <c r="B52" s="91">
        <f t="shared" ca="1" si="2"/>
        <v>0.99633978106564081</v>
      </c>
      <c r="C52" s="92">
        <f ca="1">VLOOKUP(B52,표4[#Data],3)</f>
        <v>32146.038888888888</v>
      </c>
      <c r="D52" s="67">
        <f ca="1">IF(RAND()&gt;=D$15,C$15,C$16)</f>
        <v>0.2</v>
      </c>
      <c r="E52" s="93">
        <f ca="1">C52*D52</f>
        <v>6429.2077777777777</v>
      </c>
      <c r="F52" s="70">
        <f t="shared" ca="1" si="3"/>
        <v>0.13</v>
      </c>
      <c r="G52" s="93">
        <f t="shared" ca="1" si="4"/>
        <v>49455.444444444445</v>
      </c>
      <c r="H52" s="93">
        <f t="shared" ca="1" si="5"/>
        <v>58447.343434343435</v>
      </c>
      <c r="I52" s="93">
        <f t="shared" ca="1" si="6"/>
        <v>80365.097222222219</v>
      </c>
      <c r="J52" s="93">
        <f t="shared" ca="1" si="7"/>
        <v>8316</v>
      </c>
      <c r="K52" s="73">
        <f t="shared" ca="1" si="8"/>
        <v>10</v>
      </c>
      <c r="L52" s="73">
        <f ca="1">IF(K52=1, IF(_xlfn.BINOM.INV(1, C$22, RAND())&gt;0, K52*2, C$23), IF(_xlfn.BINOM.INV(1, C$21, RAND())&gt;0, K52, C$23))</f>
        <v>1</v>
      </c>
      <c r="M52" s="93">
        <f t="shared" ca="1" si="9"/>
        <v>8316</v>
      </c>
      <c r="N52" s="70">
        <f ca="1">IF(AND(K52=1, L52&gt;1), C$20, IF(AND(K52&gt;1, L52&gt;1), C$19, 0))</f>
        <v>0</v>
      </c>
      <c r="O52" s="67">
        <f ca="1">IF(D52=15%,C$18,C$17)</f>
        <v>0.03</v>
      </c>
      <c r="P52" s="93">
        <f t="shared" ca="1" si="10"/>
        <v>-5431.2877777777776</v>
      </c>
      <c r="Q52" s="93">
        <f ca="1">J52*0.15 - C52*0.8 - C52*0.01</f>
        <v>-24790.891499999998</v>
      </c>
      <c r="R52" s="66"/>
      <c r="S52" s="54">
        <f>SUM(V$42:V51)/SUM(V$42:V$69)</f>
        <v>0.99947453310076562</v>
      </c>
      <c r="T52" s="50" t="s">
        <v>264</v>
      </c>
      <c r="U52" s="79">
        <f>W52/V52</f>
        <v>51653.3</v>
      </c>
      <c r="V52" s="65">
        <v>30</v>
      </c>
      <c r="W52" s="81">
        <v>1549599</v>
      </c>
      <c r="X52" s="85">
        <f>SUM(V$42:V52) / SUM(V$42:V$69)</f>
        <v>0.99958400537143943</v>
      </c>
      <c r="Y52" s="85">
        <f>SUM(W$42:W52) / SUM(W$42:W$69)</f>
        <v>0.99381455339771818</v>
      </c>
      <c r="AF52" s="66"/>
    </row>
    <row r="53" spans="1:32" x14ac:dyDescent="0.3">
      <c r="A53" s="51">
        <v>12</v>
      </c>
      <c r="B53" s="91">
        <f t="shared" ca="1" si="2"/>
        <v>0.55466904404119721</v>
      </c>
      <c r="C53" s="92">
        <f ca="1">VLOOKUP(B53,표4[#Data],3)</f>
        <v>1672.5106827944833</v>
      </c>
      <c r="D53" s="67">
        <f ca="1">IF(RAND()&gt;=D$15,C$15,C$16)</f>
        <v>0.2</v>
      </c>
      <c r="E53" s="93">
        <f ca="1">C53*D53</f>
        <v>334.50213655889667</v>
      </c>
      <c r="F53" s="70">
        <f t="shared" ca="1" si="3"/>
        <v>0.13</v>
      </c>
      <c r="G53" s="93">
        <f t="shared" ca="1" si="4"/>
        <v>2573.0933581453587</v>
      </c>
      <c r="H53" s="93">
        <f t="shared" ca="1" si="5"/>
        <v>3040.9285141717878</v>
      </c>
      <c r="I53" s="93">
        <f t="shared" ca="1" si="6"/>
        <v>4181.2767069862084</v>
      </c>
      <c r="J53" s="93">
        <f t="shared" ca="1" si="7"/>
        <v>5486</v>
      </c>
      <c r="K53" s="73">
        <f t="shared" ca="1" si="8"/>
        <v>1</v>
      </c>
      <c r="L53" s="73">
        <f ca="1">IF(K53=1, IF(_xlfn.BINOM.INV(1, C$22, RAND())&gt;0, K53*2, C$23), IF(_xlfn.BINOM.INV(1, C$21, RAND())&gt;0, K53, C$23))</f>
        <v>1</v>
      </c>
      <c r="M53" s="93">
        <f t="shared" ca="1" si="9"/>
        <v>5486</v>
      </c>
      <c r="N53" s="70">
        <f ca="1">IF(AND(K53=1, L53&gt;1), C$20, IF(AND(K53&gt;1, L53&gt;1), C$19, 0))</f>
        <v>0</v>
      </c>
      <c r="O53" s="67">
        <f ca="1">IF(D53=15%,C$18,C$17)</f>
        <v>0.03</v>
      </c>
      <c r="P53" s="93">
        <f t="shared" ca="1" si="10"/>
        <v>323.81786344110333</v>
      </c>
      <c r="Q53" s="93">
        <f ca="1">J53*0.15 - C53*0.8 - C53*0.01</f>
        <v>-531.83365306353153</v>
      </c>
      <c r="R53" s="66"/>
      <c r="S53" s="54">
        <f>SUM(V$42:V52)/SUM(V$42:V$69)</f>
        <v>0.99958400537143943</v>
      </c>
      <c r="T53" s="50" t="s">
        <v>265</v>
      </c>
      <c r="U53" s="79">
        <f>W53/V53</f>
        <v>56660.4375</v>
      </c>
      <c r="V53" s="65">
        <v>16</v>
      </c>
      <c r="W53" s="81">
        <v>906567</v>
      </c>
      <c r="X53" s="85">
        <f>SUM(V$42:V53) / SUM(V$42:V$69)</f>
        <v>0.99964239058246551</v>
      </c>
      <c r="Y53" s="85">
        <f>SUM(W$42:W53) / SUM(W$42:W$69)</f>
        <v>0.99441337256932849</v>
      </c>
      <c r="AF53" s="66"/>
    </row>
    <row r="54" spans="1:32" x14ac:dyDescent="0.3">
      <c r="A54" s="51">
        <v>13</v>
      </c>
      <c r="B54" s="91">
        <f t="shared" ca="1" si="2"/>
        <v>0.41819348753825381</v>
      </c>
      <c r="C54" s="92">
        <f ca="1">VLOOKUP(B54,표4[#Data],3)</f>
        <v>1672.5106827944833</v>
      </c>
      <c r="D54" s="67">
        <f ca="1">IF(RAND()&gt;=D$15,C$15,C$16)</f>
        <v>0.2</v>
      </c>
      <c r="E54" s="93">
        <f ca="1">C54*D54</f>
        <v>334.50213655889667</v>
      </c>
      <c r="F54" s="70">
        <f t="shared" ca="1" si="3"/>
        <v>0.13</v>
      </c>
      <c r="G54" s="93">
        <f t="shared" ca="1" si="4"/>
        <v>2573.0933581453587</v>
      </c>
      <c r="H54" s="93">
        <f t="shared" ca="1" si="5"/>
        <v>3040.9285141717878</v>
      </c>
      <c r="I54" s="93">
        <f t="shared" ca="1" si="6"/>
        <v>4181.2767069862084</v>
      </c>
      <c r="J54" s="93">
        <f t="shared" ca="1" si="7"/>
        <v>29529</v>
      </c>
      <c r="K54" s="73">
        <f t="shared" ca="1" si="8"/>
        <v>1</v>
      </c>
      <c r="L54" s="73">
        <f ca="1">IF(K54=1, IF(_xlfn.BINOM.INV(1, C$22, RAND())&gt;0, K54*2, C$23), IF(_xlfn.BINOM.INV(1, C$21, RAND())&gt;0, K54, C$23))</f>
        <v>2</v>
      </c>
      <c r="M54" s="93">
        <f t="shared" ca="1" si="9"/>
        <v>59058</v>
      </c>
      <c r="N54" s="70">
        <f ca="1">IF(AND(K54=1, L54&gt;1), C$20, IF(AND(K54&gt;1, L54&gt;1), C$19, 0))</f>
        <v>0.02</v>
      </c>
      <c r="O54" s="67">
        <f ca="1">IF(D54=15%,C$18,C$17)</f>
        <v>0.03</v>
      </c>
      <c r="P54" s="93">
        <f t="shared" ca="1" si="10"/>
        <v>5571.2978634411029</v>
      </c>
      <c r="Q54" s="93">
        <f ca="1">J54*0.15 - C54*0.8 - C54*0.01</f>
        <v>3074.6163469364683</v>
      </c>
      <c r="R54" s="66"/>
      <c r="S54" s="54">
        <f>SUM(V$42:V53)/SUM(V$42:V$69)</f>
        <v>0.99964239058246551</v>
      </c>
      <c r="T54" s="50" t="s">
        <v>266</v>
      </c>
      <c r="U54" s="79">
        <f>W54/V54</f>
        <v>62220.692307692305</v>
      </c>
      <c r="V54" s="65">
        <v>13</v>
      </c>
      <c r="W54" s="81">
        <v>808869</v>
      </c>
      <c r="X54" s="85">
        <f>SUM(V$42:V54) / SUM(V$42:V$69)</f>
        <v>0.99968982856642408</v>
      </c>
      <c r="Y54" s="85">
        <f>SUM(W$42:W54) / SUM(W$42:W$69)</f>
        <v>0.99494765879916169</v>
      </c>
      <c r="AF54" s="66"/>
    </row>
    <row r="55" spans="1:32" x14ac:dyDescent="0.3">
      <c r="A55" s="51">
        <v>14</v>
      </c>
      <c r="B55" s="91">
        <f t="shared" ca="1" si="2"/>
        <v>0.22713690567847133</v>
      </c>
      <c r="C55" s="92">
        <f ca="1">VLOOKUP(B55,표4[#Data],3)</f>
        <v>1672.5106827944833</v>
      </c>
      <c r="D55" s="67">
        <f ca="1">IF(RAND()&gt;=D$15,C$15,C$16)</f>
        <v>0.15</v>
      </c>
      <c r="E55" s="93">
        <f ca="1">C55*D55</f>
        <v>250.87660241917249</v>
      </c>
      <c r="F55" s="70">
        <f t="shared" ca="1" si="3"/>
        <v>0.12</v>
      </c>
      <c r="G55" s="93">
        <f t="shared" ca="1" si="4"/>
        <v>2090.6383534931042</v>
      </c>
      <c r="H55" s="93">
        <f t="shared" ca="1" si="5"/>
        <v>2508.7660241917251</v>
      </c>
      <c r="I55" s="93">
        <f t="shared" ca="1" si="6"/>
        <v>3583.9514631310358</v>
      </c>
      <c r="J55" s="93">
        <f t="shared" ca="1" si="7"/>
        <v>7181</v>
      </c>
      <c r="K55" s="73">
        <f t="shared" ca="1" si="8"/>
        <v>1</v>
      </c>
      <c r="L55" s="73">
        <f ca="1">IF(K55=1, IF(_xlfn.BINOM.INV(1, C$22, RAND())&gt;0, K55*2, C$23), IF(_xlfn.BINOM.INV(1, C$21, RAND())&gt;0, K55, C$23))</f>
        <v>1</v>
      </c>
      <c r="M55" s="93">
        <f t="shared" ca="1" si="9"/>
        <v>7181</v>
      </c>
      <c r="N55" s="70">
        <f ca="1">IF(AND(K55=1, L55&gt;1), C$20, IF(AND(K55&gt;1, L55&gt;1), C$19, 0))</f>
        <v>0</v>
      </c>
      <c r="O55" s="67">
        <f ca="1">IF(D55=15%,C$18,C$17)</f>
        <v>0.05</v>
      </c>
      <c r="P55" s="93">
        <f t="shared" ca="1" si="10"/>
        <v>467.22339758082734</v>
      </c>
      <c r="Q55" s="93">
        <f ca="1">J55*0.15 - C55*0.8 - C55*0.01</f>
        <v>-277.58365306353164</v>
      </c>
      <c r="R55" s="66"/>
      <c r="S55" s="54">
        <f>SUM(V$42:V54)/SUM(V$42:V$69)</f>
        <v>0.99968982856642408</v>
      </c>
      <c r="T55" s="50" t="s">
        <v>267</v>
      </c>
      <c r="U55" s="79">
        <f>W55/V55</f>
        <v>66994.642857142855</v>
      </c>
      <c r="V55" s="65">
        <v>14</v>
      </c>
      <c r="W55" s="81">
        <v>937925</v>
      </c>
      <c r="X55" s="85">
        <f>SUM(V$42:V55) / SUM(V$42:V$69)</f>
        <v>0.99974091562607192</v>
      </c>
      <c r="Y55" s="85">
        <f>SUM(W$42:W55) / SUM(W$42:W$69)</f>
        <v>0.99556719102516655</v>
      </c>
      <c r="AF55" s="66"/>
    </row>
    <row r="56" spans="1:32" x14ac:dyDescent="0.3">
      <c r="A56" s="51">
        <v>15</v>
      </c>
      <c r="B56" s="91">
        <f t="shared" ca="1" si="2"/>
        <v>0.24229870017135946</v>
      </c>
      <c r="C56" s="92">
        <f ca="1">VLOOKUP(B56,표4[#Data],3)</f>
        <v>1672.5106827944833</v>
      </c>
      <c r="D56" s="67">
        <f ca="1">IF(RAND()&gt;=D$15,C$15,C$16)</f>
        <v>0.2</v>
      </c>
      <c r="E56" s="93">
        <f ca="1">C56*D56</f>
        <v>334.50213655889667</v>
      </c>
      <c r="F56" s="70">
        <f t="shared" ca="1" si="3"/>
        <v>0.13</v>
      </c>
      <c r="G56" s="93">
        <f t="shared" ca="1" si="4"/>
        <v>2573.0933581453587</v>
      </c>
      <c r="H56" s="93">
        <f t="shared" ca="1" si="5"/>
        <v>3040.9285141717878</v>
      </c>
      <c r="I56" s="93">
        <f t="shared" ca="1" si="6"/>
        <v>4181.2767069862084</v>
      </c>
      <c r="J56" s="93">
        <f t="shared" ca="1" si="7"/>
        <v>18345</v>
      </c>
      <c r="K56" s="73">
        <f t="shared" ca="1" si="8"/>
        <v>1</v>
      </c>
      <c r="L56" s="73">
        <f ca="1">IF(K56=1, IF(_xlfn.BINOM.INV(1, C$22, RAND())&gt;0, K56*2, C$23), IF(_xlfn.BINOM.INV(1, C$21, RAND())&gt;0, K56, C$23))</f>
        <v>1</v>
      </c>
      <c r="M56" s="93">
        <f t="shared" ca="1" si="9"/>
        <v>18345</v>
      </c>
      <c r="N56" s="70">
        <f ca="1">IF(AND(K56=1, L56&gt;1), C$20, IF(AND(K56&gt;1, L56&gt;1), C$19, 0))</f>
        <v>0</v>
      </c>
      <c r="O56" s="67">
        <f ca="1">IF(D56=15%,C$18,C$17)</f>
        <v>0.03</v>
      </c>
      <c r="P56" s="93">
        <f t="shared" ca="1" si="10"/>
        <v>1866.8978634411033</v>
      </c>
      <c r="Q56" s="93">
        <f ca="1">J56*0.15 - C56*0.8 - C56*0.01</f>
        <v>1397.0163469364686</v>
      </c>
      <c r="R56" s="66"/>
      <c r="S56" s="54">
        <f>SUM(V$42:V55)/SUM(V$42:V$69)</f>
        <v>0.99974091562607192</v>
      </c>
      <c r="T56" s="50" t="s">
        <v>268</v>
      </c>
      <c r="U56" s="79">
        <f>W56/V56</f>
        <v>71975.818181818177</v>
      </c>
      <c r="V56" s="65">
        <v>11</v>
      </c>
      <c r="W56" s="81">
        <v>791734</v>
      </c>
      <c r="X56" s="85">
        <f>SUM(V$42:V56) / SUM(V$42:V$69)</f>
        <v>0.99978105545865237</v>
      </c>
      <c r="Y56" s="85">
        <f>SUM(W$42:W56) / SUM(W$42:W$69)</f>
        <v>0.9960901589889416</v>
      </c>
      <c r="AF56" s="66"/>
    </row>
    <row r="57" spans="1:32" x14ac:dyDescent="0.3">
      <c r="A57" s="51">
        <v>16</v>
      </c>
      <c r="B57" s="91">
        <f t="shared" ca="1" si="2"/>
        <v>0.32955236007728417</v>
      </c>
      <c r="C57" s="92">
        <f ca="1">VLOOKUP(B57,표4[#Data],3)</f>
        <v>1672.5106827944833</v>
      </c>
      <c r="D57" s="67">
        <f ca="1">IF(RAND()&gt;=D$15,C$15,C$16)</f>
        <v>0.2</v>
      </c>
      <c r="E57" s="93">
        <f ca="1">C57*D57</f>
        <v>334.50213655889667</v>
      </c>
      <c r="F57" s="70">
        <f t="shared" ca="1" si="3"/>
        <v>0.13</v>
      </c>
      <c r="G57" s="93">
        <f t="shared" ca="1" si="4"/>
        <v>2573.0933581453587</v>
      </c>
      <c r="H57" s="93">
        <f t="shared" ca="1" si="5"/>
        <v>3040.9285141717878</v>
      </c>
      <c r="I57" s="93">
        <f t="shared" ca="1" si="6"/>
        <v>4181.2767069862084</v>
      </c>
      <c r="J57" s="93">
        <f t="shared" ca="1" si="7"/>
        <v>7283</v>
      </c>
      <c r="K57" s="73">
        <f t="shared" ca="1" si="8"/>
        <v>1</v>
      </c>
      <c r="L57" s="73">
        <f ca="1">IF(K57=1, IF(_xlfn.BINOM.INV(1, C$22, RAND())&gt;0, K57*2, C$23), IF(_xlfn.BINOM.INV(1, C$21, RAND())&gt;0, K57, C$23))</f>
        <v>1</v>
      </c>
      <c r="M57" s="93">
        <f t="shared" ca="1" si="9"/>
        <v>7283</v>
      </c>
      <c r="N57" s="70">
        <f ca="1">IF(AND(K57=1, L57&gt;1), C$20, IF(AND(K57&gt;1, L57&gt;1), C$19, 0))</f>
        <v>0</v>
      </c>
      <c r="O57" s="67">
        <f ca="1">IF(D57=15%,C$18,C$17)</f>
        <v>0.03</v>
      </c>
      <c r="P57" s="93">
        <f t="shared" ca="1" si="10"/>
        <v>539.45786344110343</v>
      </c>
      <c r="Q57" s="93">
        <f ca="1">J57*0.15 - C57*0.8 - C57*0.01</f>
        <v>-262.28365306353146</v>
      </c>
      <c r="R57" s="66"/>
      <c r="S57" s="54">
        <f>SUM(V$42:V56)/SUM(V$42:V$69)</f>
        <v>0.99978105545865237</v>
      </c>
      <c r="T57" s="50" t="s">
        <v>269</v>
      </c>
      <c r="U57" s="79">
        <f>W57/V57</f>
        <v>77281.571428571435</v>
      </c>
      <c r="V57" s="65">
        <v>7</v>
      </c>
      <c r="W57" s="81">
        <v>540971</v>
      </c>
      <c r="X57" s="85">
        <f>SUM(V$42:V57) / SUM(V$42:V$69)</f>
        <v>0.99980659898847624</v>
      </c>
      <c r="Y57" s="85">
        <f>SUM(W$42:W57) / SUM(W$42:W$69)</f>
        <v>0.99644748923158799</v>
      </c>
      <c r="AF57" s="66"/>
    </row>
    <row r="58" spans="1:32" x14ac:dyDescent="0.3">
      <c r="A58" s="51">
        <v>17</v>
      </c>
      <c r="B58" s="91">
        <f t="shared" ca="1" si="2"/>
        <v>0.94647112532737065</v>
      </c>
      <c r="C58" s="92">
        <f ca="1">VLOOKUP(B58,표4[#Data],3)</f>
        <v>17243.006404326479</v>
      </c>
      <c r="D58" s="67">
        <f ca="1">IF(RAND()&gt;=D$15,C$15,C$16)</f>
        <v>0.2</v>
      </c>
      <c r="E58" s="93">
        <f ca="1">C58*D58</f>
        <v>3448.6012808652958</v>
      </c>
      <c r="F58" s="70">
        <f t="shared" ca="1" si="3"/>
        <v>0.13</v>
      </c>
      <c r="G58" s="93">
        <f t="shared" ca="1" si="4"/>
        <v>26527.702160502275</v>
      </c>
      <c r="H58" s="93">
        <f t="shared" ca="1" si="5"/>
        <v>31350.920735139054</v>
      </c>
      <c r="I58" s="93">
        <f t="shared" ca="1" si="6"/>
        <v>43107.516010816194</v>
      </c>
      <c r="J58" s="93">
        <f t="shared" ca="1" si="7"/>
        <v>21346</v>
      </c>
      <c r="K58" s="73">
        <f t="shared" ca="1" si="8"/>
        <v>2</v>
      </c>
      <c r="L58" s="73">
        <f ca="1">IF(K58=1, IF(_xlfn.BINOM.INV(1, C$22, RAND())&gt;0, K58*2, C$23), IF(_xlfn.BINOM.INV(1, C$21, RAND())&gt;0, K58, C$23))</f>
        <v>1</v>
      </c>
      <c r="M58" s="93">
        <f t="shared" ca="1" si="9"/>
        <v>21346</v>
      </c>
      <c r="N58" s="70">
        <f ca="1">IF(AND(K58=1, L58&gt;1), C$20, IF(AND(K58&gt;1, L58&gt;1), C$19, 0))</f>
        <v>0</v>
      </c>
      <c r="O58" s="67">
        <f ca="1">IF(D58=15%,C$18,C$17)</f>
        <v>0.03</v>
      </c>
      <c r="P58" s="93">
        <f t="shared" ca="1" si="10"/>
        <v>-887.08128086529575</v>
      </c>
      <c r="Q58" s="93">
        <f ca="1">J58*0.15 - C58*0.8 - C58*0.01</f>
        <v>-10764.935187504449</v>
      </c>
      <c r="R58" s="66"/>
      <c r="S58" s="54">
        <f>SUM(V$42:V57)/SUM(V$42:V$69)</f>
        <v>0.99980659898847624</v>
      </c>
      <c r="T58" s="50" t="s">
        <v>270</v>
      </c>
      <c r="U58" s="79">
        <f>W58/V58</f>
        <v>82501.666666666672</v>
      </c>
      <c r="V58" s="65">
        <v>6</v>
      </c>
      <c r="W58" s="81">
        <v>495010</v>
      </c>
      <c r="X58" s="85">
        <f>SUM(V$42:V58) / SUM(V$42:V$69)</f>
        <v>0.99982849344261093</v>
      </c>
      <c r="Y58" s="85">
        <f>SUM(W$42:W58) / SUM(W$42:W$69)</f>
        <v>0.99677446062822916</v>
      </c>
      <c r="AF58" s="66"/>
    </row>
    <row r="59" spans="1:32" x14ac:dyDescent="0.3">
      <c r="A59" s="51">
        <v>18</v>
      </c>
      <c r="B59" s="91">
        <f t="shared" ca="1" si="2"/>
        <v>0.745885687143927</v>
      </c>
      <c r="C59" s="92">
        <f ca="1">VLOOKUP(B59,표4[#Data],3)</f>
        <v>7164.2608066002549</v>
      </c>
      <c r="D59" s="67">
        <f ca="1">IF(RAND()&gt;=D$15,C$15,C$16)</f>
        <v>0.2</v>
      </c>
      <c r="E59" s="93">
        <f ca="1">C59*D59</f>
        <v>1432.852161320051</v>
      </c>
      <c r="F59" s="70">
        <f t="shared" ca="1" si="3"/>
        <v>0.13</v>
      </c>
      <c r="G59" s="93">
        <f t="shared" ca="1" si="4"/>
        <v>11021.93970246193</v>
      </c>
      <c r="H59" s="93">
        <f t="shared" ca="1" si="5"/>
        <v>13025.928739273191</v>
      </c>
      <c r="I59" s="93">
        <f t="shared" ca="1" si="6"/>
        <v>17910.652016500637</v>
      </c>
      <c r="J59" s="93">
        <f t="shared" ca="1" si="7"/>
        <v>3550</v>
      </c>
      <c r="K59" s="73">
        <f t="shared" ca="1" si="8"/>
        <v>5</v>
      </c>
      <c r="L59" s="73">
        <f ca="1">IF(K59=1, IF(_xlfn.BINOM.INV(1, C$22, RAND())&gt;0, K59*2, C$23), IF(_xlfn.BINOM.INV(1, C$21, RAND())&gt;0, K59, C$23))</f>
        <v>1</v>
      </c>
      <c r="M59" s="93">
        <f t="shared" ca="1" si="9"/>
        <v>3550</v>
      </c>
      <c r="N59" s="70">
        <f ca="1">IF(AND(K59=1, L59&gt;1), C$20, IF(AND(K59&gt;1, L59&gt;1), C$19, 0))</f>
        <v>0</v>
      </c>
      <c r="O59" s="67">
        <f ca="1">IF(D59=15%,C$18,C$17)</f>
        <v>0.03</v>
      </c>
      <c r="P59" s="93">
        <f t="shared" ca="1" si="10"/>
        <v>-1006.852161320051</v>
      </c>
      <c r="Q59" s="93">
        <f ca="1">J59*0.15 - C59*0.8 - C59*0.01</f>
        <v>-5270.5512533462061</v>
      </c>
      <c r="R59" s="66"/>
      <c r="S59" s="54">
        <f>SUM(V$42:V58)/SUM(V$42:V$69)</f>
        <v>0.99982849344261093</v>
      </c>
      <c r="T59" s="50" t="s">
        <v>271</v>
      </c>
      <c r="U59" s="79">
        <f>W59/V59</f>
        <v>88412.4</v>
      </c>
      <c r="V59" s="65">
        <v>5</v>
      </c>
      <c r="W59" s="81">
        <v>442062</v>
      </c>
      <c r="X59" s="85">
        <f>SUM(V$42:V59) / SUM(V$42:V$69)</f>
        <v>0.99984673882105668</v>
      </c>
      <c r="Y59" s="85">
        <f>SUM(W$42:W59) / SUM(W$42:W$69)</f>
        <v>0.9970664580212959</v>
      </c>
      <c r="AF59" s="66"/>
    </row>
    <row r="60" spans="1:32" x14ac:dyDescent="0.3">
      <c r="A60" s="51">
        <v>19</v>
      </c>
      <c r="B60" s="91">
        <f t="shared" ca="1" si="2"/>
        <v>0.46811487938204766</v>
      </c>
      <c r="C60" s="92">
        <f ca="1">VLOOKUP(B60,표4[#Data],3)</f>
        <v>1672.5106827944833</v>
      </c>
      <c r="D60" s="67">
        <f ca="1">IF(RAND()&gt;=D$15,C$15,C$16)</f>
        <v>0.2</v>
      </c>
      <c r="E60" s="93">
        <f ca="1">C60*D60</f>
        <v>334.50213655889667</v>
      </c>
      <c r="F60" s="70">
        <f t="shared" ca="1" si="3"/>
        <v>0.13</v>
      </c>
      <c r="G60" s="93">
        <f t="shared" ca="1" si="4"/>
        <v>2573.0933581453587</v>
      </c>
      <c r="H60" s="93">
        <f t="shared" ca="1" si="5"/>
        <v>3040.9285141717878</v>
      </c>
      <c r="I60" s="93">
        <f t="shared" ca="1" si="6"/>
        <v>4181.2767069862084</v>
      </c>
      <c r="J60" s="93">
        <f t="shared" ca="1" si="7"/>
        <v>4675</v>
      </c>
      <c r="K60" s="73">
        <f t="shared" ca="1" si="8"/>
        <v>1</v>
      </c>
      <c r="L60" s="73">
        <f ca="1">IF(K60=1, IF(_xlfn.BINOM.INV(1, C$22, RAND())&gt;0, K60*2, C$23), IF(_xlfn.BINOM.INV(1, C$21, RAND())&gt;0, K60, C$23))</f>
        <v>1</v>
      </c>
      <c r="M60" s="93">
        <f t="shared" ca="1" si="9"/>
        <v>4675</v>
      </c>
      <c r="N60" s="70">
        <f ca="1">IF(AND(K60=1, L60&gt;1), C$20, IF(AND(K60&gt;1, L60&gt;1), C$19, 0))</f>
        <v>0</v>
      </c>
      <c r="O60" s="67">
        <f ca="1">IF(D60=15%,C$18,C$17)</f>
        <v>0.03</v>
      </c>
      <c r="P60" s="93">
        <f t="shared" ca="1" si="10"/>
        <v>226.49786344110333</v>
      </c>
      <c r="Q60" s="93">
        <f ca="1">J60*0.15 - C60*0.8 - C60*0.01</f>
        <v>-653.48365306353151</v>
      </c>
      <c r="R60" s="66"/>
      <c r="S60" s="54">
        <f>SUM(V$42:V59)/SUM(V$42:V$69)</f>
        <v>0.99984673882105668</v>
      </c>
      <c r="T60" s="50" t="s">
        <v>272</v>
      </c>
      <c r="U60" s="79">
        <f>W60/V60</f>
        <v>92611</v>
      </c>
      <c r="V60" s="65">
        <v>8</v>
      </c>
      <c r="W60" s="81">
        <v>740888</v>
      </c>
      <c r="X60" s="85">
        <f>SUM(V$42:V60) / SUM(V$42:V$69)</f>
        <v>0.99987593142656961</v>
      </c>
      <c r="Y60" s="85">
        <f>SUM(W$42:W60) / SUM(W$42:W$69)</f>
        <v>0.99755584042592349</v>
      </c>
      <c r="AF60" s="66"/>
    </row>
    <row r="61" spans="1:32" x14ac:dyDescent="0.3">
      <c r="A61" s="51">
        <v>20</v>
      </c>
      <c r="B61" s="91">
        <f t="shared" ca="1" si="2"/>
        <v>0.18410103032962022</v>
      </c>
      <c r="C61" s="92">
        <f ca="1">VLOOKUP(B61,표4[#Data],3)</f>
        <v>1672.5106827944833</v>
      </c>
      <c r="D61" s="67">
        <f ca="1">IF(RAND()&gt;=D$15,C$15,C$16)</f>
        <v>0.2</v>
      </c>
      <c r="E61" s="93">
        <f ca="1">C61*D61</f>
        <v>334.50213655889667</v>
      </c>
      <c r="F61" s="70">
        <f t="shared" ca="1" si="3"/>
        <v>0.13</v>
      </c>
      <c r="G61" s="93">
        <f t="shared" ca="1" si="4"/>
        <v>2573.0933581453587</v>
      </c>
      <c r="H61" s="93">
        <f t="shared" ca="1" si="5"/>
        <v>3040.9285141717878</v>
      </c>
      <c r="I61" s="93">
        <f t="shared" ca="1" si="6"/>
        <v>4181.2767069862084</v>
      </c>
      <c r="J61" s="93">
        <f t="shared" ca="1" si="7"/>
        <v>11218</v>
      </c>
      <c r="K61" s="73">
        <f t="shared" ca="1" si="8"/>
        <v>1</v>
      </c>
      <c r="L61" s="73">
        <f ca="1">IF(K61=1, IF(_xlfn.BINOM.INV(1, C$22, RAND())&gt;0, K61*2, C$23), IF(_xlfn.BINOM.INV(1, C$21, RAND())&gt;0, K61, C$23))</f>
        <v>1</v>
      </c>
      <c r="M61" s="93">
        <f t="shared" ca="1" si="9"/>
        <v>11218</v>
      </c>
      <c r="N61" s="70">
        <f ca="1">IF(AND(K61=1, L61&gt;1), C$20, IF(AND(K61&gt;1, L61&gt;1), C$19, 0))</f>
        <v>0</v>
      </c>
      <c r="O61" s="67">
        <f ca="1">IF(D61=15%,C$18,C$17)</f>
        <v>0.03</v>
      </c>
      <c r="P61" s="93">
        <f t="shared" ca="1" si="10"/>
        <v>1011.6578634411035</v>
      </c>
      <c r="Q61" s="93">
        <f ca="1">J61*0.15 - C61*0.8 - C61*0.01</f>
        <v>327.96634693646854</v>
      </c>
      <c r="R61" s="66"/>
      <c r="S61" s="54">
        <f>SUM(V$42:V60)/SUM(V$42:V$69)</f>
        <v>0.99987593142656961</v>
      </c>
      <c r="T61" s="50" t="s">
        <v>273</v>
      </c>
      <c r="U61" s="79">
        <f>W61/V61</f>
        <v>97390.46666666666</v>
      </c>
      <c r="V61" s="65">
        <v>15</v>
      </c>
      <c r="W61" s="81">
        <v>1460857</v>
      </c>
      <c r="X61" s="85">
        <f>SUM(V$42:V61) / SUM(V$42:V$69)</f>
        <v>0.99993066756190652</v>
      </c>
      <c r="Y61" s="85">
        <f>SUM(W$42:W61) / SUM(W$42:W$69)</f>
        <v>0.99852078750493811</v>
      </c>
      <c r="AF61" s="66"/>
    </row>
    <row r="62" spans="1:32" x14ac:dyDescent="0.3">
      <c r="A62" s="51">
        <v>21</v>
      </c>
      <c r="B62" s="91">
        <f t="shared" ca="1" si="2"/>
        <v>0.37191404540175821</v>
      </c>
      <c r="C62" s="92">
        <f ca="1">VLOOKUP(B62,표4[#Data],3)</f>
        <v>1672.5106827944833</v>
      </c>
      <c r="D62" s="67">
        <f ca="1">IF(RAND()&gt;=D$15,C$15,C$16)</f>
        <v>0.15</v>
      </c>
      <c r="E62" s="93">
        <f ca="1">C62*D62</f>
        <v>250.87660241917249</v>
      </c>
      <c r="F62" s="70">
        <f t="shared" ref="F62:F125" ca="1" si="11">15%-(IF(D62=20%,2%,3%))</f>
        <v>0.12</v>
      </c>
      <c r="G62" s="93">
        <f t="shared" ref="G62:G125" ca="1" si="12">E62/F62</f>
        <v>2090.6383534931042</v>
      </c>
      <c r="H62" s="93">
        <f t="shared" ref="H62:H125" ca="1" si="13">E62/(F62-2%)</f>
        <v>2508.7660241917251</v>
      </c>
      <c r="I62" s="93">
        <f t="shared" ref="I62:I125" ca="1" si="14">E62/(F62-5%)</f>
        <v>3583.9514631310358</v>
      </c>
      <c r="J62" s="93">
        <f t="shared" ca="1" si="7"/>
        <v>13717</v>
      </c>
      <c r="K62" s="73">
        <f t="shared" ref="K62:K125" ca="1" si="15">IF( G62/J62 &lt; 1, 1, ROUND(I62/J62,0))</f>
        <v>1</v>
      </c>
      <c r="L62" s="73">
        <f ca="1">IF(K62=1, IF(_xlfn.BINOM.INV(1, C$22, RAND())&gt;0, K62*2, C$23), IF(_xlfn.BINOM.INV(1, C$21, RAND())&gt;0, K62, C$23))</f>
        <v>1</v>
      </c>
      <c r="M62" s="93">
        <f t="shared" ref="M62:M125" ca="1" si="16">J62*L62</f>
        <v>13717</v>
      </c>
      <c r="N62" s="70">
        <f ca="1">IF(AND(K62=1, L62&gt;1), C$20, IF(AND(K62&gt;1, L62&gt;1), C$19, 0))</f>
        <v>0</v>
      </c>
      <c r="O62" s="67">
        <f ca="1">IF(D62=15%,C$18,C$17)</f>
        <v>0.05</v>
      </c>
      <c r="P62" s="93">
        <f t="shared" ref="P62:P125" ca="1" si="17">M62*15%-E62 -M62*N62-M62*O62</f>
        <v>1120.8233975808271</v>
      </c>
      <c r="Q62" s="93">
        <f ca="1">J62*0.15 - C62*0.8 - C62*0.01</f>
        <v>702.81634693646822</v>
      </c>
      <c r="R62" s="66"/>
      <c r="S62" s="54">
        <f>SUM(V$42:V61)/SUM(V$42:V$69)</f>
        <v>0.99993066756190652</v>
      </c>
      <c r="T62" s="50" t="s">
        <v>274</v>
      </c>
      <c r="U62" s="79">
        <f>W62/V62</f>
        <v>102016.8</v>
      </c>
      <c r="V62" s="65">
        <v>5</v>
      </c>
      <c r="W62" s="81">
        <v>510084</v>
      </c>
      <c r="X62" s="85">
        <f>SUM(V$42:V62) / SUM(V$42:V$69)</f>
        <v>0.99994891294035226</v>
      </c>
      <c r="Y62" s="85">
        <f>SUM(W$42:W62) / SUM(W$42:W$69)</f>
        <v>0.99885771580514282</v>
      </c>
      <c r="AF62" s="66"/>
    </row>
    <row r="63" spans="1:32" x14ac:dyDescent="0.3">
      <c r="A63" s="51">
        <v>22</v>
      </c>
      <c r="B63" s="91">
        <f t="shared" ca="1" si="2"/>
        <v>0.71693827553537126</v>
      </c>
      <c r="C63" s="92">
        <f ca="1">VLOOKUP(B63,표4[#Data],3)</f>
        <v>7164.2608066002549</v>
      </c>
      <c r="D63" s="67">
        <f ca="1">IF(RAND()&gt;=D$15,C$15,C$16)</f>
        <v>0.2</v>
      </c>
      <c r="E63" s="93">
        <f ca="1">C63*D63</f>
        <v>1432.852161320051</v>
      </c>
      <c r="F63" s="70">
        <f t="shared" ca="1" si="11"/>
        <v>0.13</v>
      </c>
      <c r="G63" s="93">
        <f t="shared" ca="1" si="12"/>
        <v>11021.93970246193</v>
      </c>
      <c r="H63" s="93">
        <f t="shared" ca="1" si="13"/>
        <v>13025.928739273191</v>
      </c>
      <c r="I63" s="93">
        <f t="shared" ca="1" si="14"/>
        <v>17910.652016500637</v>
      </c>
      <c r="J63" s="93">
        <f t="shared" ca="1" si="7"/>
        <v>20071</v>
      </c>
      <c r="K63" s="73">
        <f t="shared" ca="1" si="15"/>
        <v>1</v>
      </c>
      <c r="L63" s="73">
        <f ca="1">IF(K63=1, IF(_xlfn.BINOM.INV(1, C$22, RAND())&gt;0, K63*2, C$23), IF(_xlfn.BINOM.INV(1, C$21, RAND())&gt;0, K63, C$23))</f>
        <v>1</v>
      </c>
      <c r="M63" s="93">
        <f t="shared" ca="1" si="16"/>
        <v>20071</v>
      </c>
      <c r="N63" s="70">
        <f ca="1">IF(AND(K63=1, L63&gt;1), C$20, IF(AND(K63&gt;1, L63&gt;1), C$19, 0))</f>
        <v>0</v>
      </c>
      <c r="O63" s="67">
        <f ca="1">IF(D63=15%,C$18,C$17)</f>
        <v>0.03</v>
      </c>
      <c r="P63" s="93">
        <f t="shared" ca="1" si="17"/>
        <v>975.66783867994911</v>
      </c>
      <c r="Q63" s="93">
        <f ca="1">J63*0.15 - C63*0.8 - C63*0.01</f>
        <v>-2792.4012533462064</v>
      </c>
      <c r="R63" s="66"/>
      <c r="S63" s="54">
        <f>SUM(V$42:V62)/SUM(V$42:V$69)</f>
        <v>0.99994891294035226</v>
      </c>
      <c r="T63" s="50" t="s">
        <v>275</v>
      </c>
      <c r="U63" s="79">
        <f>W63/V63</f>
        <v>106829</v>
      </c>
      <c r="V63" s="65">
        <v>5</v>
      </c>
      <c r="W63" s="81">
        <v>534145</v>
      </c>
      <c r="X63" s="85">
        <f>SUM(V$42:V63) / SUM(V$42:V$69)</f>
        <v>0.9999671583187979</v>
      </c>
      <c r="Y63" s="85">
        <f>SUM(W$42:W63) / SUM(W$42:W$69)</f>
        <v>0.99921053723634401</v>
      </c>
      <c r="AF63" s="66"/>
    </row>
    <row r="64" spans="1:32" x14ac:dyDescent="0.3">
      <c r="A64" s="51">
        <v>23</v>
      </c>
      <c r="B64" s="91">
        <f t="shared" ca="1" si="2"/>
        <v>0.14311554151712946</v>
      </c>
      <c r="C64" s="92">
        <f ca="1">VLOOKUP(B64,표4[#Data],3)</f>
        <v>1672.5106827944833</v>
      </c>
      <c r="D64" s="67">
        <f ca="1">IF(RAND()&gt;=D$15,C$15,C$16)</f>
        <v>0.15</v>
      </c>
      <c r="E64" s="93">
        <f ca="1">C64*D64</f>
        <v>250.87660241917249</v>
      </c>
      <c r="F64" s="70">
        <f t="shared" ca="1" si="11"/>
        <v>0.12</v>
      </c>
      <c r="G64" s="93">
        <f t="shared" ca="1" si="12"/>
        <v>2090.6383534931042</v>
      </c>
      <c r="H64" s="93">
        <f t="shared" ca="1" si="13"/>
        <v>2508.7660241917251</v>
      </c>
      <c r="I64" s="93">
        <f t="shared" ca="1" si="14"/>
        <v>3583.9514631310358</v>
      </c>
      <c r="J64" s="93">
        <f t="shared" ca="1" si="7"/>
        <v>10687</v>
      </c>
      <c r="K64" s="73">
        <f t="shared" ca="1" si="15"/>
        <v>1</v>
      </c>
      <c r="L64" s="73">
        <f ca="1">IF(K64=1, IF(_xlfn.BINOM.INV(1, C$22, RAND())&gt;0, K64*2, C$23), IF(_xlfn.BINOM.INV(1, C$21, RAND())&gt;0, K64, C$23))</f>
        <v>1</v>
      </c>
      <c r="M64" s="93">
        <f t="shared" ca="1" si="16"/>
        <v>10687</v>
      </c>
      <c r="N64" s="70">
        <f ca="1">IF(AND(K64=1, L64&gt;1), C$20, IF(AND(K64&gt;1, L64&gt;1), C$19, 0))</f>
        <v>0</v>
      </c>
      <c r="O64" s="67">
        <f ca="1">IF(D64=15%,C$18,C$17)</f>
        <v>0.05</v>
      </c>
      <c r="P64" s="93">
        <f t="shared" ca="1" si="17"/>
        <v>817.82339758082742</v>
      </c>
      <c r="Q64" s="93">
        <f ca="1">J64*0.15 - C64*0.8 - C64*0.01</f>
        <v>248.31634693646845</v>
      </c>
      <c r="R64" s="66"/>
      <c r="S64" s="54">
        <f>SUM(V$42:V63)/SUM(V$42:V$69)</f>
        <v>0.9999671583187979</v>
      </c>
      <c r="T64" s="50" t="s">
        <v>276</v>
      </c>
      <c r="U64" s="79">
        <f>W64/V64</f>
        <v>111429</v>
      </c>
      <c r="V64" s="65">
        <v>4</v>
      </c>
      <c r="W64" s="81">
        <v>445716</v>
      </c>
      <c r="X64" s="85">
        <f>SUM(V$42:V64) / SUM(V$42:V$69)</f>
        <v>0.99998175462155436</v>
      </c>
      <c r="Y64" s="85">
        <f>SUM(W$42:W64) / SUM(W$42:W$69)</f>
        <v>0.99950494822405189</v>
      </c>
      <c r="AF64" s="66"/>
    </row>
    <row r="65" spans="1:32" x14ac:dyDescent="0.3">
      <c r="A65" s="51">
        <v>24</v>
      </c>
      <c r="B65" s="91">
        <f t="shared" ca="1" si="2"/>
        <v>0.63649104045815641</v>
      </c>
      <c r="C65" s="92">
        <f ca="1">VLOOKUP(B65,표4[#Data],3)</f>
        <v>1672.5106827944833</v>
      </c>
      <c r="D65" s="67">
        <f ca="1">IF(RAND()&gt;=D$15,C$15,C$16)</f>
        <v>0.15</v>
      </c>
      <c r="E65" s="93">
        <f ca="1">C65*D65</f>
        <v>250.87660241917249</v>
      </c>
      <c r="F65" s="70">
        <f t="shared" ca="1" si="11"/>
        <v>0.12</v>
      </c>
      <c r="G65" s="93">
        <f t="shared" ca="1" si="12"/>
        <v>2090.6383534931042</v>
      </c>
      <c r="H65" s="93">
        <f t="shared" ca="1" si="13"/>
        <v>2508.7660241917251</v>
      </c>
      <c r="I65" s="93">
        <f t="shared" ca="1" si="14"/>
        <v>3583.9514631310358</v>
      </c>
      <c r="J65" s="93">
        <f t="shared" ca="1" si="7"/>
        <v>3806</v>
      </c>
      <c r="K65" s="73">
        <f t="shared" ca="1" si="15"/>
        <v>1</v>
      </c>
      <c r="L65" s="73">
        <f ca="1">IF(K65=1, IF(_xlfn.BINOM.INV(1, C$22, RAND())&gt;0, K65*2, C$23), IF(_xlfn.BINOM.INV(1, C$21, RAND())&gt;0, K65, C$23))</f>
        <v>1</v>
      </c>
      <c r="M65" s="93">
        <f t="shared" ca="1" si="16"/>
        <v>3806</v>
      </c>
      <c r="N65" s="70">
        <f ca="1">IF(AND(K65=1, L65&gt;1), C$20, IF(AND(K65&gt;1, L65&gt;1), C$19, 0))</f>
        <v>0</v>
      </c>
      <c r="O65" s="67">
        <f ca="1">IF(D65=15%,C$18,C$17)</f>
        <v>0.05</v>
      </c>
      <c r="P65" s="93">
        <f t="shared" ca="1" si="17"/>
        <v>129.72339758082745</v>
      </c>
      <c r="Q65" s="93">
        <f ca="1">J65*0.15 - C65*0.8 - C65*0.01</f>
        <v>-783.83365306353153</v>
      </c>
      <c r="R65" s="66"/>
      <c r="S65" s="54">
        <f>SUM(V$42:V64)/SUM(V$42:V$69)</f>
        <v>0.99998175462155436</v>
      </c>
      <c r="T65" s="50" t="s">
        <v>277</v>
      </c>
      <c r="U65" s="79">
        <f>W65/V65</f>
        <v>115288</v>
      </c>
      <c r="V65" s="65">
        <v>1</v>
      </c>
      <c r="W65" s="81">
        <v>115288</v>
      </c>
      <c r="X65" s="85">
        <f>SUM(V$42:V65) / SUM(V$42:V$69)</f>
        <v>0.99998540369724354</v>
      </c>
      <c r="Y65" s="85">
        <f>SUM(W$42:W65) / SUM(W$42:W$69)</f>
        <v>0.99958109997528111</v>
      </c>
      <c r="AF65" s="66"/>
    </row>
    <row r="66" spans="1:32" x14ac:dyDescent="0.3">
      <c r="A66" s="51">
        <v>25</v>
      </c>
      <c r="B66" s="91">
        <f t="shared" ca="1" si="2"/>
        <v>0.9418870739720957</v>
      </c>
      <c r="C66" s="92">
        <f ca="1">VLOOKUP(B66,표4[#Data],3)</f>
        <v>17243.006404326479</v>
      </c>
      <c r="D66" s="67">
        <f ca="1">IF(RAND()&gt;=D$15,C$15,C$16)</f>
        <v>0.2</v>
      </c>
      <c r="E66" s="93">
        <f ca="1">C66*D66</f>
        <v>3448.6012808652958</v>
      </c>
      <c r="F66" s="70">
        <f t="shared" ca="1" si="11"/>
        <v>0.13</v>
      </c>
      <c r="G66" s="93">
        <f t="shared" ca="1" si="12"/>
        <v>26527.702160502275</v>
      </c>
      <c r="H66" s="93">
        <f t="shared" ca="1" si="13"/>
        <v>31350.920735139054</v>
      </c>
      <c r="I66" s="93">
        <f t="shared" ca="1" si="14"/>
        <v>43107.516010816194</v>
      </c>
      <c r="J66" s="93">
        <f t="shared" ca="1" si="7"/>
        <v>6009</v>
      </c>
      <c r="K66" s="73">
        <f t="shared" ca="1" si="15"/>
        <v>7</v>
      </c>
      <c r="L66" s="73">
        <f ca="1">IF(K66=1, IF(_xlfn.BINOM.INV(1, C$22, RAND())&gt;0, K66*2, C$23), IF(_xlfn.BINOM.INV(1, C$21, RAND())&gt;0, K66, C$23))</f>
        <v>1</v>
      </c>
      <c r="M66" s="93">
        <f t="shared" ca="1" si="16"/>
        <v>6009</v>
      </c>
      <c r="N66" s="70">
        <f ca="1">IF(AND(K66=1, L66&gt;1), C$20, IF(AND(K66&gt;1, L66&gt;1), C$19, 0))</f>
        <v>0</v>
      </c>
      <c r="O66" s="67">
        <f ca="1">IF(D66=15%,C$18,C$17)</f>
        <v>0.03</v>
      </c>
      <c r="P66" s="93">
        <f t="shared" ca="1" si="17"/>
        <v>-2727.5212808652959</v>
      </c>
      <c r="Q66" s="93">
        <f ca="1">J66*0.15 - C66*0.8 - C66*0.01</f>
        <v>-13065.485187504448</v>
      </c>
      <c r="R66" s="66"/>
      <c r="S66" s="54">
        <f>SUM(V$42:V65)/SUM(V$42:V$69)</f>
        <v>0.99998540369724354</v>
      </c>
      <c r="T66" s="50" t="s">
        <v>278</v>
      </c>
      <c r="U66" s="79">
        <f>W66/V66</f>
        <v>120088</v>
      </c>
      <c r="V66" s="65">
        <v>1</v>
      </c>
      <c r="W66" s="81">
        <v>120088</v>
      </c>
      <c r="X66" s="85">
        <f>SUM(V$42:V66) / SUM(V$42:V$69)</f>
        <v>0.9999890527729326</v>
      </c>
      <c r="Y66" s="85">
        <f>SUM(W$42:W66) / SUM(W$42:W$69)</f>
        <v>0.9996604222941835</v>
      </c>
      <c r="AF66" s="66"/>
    </row>
    <row r="67" spans="1:32" x14ac:dyDescent="0.3">
      <c r="A67" s="51">
        <v>26</v>
      </c>
      <c r="B67" s="91">
        <f t="shared" ca="1" si="2"/>
        <v>0.90568417095000442</v>
      </c>
      <c r="C67" s="92">
        <f ca="1">VLOOKUP(B67,표4[#Data],3)</f>
        <v>17243.006404326479</v>
      </c>
      <c r="D67" s="67">
        <f ca="1">IF(RAND()&gt;=D$15,C$15,C$16)</f>
        <v>0.15</v>
      </c>
      <c r="E67" s="93">
        <f ca="1">C67*D67</f>
        <v>2586.4509606489719</v>
      </c>
      <c r="F67" s="70">
        <f t="shared" ca="1" si="11"/>
        <v>0.12</v>
      </c>
      <c r="G67" s="93">
        <f t="shared" ca="1" si="12"/>
        <v>21553.758005408101</v>
      </c>
      <c r="H67" s="93">
        <f t="shared" ca="1" si="13"/>
        <v>25864.509606489723</v>
      </c>
      <c r="I67" s="93">
        <f t="shared" ca="1" si="14"/>
        <v>36949.299437842463</v>
      </c>
      <c r="J67" s="93">
        <f t="shared" ca="1" si="7"/>
        <v>31883</v>
      </c>
      <c r="K67" s="73">
        <f t="shared" ca="1" si="15"/>
        <v>1</v>
      </c>
      <c r="L67" s="73">
        <f ca="1">IF(K67=1, IF(_xlfn.BINOM.INV(1, C$22, RAND())&gt;0, K67*2, C$23), IF(_xlfn.BINOM.INV(1, C$21, RAND())&gt;0, K67, C$23))</f>
        <v>1</v>
      </c>
      <c r="M67" s="93">
        <f t="shared" ca="1" si="16"/>
        <v>31883</v>
      </c>
      <c r="N67" s="70">
        <f ca="1">IF(AND(K67=1, L67&gt;1), C$20, IF(AND(K67&gt;1, L67&gt;1), C$19, 0))</f>
        <v>0</v>
      </c>
      <c r="O67" s="67">
        <f ca="1">IF(D67=15%,C$18,C$17)</f>
        <v>0.05</v>
      </c>
      <c r="P67" s="93">
        <f t="shared" ca="1" si="17"/>
        <v>601.84903935102784</v>
      </c>
      <c r="Q67" s="93">
        <f ca="1">J67*0.15 - C67*0.8 - C67*0.01</f>
        <v>-9184.3851875044475</v>
      </c>
      <c r="R67" s="66"/>
      <c r="S67" s="54">
        <f>SUM(V$42:V66)/SUM(V$42:V$69)</f>
        <v>0.9999890527729326</v>
      </c>
      <c r="T67" s="50" t="s">
        <v>279</v>
      </c>
      <c r="U67" s="79">
        <f>W67/V67</f>
        <v>142908</v>
      </c>
      <c r="V67" s="65">
        <v>1</v>
      </c>
      <c r="W67" s="81">
        <v>142908</v>
      </c>
      <c r="X67" s="85">
        <f>SUM(V$42:V67) / SUM(V$42:V$69)</f>
        <v>0.99999270184862177</v>
      </c>
      <c r="Y67" s="85">
        <f>SUM(W$42:W67) / SUM(W$42:W$69)</f>
        <v>0.99975481802023181</v>
      </c>
      <c r="AF67" s="66"/>
    </row>
    <row r="68" spans="1:32" x14ac:dyDescent="0.3">
      <c r="A68" s="51">
        <v>27</v>
      </c>
      <c r="B68" s="91">
        <f t="shared" ca="1" si="2"/>
        <v>0.277106923711118</v>
      </c>
      <c r="C68" s="92">
        <f ca="1">VLOOKUP(B68,표4[#Data],3)</f>
        <v>1672.5106827944833</v>
      </c>
      <c r="D68" s="67">
        <f ca="1">IF(RAND()&gt;=D$15,C$15,C$16)</f>
        <v>0.15</v>
      </c>
      <c r="E68" s="93">
        <f ca="1">C68*D68</f>
        <v>250.87660241917249</v>
      </c>
      <c r="F68" s="70">
        <f t="shared" ca="1" si="11"/>
        <v>0.12</v>
      </c>
      <c r="G68" s="93">
        <f t="shared" ca="1" si="12"/>
        <v>2090.6383534931042</v>
      </c>
      <c r="H68" s="93">
        <f t="shared" ca="1" si="13"/>
        <v>2508.7660241917251</v>
      </c>
      <c r="I68" s="93">
        <f t="shared" ca="1" si="14"/>
        <v>3583.9514631310358</v>
      </c>
      <c r="J68" s="93">
        <f t="shared" ca="1" si="7"/>
        <v>25374</v>
      </c>
      <c r="K68" s="73">
        <f t="shared" ca="1" si="15"/>
        <v>1</v>
      </c>
      <c r="L68" s="73">
        <f ca="1">IF(K68=1, IF(_xlfn.BINOM.INV(1, C$22, RAND())&gt;0, K68*2, C$23), IF(_xlfn.BINOM.INV(1, C$21, RAND())&gt;0, K68, C$23))</f>
        <v>1</v>
      </c>
      <c r="M68" s="93">
        <f t="shared" ca="1" si="16"/>
        <v>25374</v>
      </c>
      <c r="N68" s="70">
        <f ca="1">IF(AND(K68=1, L68&gt;1), C$20, IF(AND(K68&gt;1, L68&gt;1), C$19, 0))</f>
        <v>0</v>
      </c>
      <c r="O68" s="67">
        <f ca="1">IF(D68=15%,C$18,C$17)</f>
        <v>0.05</v>
      </c>
      <c r="P68" s="93">
        <f t="shared" ca="1" si="17"/>
        <v>2286.5233975808278</v>
      </c>
      <c r="Q68" s="93">
        <f ca="1">J68*0.15 - C68*0.8 - C68*0.01</f>
        <v>2451.3663469364683</v>
      </c>
      <c r="R68" s="66"/>
      <c r="S68" s="54">
        <f>SUM(V$42:V67)/SUM(V$42:V$69)</f>
        <v>0.99999270184862177</v>
      </c>
      <c r="T68" s="50" t="s">
        <v>280</v>
      </c>
      <c r="U68" s="79">
        <f>W68/V68</f>
        <v>171083</v>
      </c>
      <c r="V68" s="65">
        <v>1</v>
      </c>
      <c r="W68" s="81">
        <v>171083</v>
      </c>
      <c r="X68" s="85">
        <f>SUM(V$42:V68) / SUM(V$42:V$69)</f>
        <v>0.99999635092431083</v>
      </c>
      <c r="Y68" s="85">
        <f>SUM(W$42:W68) / SUM(W$42:W$69)</f>
        <v>0.99986782431798649</v>
      </c>
      <c r="AF68" s="66"/>
    </row>
    <row r="69" spans="1:32" x14ac:dyDescent="0.3">
      <c r="A69" s="51">
        <v>28</v>
      </c>
      <c r="B69" s="91">
        <f t="shared" ca="1" si="2"/>
        <v>0.43996010921628248</v>
      </c>
      <c r="C69" s="92">
        <f ca="1">VLOOKUP(B69,표4[#Data],3)</f>
        <v>1672.5106827944833</v>
      </c>
      <c r="D69" s="67">
        <f ca="1">IF(RAND()&gt;=D$15,C$15,C$16)</f>
        <v>0.15</v>
      </c>
      <c r="E69" s="93">
        <f ca="1">C69*D69</f>
        <v>250.87660241917249</v>
      </c>
      <c r="F69" s="70">
        <f t="shared" ca="1" si="11"/>
        <v>0.12</v>
      </c>
      <c r="G69" s="93">
        <f t="shared" ca="1" si="12"/>
        <v>2090.6383534931042</v>
      </c>
      <c r="H69" s="93">
        <f t="shared" ca="1" si="13"/>
        <v>2508.7660241917251</v>
      </c>
      <c r="I69" s="93">
        <f t="shared" ca="1" si="14"/>
        <v>3583.9514631310358</v>
      </c>
      <c r="J69" s="93">
        <f t="shared" ca="1" si="7"/>
        <v>4925</v>
      </c>
      <c r="K69" s="73">
        <f t="shared" ca="1" si="15"/>
        <v>1</v>
      </c>
      <c r="L69" s="73">
        <f ca="1">IF(K69=1, IF(_xlfn.BINOM.INV(1, C$22, RAND())&gt;0, K69*2, C$23), IF(_xlfn.BINOM.INV(1, C$21, RAND())&gt;0, K69, C$23))</f>
        <v>1</v>
      </c>
      <c r="M69" s="93">
        <f t="shared" ca="1" si="16"/>
        <v>4925</v>
      </c>
      <c r="N69" s="70">
        <f ca="1">IF(AND(K69=1, L69&gt;1), C$20, IF(AND(K69&gt;1, L69&gt;1), C$19, 0))</f>
        <v>0</v>
      </c>
      <c r="O69" s="67">
        <f ca="1">IF(D69=15%,C$18,C$17)</f>
        <v>0.05</v>
      </c>
      <c r="P69" s="93">
        <f t="shared" ca="1" si="17"/>
        <v>241.62339758082749</v>
      </c>
      <c r="Q69" s="93">
        <f ca="1">J69*0.15 - C69*0.8 - C69*0.01</f>
        <v>-615.98365306353151</v>
      </c>
      <c r="R69" s="66"/>
      <c r="S69" s="54">
        <f>SUM(V$42:V68)/SUM(V$42:V$69)</f>
        <v>0.99999635092431083</v>
      </c>
      <c r="T69" s="50" t="s">
        <v>281</v>
      </c>
      <c r="U69" s="79">
        <f>W69/V69</f>
        <v>200104</v>
      </c>
      <c r="V69" s="65">
        <v>1</v>
      </c>
      <c r="W69" s="81">
        <v>200104</v>
      </c>
      <c r="X69" s="85">
        <f>SUM(V$42:V69) / SUM(V$42:V$69)</f>
        <v>1</v>
      </c>
      <c r="Y69" s="85">
        <f>SUM(W$42:W69) / SUM(W$42:W$69)</f>
        <v>1</v>
      </c>
      <c r="AF69" s="66"/>
    </row>
    <row r="70" spans="1:32" x14ac:dyDescent="0.3">
      <c r="A70" s="51">
        <v>29</v>
      </c>
      <c r="B70" s="91">
        <f t="shared" ca="1" si="2"/>
        <v>0.19324377505513024</v>
      </c>
      <c r="C70" s="92">
        <f ca="1">VLOOKUP(B70,표4[#Data],3)</f>
        <v>1672.5106827944833</v>
      </c>
      <c r="D70" s="67">
        <f ca="1">IF(RAND()&gt;=D$15,C$15,C$16)</f>
        <v>0.15</v>
      </c>
      <c r="E70" s="93">
        <f ca="1">C70*D70</f>
        <v>250.87660241917249</v>
      </c>
      <c r="F70" s="70">
        <f t="shared" ca="1" si="11"/>
        <v>0.12</v>
      </c>
      <c r="G70" s="93">
        <f t="shared" ca="1" si="12"/>
        <v>2090.6383534931042</v>
      </c>
      <c r="H70" s="93">
        <f t="shared" ca="1" si="13"/>
        <v>2508.7660241917251</v>
      </c>
      <c r="I70" s="93">
        <f t="shared" ca="1" si="14"/>
        <v>3583.9514631310358</v>
      </c>
      <c r="J70" s="93">
        <f t="shared" ca="1" si="7"/>
        <v>15110</v>
      </c>
      <c r="K70" s="73">
        <f t="shared" ca="1" si="15"/>
        <v>1</v>
      </c>
      <c r="L70" s="73">
        <f ca="1">IF(K70=1, IF(_xlfn.BINOM.INV(1, C$22, RAND())&gt;0, K70*2, C$23), IF(_xlfn.BINOM.INV(1, C$21, RAND())&gt;0, K70, C$23))</f>
        <v>1</v>
      </c>
      <c r="M70" s="93">
        <f t="shared" ca="1" si="16"/>
        <v>15110</v>
      </c>
      <c r="N70" s="70">
        <f ca="1">IF(AND(K70=1, L70&gt;1), C$20, IF(AND(K70&gt;1, L70&gt;1), C$19, 0))</f>
        <v>0</v>
      </c>
      <c r="O70" s="67">
        <f ca="1">IF(D70=15%,C$18,C$17)</f>
        <v>0.05</v>
      </c>
      <c r="P70" s="93">
        <f t="shared" ca="1" si="17"/>
        <v>1260.1233975808275</v>
      </c>
      <c r="Q70" s="93">
        <f ca="1">J70*0.15 - C70*0.8 - C70*0.01</f>
        <v>911.76634693646849</v>
      </c>
      <c r="R70" s="66"/>
      <c r="S70" s="55"/>
      <c r="U70" s="79"/>
      <c r="V70" s="65"/>
      <c r="W70" s="81"/>
      <c r="X70" s="55"/>
      <c r="Y70" s="55"/>
      <c r="AF70" s="66"/>
    </row>
    <row r="71" spans="1:32" x14ac:dyDescent="0.3">
      <c r="A71" s="51">
        <v>30</v>
      </c>
      <c r="B71" s="91">
        <f t="shared" ca="1" si="2"/>
        <v>0.57220547552644629</v>
      </c>
      <c r="C71" s="92">
        <f ca="1">VLOOKUP(B71,표4[#Data],3)</f>
        <v>1672.5106827944833</v>
      </c>
      <c r="D71" s="67">
        <f ca="1">IF(RAND()&gt;=D$15,C$15,C$16)</f>
        <v>0.2</v>
      </c>
      <c r="E71" s="93">
        <f ca="1">C71*D71</f>
        <v>334.50213655889667</v>
      </c>
      <c r="F71" s="70">
        <f t="shared" ca="1" si="11"/>
        <v>0.13</v>
      </c>
      <c r="G71" s="93">
        <f t="shared" ca="1" si="12"/>
        <v>2573.0933581453587</v>
      </c>
      <c r="H71" s="93">
        <f t="shared" ca="1" si="13"/>
        <v>3040.9285141717878</v>
      </c>
      <c r="I71" s="93">
        <f t="shared" ca="1" si="14"/>
        <v>4181.2767069862084</v>
      </c>
      <c r="J71" s="93">
        <f t="shared" ca="1" si="7"/>
        <v>5513</v>
      </c>
      <c r="K71" s="73">
        <f t="shared" ca="1" si="15"/>
        <v>1</v>
      </c>
      <c r="L71" s="73">
        <f ca="1">IF(K71=1, IF(_xlfn.BINOM.INV(1, C$22, RAND())&gt;0, K71*2, C$23), IF(_xlfn.BINOM.INV(1, C$21, RAND())&gt;0, K71, C$23))</f>
        <v>1</v>
      </c>
      <c r="M71" s="93">
        <f t="shared" ca="1" si="16"/>
        <v>5513</v>
      </c>
      <c r="N71" s="70">
        <f ca="1">IF(AND(K71=1, L71&gt;1), C$20, IF(AND(K71&gt;1, L71&gt;1), C$19, 0))</f>
        <v>0</v>
      </c>
      <c r="O71" s="67">
        <f ca="1">IF(D71=15%,C$18,C$17)</f>
        <v>0.03</v>
      </c>
      <c r="P71" s="93">
        <f t="shared" ca="1" si="17"/>
        <v>327.05786344110328</v>
      </c>
      <c r="Q71" s="93">
        <f ca="1">J71*0.15 - C71*0.8 - C71*0.01</f>
        <v>-527.78365306353157</v>
      </c>
      <c r="R71" s="66"/>
      <c r="AF71" s="66"/>
    </row>
    <row r="72" spans="1:32" x14ac:dyDescent="0.3">
      <c r="A72" s="51">
        <v>31</v>
      </c>
      <c r="B72" s="91">
        <f t="shared" ca="1" si="2"/>
        <v>0.82062446515235332</v>
      </c>
      <c r="C72" s="92">
        <f ca="1">VLOOKUP(B72,표4[#Data],3)</f>
        <v>12285.574360263015</v>
      </c>
      <c r="D72" s="67">
        <f ca="1">IF(RAND()&gt;=D$15,C$15,C$16)</f>
        <v>0.15</v>
      </c>
      <c r="E72" s="93">
        <f ca="1">C72*D72</f>
        <v>1842.8361540394521</v>
      </c>
      <c r="F72" s="70">
        <f t="shared" ca="1" si="11"/>
        <v>0.12</v>
      </c>
      <c r="G72" s="93">
        <f t="shared" ca="1" si="12"/>
        <v>15356.967950328768</v>
      </c>
      <c r="H72" s="93">
        <f t="shared" ca="1" si="13"/>
        <v>18428.361540394522</v>
      </c>
      <c r="I72" s="93">
        <f t="shared" ca="1" si="14"/>
        <v>26326.230771992177</v>
      </c>
      <c r="J72" s="93">
        <f t="shared" ca="1" si="7"/>
        <v>5319</v>
      </c>
      <c r="K72" s="73">
        <f t="shared" ca="1" si="15"/>
        <v>5</v>
      </c>
      <c r="L72" s="73">
        <f ca="1">IF(K72=1, IF(_xlfn.BINOM.INV(1, C$22, RAND())&gt;0, K72*2, C$23), IF(_xlfn.BINOM.INV(1, C$21, RAND())&gt;0, K72, C$23))</f>
        <v>1</v>
      </c>
      <c r="M72" s="93">
        <f t="shared" ca="1" si="16"/>
        <v>5319</v>
      </c>
      <c r="N72" s="70">
        <f ca="1">IF(AND(K72=1, L72&gt;1), C$20, IF(AND(K72&gt;1, L72&gt;1), C$19, 0))</f>
        <v>0</v>
      </c>
      <c r="O72" s="67">
        <f ca="1">IF(D72=15%,C$18,C$17)</f>
        <v>0.05</v>
      </c>
      <c r="P72" s="93">
        <f t="shared" ca="1" si="17"/>
        <v>-1310.9361540394523</v>
      </c>
      <c r="Q72" s="93">
        <f ca="1">J72*0.15 - C72*0.8 - C72*0.01</f>
        <v>-9153.4652318130429</v>
      </c>
      <c r="R72" s="66"/>
      <c r="AF72" s="66"/>
    </row>
    <row r="73" spans="1:32" x14ac:dyDescent="0.3">
      <c r="A73" s="51">
        <v>32</v>
      </c>
      <c r="B73" s="91">
        <f t="shared" ca="1" si="2"/>
        <v>0.93536437857296995</v>
      </c>
      <c r="C73" s="92">
        <f ca="1">VLOOKUP(B73,표4[#Data],3)</f>
        <v>17243.006404326479</v>
      </c>
      <c r="D73" s="67">
        <f ca="1">IF(RAND()&gt;=D$15,C$15,C$16)</f>
        <v>0.15</v>
      </c>
      <c r="E73" s="93">
        <f ca="1">C73*D73</f>
        <v>2586.4509606489719</v>
      </c>
      <c r="F73" s="70">
        <f t="shared" ca="1" si="11"/>
        <v>0.12</v>
      </c>
      <c r="G73" s="93">
        <f t="shared" ca="1" si="12"/>
        <v>21553.758005408101</v>
      </c>
      <c r="H73" s="93">
        <f t="shared" ca="1" si="13"/>
        <v>25864.509606489723</v>
      </c>
      <c r="I73" s="93">
        <f t="shared" ca="1" si="14"/>
        <v>36949.299437842463</v>
      </c>
      <c r="J73" s="93">
        <f t="shared" ca="1" si="7"/>
        <v>25047</v>
      </c>
      <c r="K73" s="73">
        <f t="shared" ca="1" si="15"/>
        <v>1</v>
      </c>
      <c r="L73" s="73">
        <f ca="1">IF(K73=1, IF(_xlfn.BINOM.INV(1, C$22, RAND())&gt;0, K73*2, C$23), IF(_xlfn.BINOM.INV(1, C$21, RAND())&gt;0, K73, C$23))</f>
        <v>1</v>
      </c>
      <c r="M73" s="93">
        <f t="shared" ca="1" si="16"/>
        <v>25047</v>
      </c>
      <c r="N73" s="70">
        <f ca="1">IF(AND(K73=1, L73&gt;1), C$20, IF(AND(K73&gt;1, L73&gt;1), C$19, 0))</f>
        <v>0</v>
      </c>
      <c r="O73" s="67">
        <f ca="1">IF(D73=15%,C$18,C$17)</f>
        <v>0.05</v>
      </c>
      <c r="P73" s="93">
        <f t="shared" ca="1" si="17"/>
        <v>-81.750960648972296</v>
      </c>
      <c r="Q73" s="93">
        <f ca="1">J73*0.15 - C73*0.8 - C73*0.01</f>
        <v>-10209.785187504449</v>
      </c>
      <c r="R73" s="66"/>
      <c r="AF73" s="66"/>
    </row>
    <row r="74" spans="1:32" x14ac:dyDescent="0.3">
      <c r="A74" s="51">
        <v>33</v>
      </c>
      <c r="B74" s="91">
        <f t="shared" ca="1" si="2"/>
        <v>0.47825064221727531</v>
      </c>
      <c r="C74" s="92">
        <f ca="1">VLOOKUP(B74,표4[#Data],3)</f>
        <v>1672.5106827944833</v>
      </c>
      <c r="D74" s="67">
        <f ca="1">IF(RAND()&gt;=D$15,C$15,C$16)</f>
        <v>0.15</v>
      </c>
      <c r="E74" s="93">
        <f ca="1">C74*D74</f>
        <v>250.87660241917249</v>
      </c>
      <c r="F74" s="70">
        <f t="shared" ca="1" si="11"/>
        <v>0.12</v>
      </c>
      <c r="G74" s="93">
        <f t="shared" ca="1" si="12"/>
        <v>2090.6383534931042</v>
      </c>
      <c r="H74" s="93">
        <f t="shared" ca="1" si="13"/>
        <v>2508.7660241917251</v>
      </c>
      <c r="I74" s="93">
        <f t="shared" ca="1" si="14"/>
        <v>3583.9514631310358</v>
      </c>
      <c r="J74" s="93">
        <f t="shared" ca="1" si="7"/>
        <v>4981</v>
      </c>
      <c r="K74" s="73">
        <f t="shared" ca="1" si="15"/>
        <v>1</v>
      </c>
      <c r="L74" s="73">
        <f ca="1">IF(K74=1, IF(_xlfn.BINOM.INV(1, C$22, RAND())&gt;0, K74*2, C$23), IF(_xlfn.BINOM.INV(1, C$21, RAND())&gt;0, K74, C$23))</f>
        <v>1</v>
      </c>
      <c r="M74" s="93">
        <f t="shared" ca="1" si="16"/>
        <v>4981</v>
      </c>
      <c r="N74" s="70">
        <f ca="1">IF(AND(K74=1, L74&gt;1), C$20, IF(AND(K74&gt;1, L74&gt;1), C$19, 0))</f>
        <v>0</v>
      </c>
      <c r="O74" s="67">
        <f ca="1">IF(D74=15%,C$18,C$17)</f>
        <v>0.05</v>
      </c>
      <c r="P74" s="93">
        <f t="shared" ca="1" si="17"/>
        <v>247.22339758082745</v>
      </c>
      <c r="Q74" s="93">
        <f ca="1">J74*0.15 - C74*0.8 - C74*0.01</f>
        <v>-607.58365306353153</v>
      </c>
      <c r="R74" s="66"/>
      <c r="AF74" s="66"/>
    </row>
    <row r="75" spans="1:32" x14ac:dyDescent="0.3">
      <c r="A75" s="51">
        <v>34</v>
      </c>
      <c r="B75" s="91">
        <f t="shared" ca="1" si="2"/>
        <v>0.47635578082705576</v>
      </c>
      <c r="C75" s="92">
        <f ca="1">VLOOKUP(B75,표4[#Data],3)</f>
        <v>1672.5106827944833</v>
      </c>
      <c r="D75" s="67">
        <f ca="1">IF(RAND()&gt;=D$15,C$15,C$16)</f>
        <v>0.2</v>
      </c>
      <c r="E75" s="93">
        <f ca="1">C75*D75</f>
        <v>334.50213655889667</v>
      </c>
      <c r="F75" s="70">
        <f t="shared" ca="1" si="11"/>
        <v>0.13</v>
      </c>
      <c r="G75" s="93">
        <f t="shared" ca="1" si="12"/>
        <v>2573.0933581453587</v>
      </c>
      <c r="H75" s="93">
        <f t="shared" ca="1" si="13"/>
        <v>3040.9285141717878</v>
      </c>
      <c r="I75" s="93">
        <f t="shared" ca="1" si="14"/>
        <v>4181.2767069862084</v>
      </c>
      <c r="J75" s="93">
        <f t="shared" ca="1" si="7"/>
        <v>3577</v>
      </c>
      <c r="K75" s="73">
        <f t="shared" ca="1" si="15"/>
        <v>1</v>
      </c>
      <c r="L75" s="73">
        <f ca="1">IF(K75=1, IF(_xlfn.BINOM.INV(1, C$22, RAND())&gt;0, K75*2, C$23), IF(_xlfn.BINOM.INV(1, C$21, RAND())&gt;0, K75, C$23))</f>
        <v>1</v>
      </c>
      <c r="M75" s="93">
        <f t="shared" ca="1" si="16"/>
        <v>3577</v>
      </c>
      <c r="N75" s="70">
        <f ca="1">IF(AND(K75=1, L75&gt;1), C$20, IF(AND(K75&gt;1, L75&gt;1), C$19, 0))</f>
        <v>0</v>
      </c>
      <c r="O75" s="67">
        <f ca="1">IF(D75=15%,C$18,C$17)</f>
        <v>0.03</v>
      </c>
      <c r="P75" s="93">
        <f t="shared" ca="1" si="17"/>
        <v>94.737863441103286</v>
      </c>
      <c r="Q75" s="93">
        <f ca="1">J75*0.15 - C75*0.8 - C75*0.01</f>
        <v>-818.18365306353155</v>
      </c>
      <c r="R75" s="66"/>
      <c r="AF75" s="66"/>
    </row>
    <row r="76" spans="1:32" x14ac:dyDescent="0.3">
      <c r="A76" s="51">
        <v>35</v>
      </c>
      <c r="B76" s="91">
        <f t="shared" ca="1" si="2"/>
        <v>0.25673887015174757</v>
      </c>
      <c r="C76" s="92">
        <f ca="1">VLOOKUP(B76,표4[#Data],3)</f>
        <v>1672.5106827944833</v>
      </c>
      <c r="D76" s="67">
        <f ca="1">IF(RAND()&gt;=D$15,C$15,C$16)</f>
        <v>0.2</v>
      </c>
      <c r="E76" s="93">
        <f ca="1">C76*D76</f>
        <v>334.50213655889667</v>
      </c>
      <c r="F76" s="70">
        <f t="shared" ca="1" si="11"/>
        <v>0.13</v>
      </c>
      <c r="G76" s="93">
        <f t="shared" ca="1" si="12"/>
        <v>2573.0933581453587</v>
      </c>
      <c r="H76" s="93">
        <f t="shared" ca="1" si="13"/>
        <v>3040.9285141717878</v>
      </c>
      <c r="I76" s="93">
        <f t="shared" ca="1" si="14"/>
        <v>4181.2767069862084</v>
      </c>
      <c r="J76" s="93">
        <f t="shared" ca="1" si="7"/>
        <v>6920</v>
      </c>
      <c r="K76" s="73">
        <f t="shared" ca="1" si="15"/>
        <v>1</v>
      </c>
      <c r="L76" s="73">
        <f ca="1">IF(K76=1, IF(_xlfn.BINOM.INV(1, C$22, RAND())&gt;0, K76*2, C$23), IF(_xlfn.BINOM.INV(1, C$21, RAND())&gt;0, K76, C$23))</f>
        <v>1</v>
      </c>
      <c r="M76" s="93">
        <f t="shared" ca="1" si="16"/>
        <v>6920</v>
      </c>
      <c r="N76" s="70">
        <f ca="1">IF(AND(K76=1, L76&gt;1), C$20, IF(AND(K76&gt;1, L76&gt;1), C$19, 0))</f>
        <v>0</v>
      </c>
      <c r="O76" s="67">
        <f ca="1">IF(D76=15%,C$18,C$17)</f>
        <v>0.03</v>
      </c>
      <c r="P76" s="93">
        <f t="shared" ca="1" si="17"/>
        <v>495.89786344110337</v>
      </c>
      <c r="Q76" s="93">
        <f ca="1">J76*0.15 - C76*0.8 - C76*0.01</f>
        <v>-316.73365306353151</v>
      </c>
      <c r="R76" s="66"/>
      <c r="AF76" s="66"/>
    </row>
    <row r="77" spans="1:32" x14ac:dyDescent="0.3">
      <c r="A77" s="51">
        <v>36</v>
      </c>
      <c r="B77" s="91">
        <f t="shared" ca="1" si="2"/>
        <v>0.15598470925521035</v>
      </c>
      <c r="C77" s="92">
        <f ca="1">VLOOKUP(B77,표4[#Data],3)</f>
        <v>1672.5106827944833</v>
      </c>
      <c r="D77" s="67">
        <f ca="1">IF(RAND()&gt;=D$15,C$15,C$16)</f>
        <v>0.15</v>
      </c>
      <c r="E77" s="93">
        <f ca="1">C77*D77</f>
        <v>250.87660241917249</v>
      </c>
      <c r="F77" s="70">
        <f t="shared" ca="1" si="11"/>
        <v>0.12</v>
      </c>
      <c r="G77" s="93">
        <f t="shared" ca="1" si="12"/>
        <v>2090.6383534931042</v>
      </c>
      <c r="H77" s="93">
        <f t="shared" ca="1" si="13"/>
        <v>2508.7660241917251</v>
      </c>
      <c r="I77" s="93">
        <f t="shared" ca="1" si="14"/>
        <v>3583.9514631310358</v>
      </c>
      <c r="J77" s="93">
        <f t="shared" ca="1" si="7"/>
        <v>3535</v>
      </c>
      <c r="K77" s="73">
        <f t="shared" ca="1" si="15"/>
        <v>1</v>
      </c>
      <c r="L77" s="73">
        <f ca="1">IF(K77=1, IF(_xlfn.BINOM.INV(1, C$22, RAND())&gt;0, K77*2, C$23), IF(_xlfn.BINOM.INV(1, C$21, RAND())&gt;0, K77, C$23))</f>
        <v>1</v>
      </c>
      <c r="M77" s="93">
        <f t="shared" ca="1" si="16"/>
        <v>3535</v>
      </c>
      <c r="N77" s="70">
        <f ca="1">IF(AND(K77=1, L77&gt;1), C$20, IF(AND(K77&gt;1, L77&gt;1), C$19, 0))</f>
        <v>0</v>
      </c>
      <c r="O77" s="67">
        <f ca="1">IF(D77=15%,C$18,C$17)</f>
        <v>0.05</v>
      </c>
      <c r="P77" s="93">
        <f t="shared" ca="1" si="17"/>
        <v>102.62339758082749</v>
      </c>
      <c r="Q77" s="93">
        <f ca="1">J77*0.15 - C77*0.8 - C77*0.01</f>
        <v>-824.48365306353151</v>
      </c>
      <c r="R77" s="66"/>
      <c r="AF77" s="66"/>
    </row>
    <row r="78" spans="1:32" x14ac:dyDescent="0.3">
      <c r="A78" s="51">
        <v>37</v>
      </c>
      <c r="B78" s="91">
        <f t="shared" ca="1" si="2"/>
        <v>0.18385114631631361</v>
      </c>
      <c r="C78" s="92">
        <f ca="1">VLOOKUP(B78,표4[#Data],3)</f>
        <v>1672.5106827944833</v>
      </c>
      <c r="D78" s="67">
        <f ca="1">IF(RAND()&gt;=D$15,C$15,C$16)</f>
        <v>0.15</v>
      </c>
      <c r="E78" s="93">
        <f ca="1">C78*D78</f>
        <v>250.87660241917249</v>
      </c>
      <c r="F78" s="70">
        <f t="shared" ca="1" si="11"/>
        <v>0.12</v>
      </c>
      <c r="G78" s="93">
        <f t="shared" ca="1" si="12"/>
        <v>2090.6383534931042</v>
      </c>
      <c r="H78" s="93">
        <f t="shared" ca="1" si="13"/>
        <v>2508.7660241917251</v>
      </c>
      <c r="I78" s="93">
        <f t="shared" ca="1" si="14"/>
        <v>3583.9514631310358</v>
      </c>
      <c r="J78" s="93">
        <f t="shared" ca="1" si="7"/>
        <v>13328</v>
      </c>
      <c r="K78" s="73">
        <f t="shared" ca="1" si="15"/>
        <v>1</v>
      </c>
      <c r="L78" s="73">
        <f ca="1">IF(K78=1, IF(_xlfn.BINOM.INV(1, C$22, RAND())&gt;0, K78*2, C$23), IF(_xlfn.BINOM.INV(1, C$21, RAND())&gt;0, K78, C$23))</f>
        <v>1</v>
      </c>
      <c r="M78" s="93">
        <f t="shared" ca="1" si="16"/>
        <v>13328</v>
      </c>
      <c r="N78" s="70">
        <f ca="1">IF(AND(K78=1, L78&gt;1), C$20, IF(AND(K78&gt;1, L78&gt;1), C$19, 0))</f>
        <v>0</v>
      </c>
      <c r="O78" s="67">
        <f ca="1">IF(D78=15%,C$18,C$17)</f>
        <v>0.05</v>
      </c>
      <c r="P78" s="93">
        <f t="shared" ca="1" si="17"/>
        <v>1081.9233975808272</v>
      </c>
      <c r="Q78" s="93">
        <f ca="1">J78*0.15 - C78*0.8 - C78*0.01</f>
        <v>644.46634693646831</v>
      </c>
      <c r="R78" s="66"/>
      <c r="AF78" s="66"/>
    </row>
    <row r="79" spans="1:32" x14ac:dyDescent="0.3">
      <c r="A79" s="51">
        <v>38</v>
      </c>
      <c r="B79" s="91">
        <f t="shared" ca="1" si="2"/>
        <v>0.74120645880792024</v>
      </c>
      <c r="C79" s="92">
        <f ca="1">VLOOKUP(B79,표4[#Data],3)</f>
        <v>7164.2608066002549</v>
      </c>
      <c r="D79" s="67">
        <f ca="1">IF(RAND()&gt;=D$15,C$15,C$16)</f>
        <v>0.2</v>
      </c>
      <c r="E79" s="93">
        <f ca="1">C79*D79</f>
        <v>1432.852161320051</v>
      </c>
      <c r="F79" s="70">
        <f t="shared" ca="1" si="11"/>
        <v>0.13</v>
      </c>
      <c r="G79" s="93">
        <f t="shared" ca="1" si="12"/>
        <v>11021.93970246193</v>
      </c>
      <c r="H79" s="93">
        <f t="shared" ca="1" si="13"/>
        <v>13025.928739273191</v>
      </c>
      <c r="I79" s="93">
        <f t="shared" ca="1" si="14"/>
        <v>17910.652016500637</v>
      </c>
      <c r="J79" s="93">
        <f t="shared" ca="1" si="7"/>
        <v>6083</v>
      </c>
      <c r="K79" s="73">
        <f t="shared" ca="1" si="15"/>
        <v>3</v>
      </c>
      <c r="L79" s="73">
        <f ca="1">IF(K79=1, IF(_xlfn.BINOM.INV(1, C$22, RAND())&gt;0, K79*2, C$23), IF(_xlfn.BINOM.INV(1, C$21, RAND())&gt;0, K79, C$23))</f>
        <v>1</v>
      </c>
      <c r="M79" s="93">
        <f t="shared" ca="1" si="16"/>
        <v>6083</v>
      </c>
      <c r="N79" s="70">
        <f ca="1">IF(AND(K79=1, L79&gt;1), C$20, IF(AND(K79&gt;1, L79&gt;1), C$19, 0))</f>
        <v>0</v>
      </c>
      <c r="O79" s="67">
        <f ca="1">IF(D79=15%,C$18,C$17)</f>
        <v>0.03</v>
      </c>
      <c r="P79" s="93">
        <f t="shared" ca="1" si="17"/>
        <v>-702.89216132005106</v>
      </c>
      <c r="Q79" s="93">
        <f ca="1">J79*0.15 - C79*0.8 - C79*0.01</f>
        <v>-4890.6012533462062</v>
      </c>
      <c r="R79" s="66"/>
      <c r="AF79" s="66"/>
    </row>
    <row r="80" spans="1:32" x14ac:dyDescent="0.3">
      <c r="A80" s="51">
        <v>39</v>
      </c>
      <c r="B80" s="91">
        <f t="shared" ca="1" si="2"/>
        <v>0.84409882333484587</v>
      </c>
      <c r="C80" s="92">
        <f ca="1">VLOOKUP(B80,표4[#Data],3)</f>
        <v>12285.574360263015</v>
      </c>
      <c r="D80" s="67">
        <f ca="1">IF(RAND()&gt;=D$15,C$15,C$16)</f>
        <v>0.2</v>
      </c>
      <c r="E80" s="93">
        <f ca="1">C80*D80</f>
        <v>2457.1148720526035</v>
      </c>
      <c r="F80" s="70">
        <f t="shared" ca="1" si="11"/>
        <v>0.13</v>
      </c>
      <c r="G80" s="93">
        <f t="shared" ca="1" si="12"/>
        <v>18900.883631173871</v>
      </c>
      <c r="H80" s="93">
        <f t="shared" ca="1" si="13"/>
        <v>22337.407927750941</v>
      </c>
      <c r="I80" s="93">
        <f t="shared" ca="1" si="14"/>
        <v>30713.935900657543</v>
      </c>
      <c r="J80" s="93">
        <f t="shared" ca="1" si="7"/>
        <v>40368</v>
      </c>
      <c r="K80" s="73">
        <f t="shared" ca="1" si="15"/>
        <v>1</v>
      </c>
      <c r="L80" s="73">
        <f ca="1">IF(K80=1, IF(_xlfn.BINOM.INV(1, C$22, RAND())&gt;0, K80*2, C$23), IF(_xlfn.BINOM.INV(1, C$21, RAND())&gt;0, K80, C$23))</f>
        <v>1</v>
      </c>
      <c r="M80" s="93">
        <f t="shared" ca="1" si="16"/>
        <v>40368</v>
      </c>
      <c r="N80" s="70">
        <f ca="1">IF(AND(K80=1, L80&gt;1), C$20, IF(AND(K80&gt;1, L80&gt;1), C$19, 0))</f>
        <v>0</v>
      </c>
      <c r="O80" s="67">
        <f ca="1">IF(D80=15%,C$18,C$17)</f>
        <v>0.03</v>
      </c>
      <c r="P80" s="93">
        <f t="shared" ca="1" si="17"/>
        <v>2387.0451279473964</v>
      </c>
      <c r="Q80" s="93">
        <f ca="1">J80*0.15 - C80*0.8 - C80*0.01</f>
        <v>-3896.1152318130444</v>
      </c>
      <c r="R80" s="66"/>
      <c r="AF80" s="66"/>
    </row>
    <row r="81" spans="1:32" x14ac:dyDescent="0.3">
      <c r="A81" s="51">
        <v>40</v>
      </c>
      <c r="B81" s="91">
        <f t="shared" ca="1" si="2"/>
        <v>0.94500228947730247</v>
      </c>
      <c r="C81" s="92">
        <f ca="1">VLOOKUP(B81,표4[#Data],3)</f>
        <v>17243.006404326479</v>
      </c>
      <c r="D81" s="67">
        <f ca="1">IF(RAND()&gt;=D$15,C$15,C$16)</f>
        <v>0.15</v>
      </c>
      <c r="E81" s="93">
        <f ca="1">C81*D81</f>
        <v>2586.4509606489719</v>
      </c>
      <c r="F81" s="70">
        <f t="shared" ca="1" si="11"/>
        <v>0.12</v>
      </c>
      <c r="G81" s="93">
        <f t="shared" ca="1" si="12"/>
        <v>21553.758005408101</v>
      </c>
      <c r="H81" s="93">
        <f t="shared" ca="1" si="13"/>
        <v>25864.509606489723</v>
      </c>
      <c r="I81" s="93">
        <f t="shared" ca="1" si="14"/>
        <v>36949.299437842463</v>
      </c>
      <c r="J81" s="93">
        <f t="shared" ca="1" si="7"/>
        <v>58592</v>
      </c>
      <c r="K81" s="73">
        <f t="shared" ca="1" si="15"/>
        <v>1</v>
      </c>
      <c r="L81" s="73">
        <f ca="1">IF(K81=1, IF(_xlfn.BINOM.INV(1, C$22, RAND())&gt;0, K81*2, C$23), IF(_xlfn.BINOM.INV(1, C$21, RAND())&gt;0, K81, C$23))</f>
        <v>1</v>
      </c>
      <c r="M81" s="93">
        <f t="shared" ca="1" si="16"/>
        <v>58592</v>
      </c>
      <c r="N81" s="70">
        <f ca="1">IF(AND(K81=1, L81&gt;1), C$20, IF(AND(K81&gt;1, L81&gt;1), C$19, 0))</f>
        <v>0</v>
      </c>
      <c r="O81" s="67">
        <f ca="1">IF(D81=15%,C$18,C$17)</f>
        <v>0.05</v>
      </c>
      <c r="P81" s="93">
        <f t="shared" ca="1" si="17"/>
        <v>3272.749039351027</v>
      </c>
      <c r="Q81" s="93">
        <f ca="1">J81*0.15 - C81*0.8 - C81*0.01</f>
        <v>-5178.0351875044489</v>
      </c>
      <c r="R81" s="66"/>
      <c r="AF81" s="66"/>
    </row>
    <row r="82" spans="1:32" x14ac:dyDescent="0.3">
      <c r="A82" s="51">
        <v>41</v>
      </c>
      <c r="B82" s="91">
        <f t="shared" ca="1" si="2"/>
        <v>0.35146891018626392</v>
      </c>
      <c r="C82" s="92">
        <f ca="1">VLOOKUP(B82,표4[#Data],3)</f>
        <v>1672.5106827944833</v>
      </c>
      <c r="D82" s="67">
        <f ca="1">IF(RAND()&gt;=D$15,C$15,C$16)</f>
        <v>0.2</v>
      </c>
      <c r="E82" s="93">
        <f ca="1">C82*D82</f>
        <v>334.50213655889667</v>
      </c>
      <c r="F82" s="70">
        <f t="shared" ca="1" si="11"/>
        <v>0.13</v>
      </c>
      <c r="G82" s="93">
        <f t="shared" ca="1" si="12"/>
        <v>2573.0933581453587</v>
      </c>
      <c r="H82" s="93">
        <f t="shared" ca="1" si="13"/>
        <v>3040.9285141717878</v>
      </c>
      <c r="I82" s="93">
        <f t="shared" ca="1" si="14"/>
        <v>4181.2767069862084</v>
      </c>
      <c r="J82" s="93">
        <f t="shared" ca="1" si="7"/>
        <v>6704</v>
      </c>
      <c r="K82" s="73">
        <f t="shared" ca="1" si="15"/>
        <v>1</v>
      </c>
      <c r="L82" s="73">
        <f ca="1">IF(K82=1, IF(_xlfn.BINOM.INV(1, C$22, RAND())&gt;0, K82*2, C$23), IF(_xlfn.BINOM.INV(1, C$21, RAND())&gt;0, K82, C$23))</f>
        <v>1</v>
      </c>
      <c r="M82" s="93">
        <f t="shared" ca="1" si="16"/>
        <v>6704</v>
      </c>
      <c r="N82" s="70">
        <f ca="1">IF(AND(K82=1, L82&gt;1), C$20, IF(AND(K82&gt;1, L82&gt;1), C$19, 0))</f>
        <v>0</v>
      </c>
      <c r="O82" s="67">
        <f ca="1">IF(D82=15%,C$18,C$17)</f>
        <v>0.03</v>
      </c>
      <c r="P82" s="93">
        <f t="shared" ca="1" si="17"/>
        <v>469.9778634411033</v>
      </c>
      <c r="Q82" s="93">
        <f ca="1">J82*0.15 - C82*0.8 - C82*0.01</f>
        <v>-349.1336530635316</v>
      </c>
      <c r="R82" s="66"/>
      <c r="AF82" s="66"/>
    </row>
    <row r="83" spans="1:32" x14ac:dyDescent="0.3">
      <c r="A83" s="51">
        <v>42</v>
      </c>
      <c r="B83" s="91">
        <f t="shared" ca="1" si="2"/>
        <v>0.49703198526700709</v>
      </c>
      <c r="C83" s="92">
        <f ca="1">VLOOKUP(B83,표4[#Data],3)</f>
        <v>1672.5106827944833</v>
      </c>
      <c r="D83" s="67">
        <f ca="1">IF(RAND()&gt;=D$15,C$15,C$16)</f>
        <v>0.15</v>
      </c>
      <c r="E83" s="93">
        <f ca="1">C83*D83</f>
        <v>250.87660241917249</v>
      </c>
      <c r="F83" s="70">
        <f t="shared" ca="1" si="11"/>
        <v>0.12</v>
      </c>
      <c r="G83" s="93">
        <f t="shared" ca="1" si="12"/>
        <v>2090.6383534931042</v>
      </c>
      <c r="H83" s="93">
        <f t="shared" ca="1" si="13"/>
        <v>2508.7660241917251</v>
      </c>
      <c r="I83" s="93">
        <f t="shared" ca="1" si="14"/>
        <v>3583.9514631310358</v>
      </c>
      <c r="J83" s="93">
        <f t="shared" ca="1" si="7"/>
        <v>4773</v>
      </c>
      <c r="K83" s="73">
        <f t="shared" ca="1" si="15"/>
        <v>1</v>
      </c>
      <c r="L83" s="73">
        <f ca="1">IF(K83=1, IF(_xlfn.BINOM.INV(1, C$22, RAND())&gt;0, K83*2, C$23), IF(_xlfn.BINOM.INV(1, C$21, RAND())&gt;0, K83, C$23))</f>
        <v>1</v>
      </c>
      <c r="M83" s="93">
        <f t="shared" ca="1" si="16"/>
        <v>4773</v>
      </c>
      <c r="N83" s="70">
        <f ca="1">IF(AND(K83=1, L83&gt;1), C$20, IF(AND(K83&gt;1, L83&gt;1), C$19, 0))</f>
        <v>0</v>
      </c>
      <c r="O83" s="67">
        <f ca="1">IF(D83=15%,C$18,C$17)</f>
        <v>0.05</v>
      </c>
      <c r="P83" s="93">
        <f t="shared" ca="1" si="17"/>
        <v>226.42339758082741</v>
      </c>
      <c r="Q83" s="93">
        <f ca="1">J83*0.15 - C83*0.8 - C83*0.01</f>
        <v>-638.78365306353157</v>
      </c>
      <c r="R83" s="66"/>
      <c r="AF83" s="66"/>
    </row>
    <row r="84" spans="1:32" x14ac:dyDescent="0.3">
      <c r="A84" s="51">
        <v>43</v>
      </c>
      <c r="B84" s="91">
        <f t="shared" ca="1" si="2"/>
        <v>0.82305999086623394</v>
      </c>
      <c r="C84" s="92">
        <f ca="1">VLOOKUP(B84,표4[#Data],3)</f>
        <v>12285.574360263015</v>
      </c>
      <c r="D84" s="67">
        <f ca="1">IF(RAND()&gt;=D$15,C$15,C$16)</f>
        <v>0.15</v>
      </c>
      <c r="E84" s="93">
        <f ca="1">C84*D84</f>
        <v>1842.8361540394521</v>
      </c>
      <c r="F84" s="70">
        <f t="shared" ca="1" si="11"/>
        <v>0.12</v>
      </c>
      <c r="G84" s="93">
        <f t="shared" ca="1" si="12"/>
        <v>15356.967950328768</v>
      </c>
      <c r="H84" s="93">
        <f t="shared" ca="1" si="13"/>
        <v>18428.361540394522</v>
      </c>
      <c r="I84" s="93">
        <f t="shared" ca="1" si="14"/>
        <v>26326.230771992177</v>
      </c>
      <c r="J84" s="93">
        <f t="shared" ca="1" si="7"/>
        <v>10554</v>
      </c>
      <c r="K84" s="73">
        <f t="shared" ca="1" si="15"/>
        <v>2</v>
      </c>
      <c r="L84" s="73">
        <f ca="1">IF(K84=1, IF(_xlfn.BINOM.INV(1, C$22, RAND())&gt;0, K84*2, C$23), IF(_xlfn.BINOM.INV(1, C$21, RAND())&gt;0, K84, C$23))</f>
        <v>1</v>
      </c>
      <c r="M84" s="93">
        <f t="shared" ca="1" si="16"/>
        <v>10554</v>
      </c>
      <c r="N84" s="70">
        <f ca="1">IF(AND(K84=1, L84&gt;1), C$20, IF(AND(K84&gt;1, L84&gt;1), C$19, 0))</f>
        <v>0</v>
      </c>
      <c r="O84" s="67">
        <f ca="1">IF(D84=15%,C$18,C$17)</f>
        <v>0.05</v>
      </c>
      <c r="P84" s="93">
        <f t="shared" ca="1" si="17"/>
        <v>-787.43615403945228</v>
      </c>
      <c r="Q84" s="93">
        <f ca="1">J84*0.15 - C84*0.8 - C84*0.01</f>
        <v>-8368.2152318130429</v>
      </c>
      <c r="R84" s="66"/>
      <c r="AF84" s="66"/>
    </row>
    <row r="85" spans="1:32" x14ac:dyDescent="0.3">
      <c r="A85" s="51">
        <v>44</v>
      </c>
      <c r="B85" s="91">
        <f t="shared" ca="1" si="2"/>
        <v>0.85886652219963699</v>
      </c>
      <c r="C85" s="92">
        <f ca="1">VLOOKUP(B85,표4[#Data],3)</f>
        <v>12285.574360263015</v>
      </c>
      <c r="D85" s="67">
        <f ca="1">IF(RAND()&gt;=D$15,C$15,C$16)</f>
        <v>0.15</v>
      </c>
      <c r="E85" s="93">
        <f ca="1">C85*D85</f>
        <v>1842.8361540394521</v>
      </c>
      <c r="F85" s="70">
        <f t="shared" ca="1" si="11"/>
        <v>0.12</v>
      </c>
      <c r="G85" s="93">
        <f t="shared" ca="1" si="12"/>
        <v>15356.967950328768</v>
      </c>
      <c r="H85" s="93">
        <f t="shared" ca="1" si="13"/>
        <v>18428.361540394522</v>
      </c>
      <c r="I85" s="93">
        <f t="shared" ca="1" si="14"/>
        <v>26326.230771992177</v>
      </c>
      <c r="J85" s="93">
        <f t="shared" ca="1" si="7"/>
        <v>22556</v>
      </c>
      <c r="K85" s="73">
        <f t="shared" ca="1" si="15"/>
        <v>1</v>
      </c>
      <c r="L85" s="73">
        <f ca="1">IF(K85=1, IF(_xlfn.BINOM.INV(1, C$22, RAND())&gt;0, K85*2, C$23), IF(_xlfn.BINOM.INV(1, C$21, RAND())&gt;0, K85, C$23))</f>
        <v>1</v>
      </c>
      <c r="M85" s="93">
        <f t="shared" ca="1" si="16"/>
        <v>22556</v>
      </c>
      <c r="N85" s="70">
        <f ca="1">IF(AND(K85=1, L85&gt;1), C$20, IF(AND(K85&gt;1, L85&gt;1), C$19, 0))</f>
        <v>0</v>
      </c>
      <c r="O85" s="67">
        <f ca="1">IF(D85=15%,C$18,C$17)</f>
        <v>0.05</v>
      </c>
      <c r="P85" s="93">
        <f t="shared" ca="1" si="17"/>
        <v>412.763845960548</v>
      </c>
      <c r="Q85" s="93">
        <f ca="1">J85*0.15 - C85*0.8 - C85*0.01</f>
        <v>-6567.9152318130446</v>
      </c>
      <c r="R85" s="66"/>
      <c r="AF85" s="66"/>
    </row>
    <row r="86" spans="1:32" x14ac:dyDescent="0.3">
      <c r="A86" s="51">
        <v>45</v>
      </c>
      <c r="B86" s="91">
        <f t="shared" ca="1" si="2"/>
        <v>0.63452578515245806</v>
      </c>
      <c r="C86" s="92">
        <f ca="1">VLOOKUP(B86,표4[#Data],3)</f>
        <v>1672.5106827944833</v>
      </c>
      <c r="D86" s="67">
        <f ca="1">IF(RAND()&gt;=D$15,C$15,C$16)</f>
        <v>0.2</v>
      </c>
      <c r="E86" s="93">
        <f ca="1">C86*D86</f>
        <v>334.50213655889667</v>
      </c>
      <c r="F86" s="70">
        <f t="shared" ca="1" si="11"/>
        <v>0.13</v>
      </c>
      <c r="G86" s="93">
        <f t="shared" ca="1" si="12"/>
        <v>2573.0933581453587</v>
      </c>
      <c r="H86" s="93">
        <f t="shared" ca="1" si="13"/>
        <v>3040.9285141717878</v>
      </c>
      <c r="I86" s="93">
        <f t="shared" ca="1" si="14"/>
        <v>4181.2767069862084</v>
      </c>
      <c r="J86" s="93">
        <f t="shared" ca="1" si="7"/>
        <v>74123</v>
      </c>
      <c r="K86" s="73">
        <f t="shared" ca="1" si="15"/>
        <v>1</v>
      </c>
      <c r="L86" s="73">
        <f ca="1">IF(K86=1, IF(_xlfn.BINOM.INV(1, C$22, RAND())&gt;0, K86*2, C$23), IF(_xlfn.BINOM.INV(1, C$21, RAND())&gt;0, K86, C$23))</f>
        <v>1</v>
      </c>
      <c r="M86" s="93">
        <f t="shared" ca="1" si="16"/>
        <v>74123</v>
      </c>
      <c r="N86" s="70">
        <f ca="1">IF(AND(K86=1, L86&gt;1), C$20, IF(AND(K86&gt;1, L86&gt;1), C$19, 0))</f>
        <v>0</v>
      </c>
      <c r="O86" s="67">
        <f ca="1">IF(D86=15%,C$18,C$17)</f>
        <v>0.03</v>
      </c>
      <c r="P86" s="93">
        <f t="shared" ca="1" si="17"/>
        <v>8560.257863441102</v>
      </c>
      <c r="Q86" s="93">
        <f ca="1">J86*0.15 - C86*0.8 - C86*0.01</f>
        <v>9763.7163469364659</v>
      </c>
      <c r="R86" s="66"/>
      <c r="AF86" s="66"/>
    </row>
    <row r="87" spans="1:32" x14ac:dyDescent="0.3">
      <c r="A87" s="51">
        <v>46</v>
      </c>
      <c r="B87" s="91">
        <f t="shared" ca="1" si="2"/>
        <v>0.32236925827240936</v>
      </c>
      <c r="C87" s="92">
        <f ca="1">VLOOKUP(B87,표4[#Data],3)</f>
        <v>1672.5106827944833</v>
      </c>
      <c r="D87" s="67">
        <f ca="1">IF(RAND()&gt;=D$15,C$15,C$16)</f>
        <v>0.15</v>
      </c>
      <c r="E87" s="93">
        <f ca="1">C87*D87</f>
        <v>250.87660241917249</v>
      </c>
      <c r="F87" s="70">
        <f t="shared" ca="1" si="11"/>
        <v>0.12</v>
      </c>
      <c r="G87" s="93">
        <f t="shared" ca="1" si="12"/>
        <v>2090.6383534931042</v>
      </c>
      <c r="H87" s="93">
        <f t="shared" ca="1" si="13"/>
        <v>2508.7660241917251</v>
      </c>
      <c r="I87" s="93">
        <f t="shared" ca="1" si="14"/>
        <v>3583.9514631310358</v>
      </c>
      <c r="J87" s="93">
        <f t="shared" ca="1" si="7"/>
        <v>12761</v>
      </c>
      <c r="K87" s="73">
        <f t="shared" ca="1" si="15"/>
        <v>1</v>
      </c>
      <c r="L87" s="73">
        <f ca="1">IF(K87=1, IF(_xlfn.BINOM.INV(1, C$22, RAND())&gt;0, K87*2, C$23), IF(_xlfn.BINOM.INV(1, C$21, RAND())&gt;0, K87, C$23))</f>
        <v>1</v>
      </c>
      <c r="M87" s="93">
        <f t="shared" ca="1" si="16"/>
        <v>12761</v>
      </c>
      <c r="N87" s="70">
        <f ca="1">IF(AND(K87=1, L87&gt;1), C$20, IF(AND(K87&gt;1, L87&gt;1), C$19, 0))</f>
        <v>0</v>
      </c>
      <c r="O87" s="67">
        <f ca="1">IF(D87=15%,C$18,C$17)</f>
        <v>0.05</v>
      </c>
      <c r="P87" s="93">
        <f t="shared" ca="1" si="17"/>
        <v>1025.2233975808272</v>
      </c>
      <c r="Q87" s="93">
        <f ca="1">J87*0.15 - C87*0.8 - C87*0.01</f>
        <v>559.41634693646836</v>
      </c>
      <c r="R87" s="66"/>
      <c r="AF87" s="66"/>
    </row>
    <row r="88" spans="1:32" x14ac:dyDescent="0.3">
      <c r="A88" s="51">
        <v>47</v>
      </c>
      <c r="B88" s="91">
        <f t="shared" ca="1" si="2"/>
        <v>0.22358337970783448</v>
      </c>
      <c r="C88" s="92">
        <f ca="1">VLOOKUP(B88,표4[#Data],3)</f>
        <v>1672.5106827944833</v>
      </c>
      <c r="D88" s="67">
        <f ca="1">IF(RAND()&gt;=D$15,C$15,C$16)</f>
        <v>0.15</v>
      </c>
      <c r="E88" s="93">
        <f ca="1">C88*D88</f>
        <v>250.87660241917249</v>
      </c>
      <c r="F88" s="70">
        <f t="shared" ca="1" si="11"/>
        <v>0.12</v>
      </c>
      <c r="G88" s="93">
        <f t="shared" ca="1" si="12"/>
        <v>2090.6383534931042</v>
      </c>
      <c r="H88" s="93">
        <f t="shared" ca="1" si="13"/>
        <v>2508.7660241917251</v>
      </c>
      <c r="I88" s="93">
        <f t="shared" ca="1" si="14"/>
        <v>3583.9514631310358</v>
      </c>
      <c r="J88" s="93">
        <f t="shared" ca="1" si="7"/>
        <v>4210</v>
      </c>
      <c r="K88" s="73">
        <f t="shared" ca="1" si="15"/>
        <v>1</v>
      </c>
      <c r="L88" s="73">
        <f ca="1">IF(K88=1, IF(_xlfn.BINOM.INV(1, C$22, RAND())&gt;0, K88*2, C$23), IF(_xlfn.BINOM.INV(1, C$21, RAND())&gt;0, K88, C$23))</f>
        <v>1</v>
      </c>
      <c r="M88" s="93">
        <f t="shared" ca="1" si="16"/>
        <v>4210</v>
      </c>
      <c r="N88" s="70">
        <f ca="1">IF(AND(K88=1, L88&gt;1), C$20, IF(AND(K88&gt;1, L88&gt;1), C$19, 0))</f>
        <v>0</v>
      </c>
      <c r="O88" s="67">
        <f ca="1">IF(D88=15%,C$18,C$17)</f>
        <v>0.05</v>
      </c>
      <c r="P88" s="93">
        <f t="shared" ca="1" si="17"/>
        <v>170.12339758082749</v>
      </c>
      <c r="Q88" s="93">
        <f ca="1">J88*0.15 - C88*0.8 - C88*0.01</f>
        <v>-723.23365306353151</v>
      </c>
      <c r="R88" s="66"/>
      <c r="AF88" s="66"/>
    </row>
    <row r="89" spans="1:32" x14ac:dyDescent="0.3">
      <c r="A89" s="51">
        <v>48</v>
      </c>
      <c r="B89" s="91">
        <f t="shared" ca="1" si="2"/>
        <v>0.82682735633025184</v>
      </c>
      <c r="C89" s="92">
        <f ca="1">VLOOKUP(B89,표4[#Data],3)</f>
        <v>12285.574360263015</v>
      </c>
      <c r="D89" s="67">
        <f ca="1">IF(RAND()&gt;=D$15,C$15,C$16)</f>
        <v>0.2</v>
      </c>
      <c r="E89" s="93">
        <f ca="1">C89*D89</f>
        <v>2457.1148720526035</v>
      </c>
      <c r="F89" s="70">
        <f t="shared" ca="1" si="11"/>
        <v>0.13</v>
      </c>
      <c r="G89" s="93">
        <f t="shared" ca="1" si="12"/>
        <v>18900.883631173871</v>
      </c>
      <c r="H89" s="93">
        <f t="shared" ca="1" si="13"/>
        <v>22337.407927750941</v>
      </c>
      <c r="I89" s="93">
        <f t="shared" ca="1" si="14"/>
        <v>30713.935900657543</v>
      </c>
      <c r="J89" s="93">
        <f t="shared" ca="1" si="7"/>
        <v>6069</v>
      </c>
      <c r="K89" s="73">
        <f t="shared" ca="1" si="15"/>
        <v>5</v>
      </c>
      <c r="L89" s="73">
        <f ca="1">IF(K89=1, IF(_xlfn.BINOM.INV(1, C$22, RAND())&gt;0, K89*2, C$23), IF(_xlfn.BINOM.INV(1, C$21, RAND())&gt;0, K89, C$23))</f>
        <v>1</v>
      </c>
      <c r="M89" s="93">
        <f t="shared" ca="1" si="16"/>
        <v>6069</v>
      </c>
      <c r="N89" s="70">
        <f ca="1">IF(AND(K89=1, L89&gt;1), C$20, IF(AND(K89&gt;1, L89&gt;1), C$19, 0))</f>
        <v>0</v>
      </c>
      <c r="O89" s="67">
        <f ca="1">IF(D89=15%,C$18,C$17)</f>
        <v>0.03</v>
      </c>
      <c r="P89" s="93">
        <f t="shared" ca="1" si="17"/>
        <v>-1728.8348720526035</v>
      </c>
      <c r="Q89" s="93">
        <f ca="1">J89*0.15 - C89*0.8 - C89*0.01</f>
        <v>-9040.9652318130429</v>
      </c>
      <c r="R89" s="66"/>
      <c r="AF89" s="66"/>
    </row>
    <row r="90" spans="1:32" x14ac:dyDescent="0.3">
      <c r="A90" s="51">
        <v>49</v>
      </c>
      <c r="B90" s="91">
        <f t="shared" ca="1" si="2"/>
        <v>0.26152107903724808</v>
      </c>
      <c r="C90" s="92">
        <f ca="1">VLOOKUP(B90,표4[#Data],3)</f>
        <v>1672.5106827944833</v>
      </c>
      <c r="D90" s="67">
        <f ca="1">IF(RAND()&gt;=D$15,C$15,C$16)</f>
        <v>0.15</v>
      </c>
      <c r="E90" s="93">
        <f ca="1">C90*D90</f>
        <v>250.87660241917249</v>
      </c>
      <c r="F90" s="70">
        <f t="shared" ca="1" si="11"/>
        <v>0.12</v>
      </c>
      <c r="G90" s="93">
        <f t="shared" ca="1" si="12"/>
        <v>2090.6383534931042</v>
      </c>
      <c r="H90" s="93">
        <f t="shared" ca="1" si="13"/>
        <v>2508.7660241917251</v>
      </c>
      <c r="I90" s="93">
        <f t="shared" ca="1" si="14"/>
        <v>3583.9514631310358</v>
      </c>
      <c r="J90" s="93">
        <f t="shared" ca="1" si="7"/>
        <v>14534</v>
      </c>
      <c r="K90" s="73">
        <f t="shared" ca="1" si="15"/>
        <v>1</v>
      </c>
      <c r="L90" s="73">
        <f ca="1">IF(K90=1, IF(_xlfn.BINOM.INV(1, C$22, RAND())&gt;0, K90*2, C$23), IF(_xlfn.BINOM.INV(1, C$21, RAND())&gt;0, K90, C$23))</f>
        <v>1</v>
      </c>
      <c r="M90" s="93">
        <f t="shared" ca="1" si="16"/>
        <v>14534</v>
      </c>
      <c r="N90" s="70">
        <f ca="1">IF(AND(K90=1, L90&gt;1), C$20, IF(AND(K90&gt;1, L90&gt;1), C$19, 0))</f>
        <v>0</v>
      </c>
      <c r="O90" s="67">
        <f ca="1">IF(D90=15%,C$18,C$17)</f>
        <v>0.05</v>
      </c>
      <c r="P90" s="93">
        <f t="shared" ca="1" si="17"/>
        <v>1202.5233975808273</v>
      </c>
      <c r="Q90" s="93">
        <f ca="1">J90*0.15 - C90*0.8 - C90*0.01</f>
        <v>825.3663469364684</v>
      </c>
      <c r="R90" s="66"/>
      <c r="AF90" s="66"/>
    </row>
    <row r="91" spans="1:32" x14ac:dyDescent="0.3">
      <c r="A91" s="51">
        <v>50</v>
      </c>
      <c r="B91" s="91">
        <f t="shared" ca="1" si="2"/>
        <v>0.4022740669679018</v>
      </c>
      <c r="C91" s="92">
        <f ca="1">VLOOKUP(B91,표4[#Data],3)</f>
        <v>1672.5106827944833</v>
      </c>
      <c r="D91" s="67">
        <f ca="1">IF(RAND()&gt;=D$15,C$15,C$16)</f>
        <v>0.2</v>
      </c>
      <c r="E91" s="93">
        <f ca="1">C91*D91</f>
        <v>334.50213655889667</v>
      </c>
      <c r="F91" s="70">
        <f t="shared" ca="1" si="11"/>
        <v>0.13</v>
      </c>
      <c r="G91" s="93">
        <f t="shared" ca="1" si="12"/>
        <v>2573.0933581453587</v>
      </c>
      <c r="H91" s="93">
        <f t="shared" ca="1" si="13"/>
        <v>3040.9285141717878</v>
      </c>
      <c r="I91" s="93">
        <f t="shared" ca="1" si="14"/>
        <v>4181.2767069862084</v>
      </c>
      <c r="J91" s="93">
        <f t="shared" ca="1" si="7"/>
        <v>4412</v>
      </c>
      <c r="K91" s="73">
        <f t="shared" ca="1" si="15"/>
        <v>1</v>
      </c>
      <c r="L91" s="73">
        <f ca="1">IF(K91=1, IF(_xlfn.BINOM.INV(1, C$22, RAND())&gt;0, K91*2, C$23), IF(_xlfn.BINOM.INV(1, C$21, RAND())&gt;0, K91, C$23))</f>
        <v>1</v>
      </c>
      <c r="M91" s="93">
        <f t="shared" ca="1" si="16"/>
        <v>4412</v>
      </c>
      <c r="N91" s="70">
        <f ca="1">IF(AND(K91=1, L91&gt;1), C$20, IF(AND(K91&gt;1, L91&gt;1), C$19, 0))</f>
        <v>0</v>
      </c>
      <c r="O91" s="67">
        <f ca="1">IF(D91=15%,C$18,C$17)</f>
        <v>0.03</v>
      </c>
      <c r="P91" s="93">
        <f t="shared" ca="1" si="17"/>
        <v>194.9378634411033</v>
      </c>
      <c r="Q91" s="93">
        <f ca="1">J91*0.15 - C91*0.8 - C91*0.01</f>
        <v>-692.93365306353155</v>
      </c>
      <c r="R91" s="66"/>
      <c r="AF91" s="66"/>
    </row>
    <row r="92" spans="1:32" x14ac:dyDescent="0.3">
      <c r="A92" s="51">
        <v>51</v>
      </c>
      <c r="B92" s="91">
        <f t="shared" ca="1" si="2"/>
        <v>0.79097805982593183</v>
      </c>
      <c r="C92" s="92">
        <f ca="1">VLOOKUP(B92,표4[#Data],3)</f>
        <v>7164.2608066002549</v>
      </c>
      <c r="D92" s="67">
        <f ca="1">IF(RAND()&gt;=D$15,C$15,C$16)</f>
        <v>0.2</v>
      </c>
      <c r="E92" s="93">
        <f ca="1">C92*D92</f>
        <v>1432.852161320051</v>
      </c>
      <c r="F92" s="70">
        <f t="shared" ca="1" si="11"/>
        <v>0.13</v>
      </c>
      <c r="G92" s="93">
        <f t="shared" ca="1" si="12"/>
        <v>11021.93970246193</v>
      </c>
      <c r="H92" s="93">
        <f t="shared" ca="1" si="13"/>
        <v>13025.928739273191</v>
      </c>
      <c r="I92" s="93">
        <f t="shared" ca="1" si="14"/>
        <v>17910.652016500637</v>
      </c>
      <c r="J92" s="93">
        <f t="shared" ca="1" si="7"/>
        <v>22571</v>
      </c>
      <c r="K92" s="73">
        <f t="shared" ca="1" si="15"/>
        <v>1</v>
      </c>
      <c r="L92" s="73">
        <f ca="1">IF(K92=1, IF(_xlfn.BINOM.INV(1, C$22, RAND())&gt;0, K92*2, C$23), IF(_xlfn.BINOM.INV(1, C$21, RAND())&gt;0, K92, C$23))</f>
        <v>1</v>
      </c>
      <c r="M92" s="93">
        <f t="shared" ca="1" si="16"/>
        <v>22571</v>
      </c>
      <c r="N92" s="70">
        <f ca="1">IF(AND(K92=1, L92&gt;1), C$20, IF(AND(K92&gt;1, L92&gt;1), C$19, 0))</f>
        <v>0</v>
      </c>
      <c r="O92" s="67">
        <f ca="1">IF(D92=15%,C$18,C$17)</f>
        <v>0.03</v>
      </c>
      <c r="P92" s="93">
        <f t="shared" ca="1" si="17"/>
        <v>1275.667838679949</v>
      </c>
      <c r="Q92" s="93">
        <f ca="1">J92*0.15 - C92*0.8 - C92*0.01</f>
        <v>-2417.4012533462064</v>
      </c>
      <c r="R92" s="66"/>
      <c r="AF92" s="66"/>
    </row>
    <row r="93" spans="1:32" x14ac:dyDescent="0.3">
      <c r="A93" s="51">
        <v>52</v>
      </c>
      <c r="B93" s="91">
        <f t="shared" ca="1" si="2"/>
        <v>7.2740379877908601E-2</v>
      </c>
      <c r="C93" s="92">
        <f ca="1">VLOOKUP(B93,표4[#Data],3)</f>
        <v>1672.5106827944833</v>
      </c>
      <c r="D93" s="67">
        <f ca="1">IF(RAND()&gt;=D$15,C$15,C$16)</f>
        <v>0.2</v>
      </c>
      <c r="E93" s="93">
        <f ca="1">C93*D93</f>
        <v>334.50213655889667</v>
      </c>
      <c r="F93" s="70">
        <f t="shared" ca="1" si="11"/>
        <v>0.13</v>
      </c>
      <c r="G93" s="93">
        <f t="shared" ca="1" si="12"/>
        <v>2573.0933581453587</v>
      </c>
      <c r="H93" s="93">
        <f t="shared" ca="1" si="13"/>
        <v>3040.9285141717878</v>
      </c>
      <c r="I93" s="93">
        <f t="shared" ca="1" si="14"/>
        <v>4181.2767069862084</v>
      </c>
      <c r="J93" s="93">
        <f t="shared" ca="1" si="7"/>
        <v>4249</v>
      </c>
      <c r="K93" s="73">
        <f t="shared" ca="1" si="15"/>
        <v>1</v>
      </c>
      <c r="L93" s="73">
        <f ca="1">IF(K93=1, IF(_xlfn.BINOM.INV(1, C$22, RAND())&gt;0, K93*2, C$23), IF(_xlfn.BINOM.INV(1, C$21, RAND())&gt;0, K93, C$23))</f>
        <v>1</v>
      </c>
      <c r="M93" s="93">
        <f t="shared" ca="1" si="16"/>
        <v>4249</v>
      </c>
      <c r="N93" s="70">
        <f ca="1">IF(AND(K93=1, L93&gt;1), C$20, IF(AND(K93&gt;1, L93&gt;1), C$19, 0))</f>
        <v>0</v>
      </c>
      <c r="O93" s="67">
        <f ca="1">IF(D93=15%,C$18,C$17)</f>
        <v>0.03</v>
      </c>
      <c r="P93" s="93">
        <f t="shared" ca="1" si="17"/>
        <v>175.37786344110336</v>
      </c>
      <c r="Q93" s="93">
        <f ca="1">J93*0.15 - C93*0.8 - C93*0.01</f>
        <v>-717.38365306353148</v>
      </c>
      <c r="R93" s="66"/>
      <c r="AF93" s="66"/>
    </row>
    <row r="94" spans="1:32" x14ac:dyDescent="0.3">
      <c r="A94" s="51">
        <v>53</v>
      </c>
      <c r="B94" s="91">
        <f t="shared" ca="1" si="2"/>
        <v>0.17618091806877834</v>
      </c>
      <c r="C94" s="92">
        <f ca="1">VLOOKUP(B94,표4[#Data],3)</f>
        <v>1672.5106827944833</v>
      </c>
      <c r="D94" s="67">
        <f ca="1">IF(RAND()&gt;=D$15,C$15,C$16)</f>
        <v>0.2</v>
      </c>
      <c r="E94" s="93">
        <f ca="1">C94*D94</f>
        <v>334.50213655889667</v>
      </c>
      <c r="F94" s="70">
        <f t="shared" ca="1" si="11"/>
        <v>0.13</v>
      </c>
      <c r="G94" s="93">
        <f t="shared" ca="1" si="12"/>
        <v>2573.0933581453587</v>
      </c>
      <c r="H94" s="93">
        <f t="shared" ca="1" si="13"/>
        <v>3040.9285141717878</v>
      </c>
      <c r="I94" s="93">
        <f t="shared" ca="1" si="14"/>
        <v>4181.2767069862084</v>
      </c>
      <c r="J94" s="93">
        <f t="shared" ca="1" si="7"/>
        <v>9560</v>
      </c>
      <c r="K94" s="73">
        <f t="shared" ca="1" si="15"/>
        <v>1</v>
      </c>
      <c r="L94" s="73">
        <f ca="1">IF(K94=1, IF(_xlfn.BINOM.INV(1, C$22, RAND())&gt;0, K94*2, C$23), IF(_xlfn.BINOM.INV(1, C$21, RAND())&gt;0, K94, C$23))</f>
        <v>1</v>
      </c>
      <c r="M94" s="93">
        <f t="shared" ca="1" si="16"/>
        <v>9560</v>
      </c>
      <c r="N94" s="70">
        <f ca="1">IF(AND(K94=1, L94&gt;1), C$20, IF(AND(K94&gt;1, L94&gt;1), C$19, 0))</f>
        <v>0</v>
      </c>
      <c r="O94" s="67">
        <f ca="1">IF(D94=15%,C$18,C$17)</f>
        <v>0.03</v>
      </c>
      <c r="P94" s="93">
        <f t="shared" ca="1" si="17"/>
        <v>812.69786344110344</v>
      </c>
      <c r="Q94" s="93">
        <f ca="1">J94*0.15 - C94*0.8 - C94*0.01</f>
        <v>79.266346936468494</v>
      </c>
      <c r="R94" s="66"/>
      <c r="AF94" s="66"/>
    </row>
    <row r="95" spans="1:32" x14ac:dyDescent="0.3">
      <c r="A95" s="51">
        <v>54</v>
      </c>
      <c r="B95" s="91">
        <f t="shared" ca="1" si="2"/>
        <v>0.27493387528382052</v>
      </c>
      <c r="C95" s="92">
        <f ca="1">VLOOKUP(B95,표4[#Data],3)</f>
        <v>1672.5106827944833</v>
      </c>
      <c r="D95" s="67">
        <f ca="1">IF(RAND()&gt;=D$15,C$15,C$16)</f>
        <v>0.15</v>
      </c>
      <c r="E95" s="93">
        <f ca="1">C95*D95</f>
        <v>250.87660241917249</v>
      </c>
      <c r="F95" s="70">
        <f t="shared" ca="1" si="11"/>
        <v>0.12</v>
      </c>
      <c r="G95" s="93">
        <f t="shared" ca="1" si="12"/>
        <v>2090.6383534931042</v>
      </c>
      <c r="H95" s="93">
        <f t="shared" ca="1" si="13"/>
        <v>2508.7660241917251</v>
      </c>
      <c r="I95" s="93">
        <f t="shared" ca="1" si="14"/>
        <v>3583.9514631310358</v>
      </c>
      <c r="J95" s="93">
        <f t="shared" ca="1" si="7"/>
        <v>5561</v>
      </c>
      <c r="K95" s="73">
        <f t="shared" ca="1" si="15"/>
        <v>1</v>
      </c>
      <c r="L95" s="73">
        <f ca="1">IF(K95=1, IF(_xlfn.BINOM.INV(1, C$22, RAND())&gt;0, K95*2, C$23), IF(_xlfn.BINOM.INV(1, C$21, RAND())&gt;0, K95, C$23))</f>
        <v>1</v>
      </c>
      <c r="M95" s="93">
        <f t="shared" ca="1" si="16"/>
        <v>5561</v>
      </c>
      <c r="N95" s="70">
        <f ca="1">IF(AND(K95=1, L95&gt;1), C$20, IF(AND(K95&gt;1, L95&gt;1), C$19, 0))</f>
        <v>0</v>
      </c>
      <c r="O95" s="67">
        <f ca="1">IF(D95=15%,C$18,C$17)</f>
        <v>0.05</v>
      </c>
      <c r="P95" s="93">
        <f t="shared" ca="1" si="17"/>
        <v>305.22339758082745</v>
      </c>
      <c r="Q95" s="93">
        <f ca="1">J95*0.15 - C95*0.8 - C95*0.01</f>
        <v>-520.58365306353153</v>
      </c>
      <c r="R95" s="66"/>
      <c r="AF95" s="66"/>
    </row>
    <row r="96" spans="1:32" x14ac:dyDescent="0.3">
      <c r="A96" s="51">
        <v>55</v>
      </c>
      <c r="B96" s="91">
        <f t="shared" ca="1" si="2"/>
        <v>3.2049065717487335E-2</v>
      </c>
      <c r="C96" s="92">
        <f ca="1">VLOOKUP(B96,표4[#Data],3)</f>
        <v>1672.5106827944833</v>
      </c>
      <c r="D96" s="67">
        <f ca="1">IF(RAND()&gt;=D$15,C$15,C$16)</f>
        <v>0.15</v>
      </c>
      <c r="E96" s="93">
        <f ca="1">C96*D96</f>
        <v>250.87660241917249</v>
      </c>
      <c r="F96" s="70">
        <f t="shared" ca="1" si="11"/>
        <v>0.12</v>
      </c>
      <c r="G96" s="93">
        <f t="shared" ca="1" si="12"/>
        <v>2090.6383534931042</v>
      </c>
      <c r="H96" s="93">
        <f t="shared" ca="1" si="13"/>
        <v>2508.7660241917251</v>
      </c>
      <c r="I96" s="93">
        <f t="shared" ca="1" si="14"/>
        <v>3583.9514631310358</v>
      </c>
      <c r="J96" s="93">
        <f t="shared" ca="1" si="7"/>
        <v>4465</v>
      </c>
      <c r="K96" s="73">
        <f t="shared" ca="1" si="15"/>
        <v>1</v>
      </c>
      <c r="L96" s="73">
        <f ca="1">IF(K96=1, IF(_xlfn.BINOM.INV(1, C$22, RAND())&gt;0, K96*2, C$23), IF(_xlfn.BINOM.INV(1, C$21, RAND())&gt;0, K96, C$23))</f>
        <v>1</v>
      </c>
      <c r="M96" s="93">
        <f t="shared" ca="1" si="16"/>
        <v>4465</v>
      </c>
      <c r="N96" s="70">
        <f ca="1">IF(AND(K96=1, L96&gt;1), C$20, IF(AND(K96&gt;1, L96&gt;1), C$19, 0))</f>
        <v>0</v>
      </c>
      <c r="O96" s="67">
        <f ca="1">IF(D96=15%,C$18,C$17)</f>
        <v>0.05</v>
      </c>
      <c r="P96" s="93">
        <f t="shared" ca="1" si="17"/>
        <v>195.62339758082749</v>
      </c>
      <c r="Q96" s="93">
        <f ca="1">J96*0.15 - C96*0.8 - C96*0.01</f>
        <v>-684.98365306353151</v>
      </c>
      <c r="R96" s="66"/>
      <c r="AF96" s="66"/>
    </row>
    <row r="97" spans="1:32" x14ac:dyDescent="0.3">
      <c r="A97" s="51">
        <v>56</v>
      </c>
      <c r="B97" s="91">
        <f t="shared" ca="1" si="2"/>
        <v>0.89203895746137452</v>
      </c>
      <c r="C97" s="92">
        <f ca="1">VLOOKUP(B97,표4[#Data],3)</f>
        <v>12285.574360263015</v>
      </c>
      <c r="D97" s="67">
        <f ca="1">IF(RAND()&gt;=D$15,C$15,C$16)</f>
        <v>0.15</v>
      </c>
      <c r="E97" s="93">
        <f ca="1">C97*D97</f>
        <v>1842.8361540394521</v>
      </c>
      <c r="F97" s="70">
        <f t="shared" ca="1" si="11"/>
        <v>0.12</v>
      </c>
      <c r="G97" s="93">
        <f t="shared" ca="1" si="12"/>
        <v>15356.967950328768</v>
      </c>
      <c r="H97" s="93">
        <f t="shared" ca="1" si="13"/>
        <v>18428.361540394522</v>
      </c>
      <c r="I97" s="93">
        <f t="shared" ca="1" si="14"/>
        <v>26326.230771992177</v>
      </c>
      <c r="J97" s="93">
        <f t="shared" ca="1" si="7"/>
        <v>20298</v>
      </c>
      <c r="K97" s="73">
        <f t="shared" ca="1" si="15"/>
        <v>1</v>
      </c>
      <c r="L97" s="73">
        <f ca="1">IF(K97=1, IF(_xlfn.BINOM.INV(1, C$22, RAND())&gt;0, K97*2, C$23), IF(_xlfn.BINOM.INV(1, C$21, RAND())&gt;0, K97, C$23))</f>
        <v>1</v>
      </c>
      <c r="M97" s="93">
        <f t="shared" ca="1" si="16"/>
        <v>20298</v>
      </c>
      <c r="N97" s="70">
        <f ca="1">IF(AND(K97=1, L97&gt;1), C$20, IF(AND(K97&gt;1, L97&gt;1), C$19, 0))</f>
        <v>0</v>
      </c>
      <c r="O97" s="67">
        <f ca="1">IF(D97=15%,C$18,C$17)</f>
        <v>0.05</v>
      </c>
      <c r="P97" s="93">
        <f t="shared" ca="1" si="17"/>
        <v>186.96384596054759</v>
      </c>
      <c r="Q97" s="93">
        <f ca="1">J97*0.15 - C97*0.8 - C97*0.01</f>
        <v>-6906.6152318130444</v>
      </c>
      <c r="R97" s="66"/>
      <c r="AF97" s="66"/>
    </row>
    <row r="98" spans="1:32" x14ac:dyDescent="0.3">
      <c r="A98" s="51">
        <v>57</v>
      </c>
      <c r="B98" s="91">
        <f t="shared" ca="1" si="2"/>
        <v>0.31183241759086777</v>
      </c>
      <c r="C98" s="92">
        <f ca="1">VLOOKUP(B98,표4[#Data],3)</f>
        <v>1672.5106827944833</v>
      </c>
      <c r="D98" s="67">
        <f ca="1">IF(RAND()&gt;=D$15,C$15,C$16)</f>
        <v>0.2</v>
      </c>
      <c r="E98" s="93">
        <f ca="1">C98*D98</f>
        <v>334.50213655889667</v>
      </c>
      <c r="F98" s="70">
        <f t="shared" ca="1" si="11"/>
        <v>0.13</v>
      </c>
      <c r="G98" s="93">
        <f t="shared" ca="1" si="12"/>
        <v>2573.0933581453587</v>
      </c>
      <c r="H98" s="93">
        <f t="shared" ca="1" si="13"/>
        <v>3040.9285141717878</v>
      </c>
      <c r="I98" s="93">
        <f t="shared" ca="1" si="14"/>
        <v>4181.2767069862084</v>
      </c>
      <c r="J98" s="93">
        <f t="shared" ca="1" si="7"/>
        <v>8146</v>
      </c>
      <c r="K98" s="73">
        <f t="shared" ca="1" si="15"/>
        <v>1</v>
      </c>
      <c r="L98" s="73">
        <f ca="1">IF(K98=1, IF(_xlfn.BINOM.INV(1, C$22, RAND())&gt;0, K98*2, C$23), IF(_xlfn.BINOM.INV(1, C$21, RAND())&gt;0, K98, C$23))</f>
        <v>1</v>
      </c>
      <c r="M98" s="93">
        <f t="shared" ca="1" si="16"/>
        <v>8146</v>
      </c>
      <c r="N98" s="70">
        <f ca="1">IF(AND(K98=1, L98&gt;1), C$20, IF(AND(K98&gt;1, L98&gt;1), C$19, 0))</f>
        <v>0</v>
      </c>
      <c r="O98" s="67">
        <f ca="1">IF(D98=15%,C$18,C$17)</f>
        <v>0.03</v>
      </c>
      <c r="P98" s="93">
        <f t="shared" ca="1" si="17"/>
        <v>643.01786344110326</v>
      </c>
      <c r="Q98" s="93">
        <f ca="1">J98*0.15 - C98*0.8 - C98*0.01</f>
        <v>-132.83365306353164</v>
      </c>
      <c r="R98" s="66"/>
      <c r="AF98" s="66"/>
    </row>
    <row r="99" spans="1:32" x14ac:dyDescent="0.3">
      <c r="A99" s="51">
        <v>58</v>
      </c>
      <c r="B99" s="91">
        <f t="shared" ca="1" si="2"/>
        <v>0.59717457920013062</v>
      </c>
      <c r="C99" s="92">
        <f ca="1">VLOOKUP(B99,표4[#Data],3)</f>
        <v>1672.5106827944833</v>
      </c>
      <c r="D99" s="67">
        <f ca="1">IF(RAND()&gt;=D$15,C$15,C$16)</f>
        <v>0.2</v>
      </c>
      <c r="E99" s="93">
        <f ca="1">C99*D99</f>
        <v>334.50213655889667</v>
      </c>
      <c r="F99" s="70">
        <f t="shared" ca="1" si="11"/>
        <v>0.13</v>
      </c>
      <c r="G99" s="93">
        <f t="shared" ca="1" si="12"/>
        <v>2573.0933581453587</v>
      </c>
      <c r="H99" s="93">
        <f t="shared" ca="1" si="13"/>
        <v>3040.9285141717878</v>
      </c>
      <c r="I99" s="93">
        <f t="shared" ca="1" si="14"/>
        <v>4181.2767069862084</v>
      </c>
      <c r="J99" s="93">
        <f t="shared" ca="1" si="7"/>
        <v>21881</v>
      </c>
      <c r="K99" s="73">
        <f t="shared" ca="1" si="15"/>
        <v>1</v>
      </c>
      <c r="L99" s="73">
        <f ca="1">IF(K99=1, IF(_xlfn.BINOM.INV(1, C$22, RAND())&gt;0, K99*2, C$23), IF(_xlfn.BINOM.INV(1, C$21, RAND())&gt;0, K99, C$23))</f>
        <v>1</v>
      </c>
      <c r="M99" s="93">
        <f t="shared" ca="1" si="16"/>
        <v>21881</v>
      </c>
      <c r="N99" s="70">
        <f ca="1">IF(AND(K99=1, L99&gt;1), C$20, IF(AND(K99&gt;1, L99&gt;1), C$19, 0))</f>
        <v>0</v>
      </c>
      <c r="O99" s="67">
        <f ca="1">IF(D99=15%,C$18,C$17)</f>
        <v>0.03</v>
      </c>
      <c r="P99" s="93">
        <f t="shared" ca="1" si="17"/>
        <v>2291.2178634411034</v>
      </c>
      <c r="Q99" s="93">
        <f ca="1">J99*0.15 - C99*0.8 - C99*0.01</f>
        <v>1927.4163469364687</v>
      </c>
      <c r="R99" s="66"/>
      <c r="AF99" s="66"/>
    </row>
    <row r="100" spans="1:32" x14ac:dyDescent="0.3">
      <c r="A100" s="51">
        <v>59</v>
      </c>
      <c r="B100" s="91">
        <f t="shared" ca="1" si="2"/>
        <v>0.95471023632682894</v>
      </c>
      <c r="C100" s="92">
        <f ca="1">VLOOKUP(B100,표4[#Data],3)</f>
        <v>22192.796279313508</v>
      </c>
      <c r="D100" s="67">
        <f ca="1">IF(RAND()&gt;=D$15,C$15,C$16)</f>
        <v>0.2</v>
      </c>
      <c r="E100" s="93">
        <f ca="1">C100*D100</f>
        <v>4438.5592558627022</v>
      </c>
      <c r="F100" s="70">
        <f t="shared" ca="1" si="11"/>
        <v>0.13</v>
      </c>
      <c r="G100" s="93">
        <f t="shared" ca="1" si="12"/>
        <v>34142.763506636169</v>
      </c>
      <c r="H100" s="93">
        <f t="shared" ca="1" si="13"/>
        <v>40350.538689660927</v>
      </c>
      <c r="I100" s="93">
        <f t="shared" ca="1" si="14"/>
        <v>55481.990698283778</v>
      </c>
      <c r="J100" s="93">
        <f t="shared" ca="1" si="7"/>
        <v>3507</v>
      </c>
      <c r="K100" s="73">
        <f t="shared" ca="1" si="15"/>
        <v>16</v>
      </c>
      <c r="L100" s="73">
        <f ca="1">IF(K100=1, IF(_xlfn.BINOM.INV(1, C$22, RAND())&gt;0, K100*2, C$23), IF(_xlfn.BINOM.INV(1, C$21, RAND())&gt;0, K100, C$23))</f>
        <v>1</v>
      </c>
      <c r="M100" s="93">
        <f t="shared" ca="1" si="16"/>
        <v>3507</v>
      </c>
      <c r="N100" s="70">
        <f ca="1">IF(AND(K100=1, L100&gt;1), C$20, IF(AND(K100&gt;1, L100&gt;1), C$19, 0))</f>
        <v>0</v>
      </c>
      <c r="O100" s="67">
        <f ca="1">IF(D100=15%,C$18,C$17)</f>
        <v>0.03</v>
      </c>
      <c r="P100" s="93">
        <f t="shared" ca="1" si="17"/>
        <v>-4017.7192558627021</v>
      </c>
      <c r="Q100" s="93">
        <f ca="1">J100*0.15 - C100*0.8 - C100*0.01</f>
        <v>-17450.114986243945</v>
      </c>
      <c r="R100" s="66"/>
      <c r="AF100" s="66"/>
    </row>
    <row r="101" spans="1:32" x14ac:dyDescent="0.3">
      <c r="A101" s="51">
        <v>60</v>
      </c>
      <c r="B101" s="91">
        <f t="shared" ca="1" si="2"/>
        <v>0.69470847058074126</v>
      </c>
      <c r="C101" s="92">
        <f ca="1">VLOOKUP(B101,표4[#Data],3)</f>
        <v>7164.2608066002549</v>
      </c>
      <c r="D101" s="67">
        <f ca="1">IF(RAND()&gt;=D$15,C$15,C$16)</f>
        <v>0.15</v>
      </c>
      <c r="E101" s="93">
        <f ca="1">C101*D101</f>
        <v>1074.6391209900382</v>
      </c>
      <c r="F101" s="70">
        <f t="shared" ca="1" si="11"/>
        <v>0.12</v>
      </c>
      <c r="G101" s="93">
        <f t="shared" ca="1" si="12"/>
        <v>8955.3260082503184</v>
      </c>
      <c r="H101" s="93">
        <f t="shared" ca="1" si="13"/>
        <v>10746.391209900383</v>
      </c>
      <c r="I101" s="93">
        <f t="shared" ca="1" si="14"/>
        <v>15351.987442714833</v>
      </c>
      <c r="J101" s="93">
        <f t="shared" ca="1" si="7"/>
        <v>5002</v>
      </c>
      <c r="K101" s="73">
        <f t="shared" ca="1" si="15"/>
        <v>3</v>
      </c>
      <c r="L101" s="73">
        <f ca="1">IF(K101=1, IF(_xlfn.BINOM.INV(1, C$22, RAND())&gt;0, K101*2, C$23), IF(_xlfn.BINOM.INV(1, C$21, RAND())&gt;0, K101, C$23))</f>
        <v>1</v>
      </c>
      <c r="M101" s="93">
        <f t="shared" ca="1" si="16"/>
        <v>5002</v>
      </c>
      <c r="N101" s="70">
        <f ca="1">IF(AND(K101=1, L101&gt;1), C$20, IF(AND(K101&gt;1, L101&gt;1), C$19, 0))</f>
        <v>0</v>
      </c>
      <c r="O101" s="67">
        <f ca="1">IF(D101=15%,C$18,C$17)</f>
        <v>0.05</v>
      </c>
      <c r="P101" s="93">
        <f t="shared" ca="1" si="17"/>
        <v>-574.4391209900383</v>
      </c>
      <c r="Q101" s="93">
        <f ca="1">J101*0.15 - C101*0.8 - C101*0.01</f>
        <v>-5052.7512533462059</v>
      </c>
      <c r="R101" s="66"/>
      <c r="AF101" s="66"/>
    </row>
    <row r="102" spans="1:32" x14ac:dyDescent="0.3">
      <c r="A102" s="51">
        <v>61</v>
      </c>
      <c r="B102" s="91">
        <f t="shared" ca="1" si="2"/>
        <v>2.9448308940411172E-2</v>
      </c>
      <c r="C102" s="92">
        <f ca="1">VLOOKUP(B102,표4[#Data],3)</f>
        <v>1672.5106827944833</v>
      </c>
      <c r="D102" s="67">
        <f ca="1">IF(RAND()&gt;=D$15,C$15,C$16)</f>
        <v>0.2</v>
      </c>
      <c r="E102" s="93">
        <f ca="1">C102*D102</f>
        <v>334.50213655889667</v>
      </c>
      <c r="F102" s="70">
        <f t="shared" ca="1" si="11"/>
        <v>0.13</v>
      </c>
      <c r="G102" s="93">
        <f t="shared" ca="1" si="12"/>
        <v>2573.0933581453587</v>
      </c>
      <c r="H102" s="93">
        <f t="shared" ca="1" si="13"/>
        <v>3040.9285141717878</v>
      </c>
      <c r="I102" s="93">
        <f t="shared" ca="1" si="14"/>
        <v>4181.2767069862084</v>
      </c>
      <c r="J102" s="93">
        <f t="shared" ca="1" si="7"/>
        <v>23068</v>
      </c>
      <c r="K102" s="73">
        <f t="shared" ca="1" si="15"/>
        <v>1</v>
      </c>
      <c r="L102" s="73">
        <f ca="1">IF(K102=1, IF(_xlfn.BINOM.INV(1, C$22, RAND())&gt;0, K102*2, C$23), IF(_xlfn.BINOM.INV(1, C$21, RAND())&gt;0, K102, C$23))</f>
        <v>1</v>
      </c>
      <c r="M102" s="93">
        <f t="shared" ca="1" si="16"/>
        <v>23068</v>
      </c>
      <c r="N102" s="70">
        <f ca="1">IF(AND(K102=1, L102&gt;1), C$20, IF(AND(K102&gt;1, L102&gt;1), C$19, 0))</f>
        <v>0</v>
      </c>
      <c r="O102" s="67">
        <f ca="1">IF(D102=15%,C$18,C$17)</f>
        <v>0.03</v>
      </c>
      <c r="P102" s="93">
        <f t="shared" ca="1" si="17"/>
        <v>2433.657863441103</v>
      </c>
      <c r="Q102" s="93">
        <f ca="1">J102*0.15 - C102*0.8 - C102*0.01</f>
        <v>2105.4663469364687</v>
      </c>
      <c r="R102" s="66"/>
      <c r="AF102" s="66"/>
    </row>
    <row r="103" spans="1:32" x14ac:dyDescent="0.3">
      <c r="A103" s="51">
        <v>62</v>
      </c>
      <c r="B103" s="91">
        <f t="shared" ca="1" si="2"/>
        <v>0.66617193144117437</v>
      </c>
      <c r="C103" s="92">
        <f ca="1">VLOOKUP(B103,표4[#Data],3)</f>
        <v>7164.2608066002549</v>
      </c>
      <c r="D103" s="67">
        <f ca="1">IF(RAND()&gt;=D$15,C$15,C$16)</f>
        <v>0.2</v>
      </c>
      <c r="E103" s="93">
        <f ca="1">C103*D103</f>
        <v>1432.852161320051</v>
      </c>
      <c r="F103" s="70">
        <f t="shared" ca="1" si="11"/>
        <v>0.13</v>
      </c>
      <c r="G103" s="93">
        <f t="shared" ca="1" si="12"/>
        <v>11021.93970246193</v>
      </c>
      <c r="H103" s="93">
        <f t="shared" ca="1" si="13"/>
        <v>13025.928739273191</v>
      </c>
      <c r="I103" s="93">
        <f t="shared" ca="1" si="14"/>
        <v>17910.652016500637</v>
      </c>
      <c r="J103" s="93">
        <f t="shared" ca="1" si="7"/>
        <v>25987</v>
      </c>
      <c r="K103" s="73">
        <f t="shared" ca="1" si="15"/>
        <v>1</v>
      </c>
      <c r="L103" s="73">
        <f ca="1">IF(K103=1, IF(_xlfn.BINOM.INV(1, C$22, RAND())&gt;0, K103*2, C$23), IF(_xlfn.BINOM.INV(1, C$21, RAND())&gt;0, K103, C$23))</f>
        <v>1</v>
      </c>
      <c r="M103" s="93">
        <f t="shared" ca="1" si="16"/>
        <v>25987</v>
      </c>
      <c r="N103" s="70">
        <f ca="1">IF(AND(K103=1, L103&gt;1), C$20, IF(AND(K103&gt;1, L103&gt;1), C$19, 0))</f>
        <v>0</v>
      </c>
      <c r="O103" s="67">
        <f ca="1">IF(D103=15%,C$18,C$17)</f>
        <v>0.03</v>
      </c>
      <c r="P103" s="93">
        <f t="shared" ca="1" si="17"/>
        <v>1685.5878386799486</v>
      </c>
      <c r="Q103" s="93">
        <f ca="1">J103*0.15 - C103*0.8 - C103*0.01</f>
        <v>-1905.0012533462068</v>
      </c>
      <c r="R103" s="66"/>
      <c r="AF103" s="66"/>
    </row>
    <row r="104" spans="1:32" x14ac:dyDescent="0.3">
      <c r="A104" s="51">
        <v>63</v>
      </c>
      <c r="B104" s="91">
        <f t="shared" ca="1" si="2"/>
        <v>0.2305215083401877</v>
      </c>
      <c r="C104" s="92">
        <f ca="1">VLOOKUP(B104,표4[#Data],3)</f>
        <v>1672.5106827944833</v>
      </c>
      <c r="D104" s="67">
        <f ca="1">IF(RAND()&gt;=D$15,C$15,C$16)</f>
        <v>0.15</v>
      </c>
      <c r="E104" s="93">
        <f ca="1">C104*D104</f>
        <v>250.87660241917249</v>
      </c>
      <c r="F104" s="70">
        <f t="shared" ca="1" si="11"/>
        <v>0.12</v>
      </c>
      <c r="G104" s="93">
        <f t="shared" ca="1" si="12"/>
        <v>2090.6383534931042</v>
      </c>
      <c r="H104" s="93">
        <f t="shared" ca="1" si="13"/>
        <v>2508.7660241917251</v>
      </c>
      <c r="I104" s="93">
        <f t="shared" ca="1" si="14"/>
        <v>3583.9514631310358</v>
      </c>
      <c r="J104" s="93">
        <f t="shared" ca="1" si="7"/>
        <v>14149</v>
      </c>
      <c r="K104" s="73">
        <f t="shared" ca="1" si="15"/>
        <v>1</v>
      </c>
      <c r="L104" s="73">
        <f ca="1">IF(K104=1, IF(_xlfn.BINOM.INV(1, C$22, RAND())&gt;0, K104*2, C$23), IF(_xlfn.BINOM.INV(1, C$21, RAND())&gt;0, K104, C$23))</f>
        <v>1</v>
      </c>
      <c r="M104" s="93">
        <f t="shared" ca="1" si="16"/>
        <v>14149</v>
      </c>
      <c r="N104" s="70">
        <f ca="1">IF(AND(K104=1, L104&gt;1), C$20, IF(AND(K104&gt;1, L104&gt;1), C$19, 0))</f>
        <v>0</v>
      </c>
      <c r="O104" s="67">
        <f ca="1">IF(D104=15%,C$18,C$17)</f>
        <v>0.05</v>
      </c>
      <c r="P104" s="93">
        <f t="shared" ca="1" si="17"/>
        <v>1164.0233975808273</v>
      </c>
      <c r="Q104" s="93">
        <f ca="1">J104*0.15 - C104*0.8 - C104*0.01</f>
        <v>767.6163469364684</v>
      </c>
      <c r="R104" s="66"/>
      <c r="AF104" s="66"/>
    </row>
    <row r="105" spans="1:32" x14ac:dyDescent="0.3">
      <c r="A105" s="51">
        <v>64</v>
      </c>
      <c r="B105" s="91">
        <f t="shared" ca="1" si="2"/>
        <v>0.76865979599773682</v>
      </c>
      <c r="C105" s="92">
        <f ca="1">VLOOKUP(B105,표4[#Data],3)</f>
        <v>7164.2608066002549</v>
      </c>
      <c r="D105" s="67">
        <f ca="1">IF(RAND()&gt;=D$15,C$15,C$16)</f>
        <v>0.15</v>
      </c>
      <c r="E105" s="93">
        <f ca="1">C105*D105</f>
        <v>1074.6391209900382</v>
      </c>
      <c r="F105" s="70">
        <f t="shared" ca="1" si="11"/>
        <v>0.12</v>
      </c>
      <c r="G105" s="93">
        <f t="shared" ca="1" si="12"/>
        <v>8955.3260082503184</v>
      </c>
      <c r="H105" s="93">
        <f t="shared" ca="1" si="13"/>
        <v>10746.391209900383</v>
      </c>
      <c r="I105" s="93">
        <f t="shared" ca="1" si="14"/>
        <v>15351.987442714833</v>
      </c>
      <c r="J105" s="93">
        <f t="shared" ca="1" si="7"/>
        <v>27882</v>
      </c>
      <c r="K105" s="73">
        <f t="shared" ca="1" si="15"/>
        <v>1</v>
      </c>
      <c r="L105" s="73">
        <f ca="1">IF(K105=1, IF(_xlfn.BINOM.INV(1, C$22, RAND())&gt;0, K105*2, C$23), IF(_xlfn.BINOM.INV(1, C$21, RAND())&gt;0, K105, C$23))</f>
        <v>1</v>
      </c>
      <c r="M105" s="93">
        <f t="shared" ca="1" si="16"/>
        <v>27882</v>
      </c>
      <c r="N105" s="70">
        <f ca="1">IF(AND(K105=1, L105&gt;1), C$20, IF(AND(K105&gt;1, L105&gt;1), C$19, 0))</f>
        <v>0</v>
      </c>
      <c r="O105" s="67">
        <f ca="1">IF(D105=15%,C$18,C$17)</f>
        <v>0.05</v>
      </c>
      <c r="P105" s="93">
        <f t="shared" ca="1" si="17"/>
        <v>1713.5608790099616</v>
      </c>
      <c r="Q105" s="93">
        <f ca="1">J105*0.15 - C105*0.8 - C105*0.01</f>
        <v>-1620.7512533462063</v>
      </c>
      <c r="R105" s="66"/>
      <c r="AF105" s="66"/>
    </row>
    <row r="106" spans="1:32" x14ac:dyDescent="0.3">
      <c r="A106" s="51">
        <v>65</v>
      </c>
      <c r="B106" s="91">
        <f t="shared" ca="1" si="2"/>
        <v>0.61797624699980269</v>
      </c>
      <c r="C106" s="92">
        <f ca="1">VLOOKUP(B106,표4[#Data],3)</f>
        <v>1672.5106827944833</v>
      </c>
      <c r="D106" s="67">
        <f ca="1">IF(RAND()&gt;=D$15,C$15,C$16)</f>
        <v>0.2</v>
      </c>
      <c r="E106" s="93">
        <f ca="1">C106*D106</f>
        <v>334.50213655889667</v>
      </c>
      <c r="F106" s="70">
        <f t="shared" ca="1" si="11"/>
        <v>0.13</v>
      </c>
      <c r="G106" s="93">
        <f t="shared" ca="1" si="12"/>
        <v>2573.0933581453587</v>
      </c>
      <c r="H106" s="93">
        <f t="shared" ca="1" si="13"/>
        <v>3040.9285141717878</v>
      </c>
      <c r="I106" s="93">
        <f t="shared" ca="1" si="14"/>
        <v>4181.2767069862084</v>
      </c>
      <c r="J106" s="93">
        <f t="shared" ca="1" si="7"/>
        <v>3869</v>
      </c>
      <c r="K106" s="73">
        <f t="shared" ca="1" si="15"/>
        <v>1</v>
      </c>
      <c r="L106" s="73">
        <f ca="1">IF(K106=1, IF(_xlfn.BINOM.INV(1, C$22, RAND())&gt;0, K106*2, C$23), IF(_xlfn.BINOM.INV(1, C$21, RAND())&gt;0, K106, C$23))</f>
        <v>1</v>
      </c>
      <c r="M106" s="93">
        <f t="shared" ca="1" si="16"/>
        <v>3869</v>
      </c>
      <c r="N106" s="70">
        <f ca="1">IF(AND(K106=1, L106&gt;1), C$20, IF(AND(K106&gt;1, L106&gt;1), C$19, 0))</f>
        <v>0</v>
      </c>
      <c r="O106" s="67">
        <f ca="1">IF(D106=15%,C$18,C$17)</f>
        <v>0.03</v>
      </c>
      <c r="P106" s="93">
        <f t="shared" ca="1" si="17"/>
        <v>129.77786344110336</v>
      </c>
      <c r="Q106" s="93">
        <f ca="1">J106*0.15 - C106*0.8 - C106*0.01</f>
        <v>-774.38365306353148</v>
      </c>
      <c r="R106" s="66"/>
      <c r="AF106" s="66"/>
    </row>
    <row r="107" spans="1:32" x14ac:dyDescent="0.3">
      <c r="A107" s="51">
        <v>66</v>
      </c>
      <c r="B107" s="91">
        <f t="shared" ref="B107:B170" ca="1" si="18">RAND()</f>
        <v>0.49476661907605757</v>
      </c>
      <c r="C107" s="92">
        <f ca="1">VLOOKUP(B107,표4[#Data],3)</f>
        <v>1672.5106827944833</v>
      </c>
      <c r="D107" s="67">
        <f ca="1">IF(RAND()&gt;=D$15,C$15,C$16)</f>
        <v>0.2</v>
      </c>
      <c r="E107" s="93">
        <f ca="1">C107*D107</f>
        <v>334.50213655889667</v>
      </c>
      <c r="F107" s="70">
        <f t="shared" ca="1" si="11"/>
        <v>0.13</v>
      </c>
      <c r="G107" s="93">
        <f t="shared" ca="1" si="12"/>
        <v>2573.0933581453587</v>
      </c>
      <c r="H107" s="93">
        <f t="shared" ca="1" si="13"/>
        <v>3040.9285141717878</v>
      </c>
      <c r="I107" s="93">
        <f t="shared" ca="1" si="14"/>
        <v>4181.2767069862084</v>
      </c>
      <c r="J107" s="93">
        <f t="shared" ref="J107:J170" ca="1" si="19">ROUND(IF(RAND()&lt;0.7,
    3200+(-4000*LN(RAND())),
    20000+(-10000*LN(RAND()))), 0)</f>
        <v>6525</v>
      </c>
      <c r="K107" s="73">
        <f t="shared" ca="1" si="15"/>
        <v>1</v>
      </c>
      <c r="L107" s="73">
        <f ca="1">IF(K107=1, IF(_xlfn.BINOM.INV(1, C$22, RAND())&gt;0, K107*2, C$23), IF(_xlfn.BINOM.INV(1, C$21, RAND())&gt;0, K107, C$23))</f>
        <v>1</v>
      </c>
      <c r="M107" s="93">
        <f t="shared" ca="1" si="16"/>
        <v>6525</v>
      </c>
      <c r="N107" s="70">
        <f ca="1">IF(AND(K107=1, L107&gt;1), C$20, IF(AND(K107&gt;1, L107&gt;1), C$19, 0))</f>
        <v>0</v>
      </c>
      <c r="O107" s="67">
        <f ca="1">IF(D107=15%,C$18,C$17)</f>
        <v>0.03</v>
      </c>
      <c r="P107" s="93">
        <f t="shared" ca="1" si="17"/>
        <v>448.49786344110339</v>
      </c>
      <c r="Q107" s="93">
        <f ca="1">J107*0.15 - C107*0.8 - C107*0.01</f>
        <v>-375.98365306353151</v>
      </c>
      <c r="R107" s="66"/>
      <c r="AF107" s="66"/>
    </row>
    <row r="108" spans="1:32" x14ac:dyDescent="0.3">
      <c r="A108" s="51">
        <v>67</v>
      </c>
      <c r="B108" s="91">
        <f t="shared" ca="1" si="18"/>
        <v>0.38157476451309813</v>
      </c>
      <c r="C108" s="92">
        <f ca="1">VLOOKUP(B108,표4[#Data],3)</f>
        <v>1672.5106827944833</v>
      </c>
      <c r="D108" s="67">
        <f ca="1">IF(RAND()&gt;=D$15,C$15,C$16)</f>
        <v>0.2</v>
      </c>
      <c r="E108" s="93">
        <f ca="1">C108*D108</f>
        <v>334.50213655889667</v>
      </c>
      <c r="F108" s="70">
        <f t="shared" ca="1" si="11"/>
        <v>0.13</v>
      </c>
      <c r="G108" s="93">
        <f t="shared" ca="1" si="12"/>
        <v>2573.0933581453587</v>
      </c>
      <c r="H108" s="93">
        <f t="shared" ca="1" si="13"/>
        <v>3040.9285141717878</v>
      </c>
      <c r="I108" s="93">
        <f t="shared" ca="1" si="14"/>
        <v>4181.2767069862084</v>
      </c>
      <c r="J108" s="93">
        <f t="shared" ca="1" si="19"/>
        <v>26779</v>
      </c>
      <c r="K108" s="73">
        <f t="shared" ca="1" si="15"/>
        <v>1</v>
      </c>
      <c r="L108" s="73">
        <f ca="1">IF(K108=1, IF(_xlfn.BINOM.INV(1, C$22, RAND())&gt;0, K108*2, C$23), IF(_xlfn.BINOM.INV(1, C$21, RAND())&gt;0, K108, C$23))</f>
        <v>1</v>
      </c>
      <c r="M108" s="93">
        <f t="shared" ca="1" si="16"/>
        <v>26779</v>
      </c>
      <c r="N108" s="70">
        <f ca="1">IF(AND(K108=1, L108&gt;1), C$20, IF(AND(K108&gt;1, L108&gt;1), C$19, 0))</f>
        <v>0</v>
      </c>
      <c r="O108" s="67">
        <f ca="1">IF(D108=15%,C$18,C$17)</f>
        <v>0.03</v>
      </c>
      <c r="P108" s="93">
        <f t="shared" ca="1" si="17"/>
        <v>2878.9778634411032</v>
      </c>
      <c r="Q108" s="93">
        <f ca="1">J108*0.15 - C108*0.8 - C108*0.01</f>
        <v>2662.1163469364683</v>
      </c>
      <c r="R108" s="66"/>
      <c r="AF108" s="66"/>
    </row>
    <row r="109" spans="1:32" x14ac:dyDescent="0.3">
      <c r="A109" s="51">
        <v>68</v>
      </c>
      <c r="B109" s="91">
        <f t="shared" ca="1" si="18"/>
        <v>0.34380132275620567</v>
      </c>
      <c r="C109" s="92">
        <f ca="1">VLOOKUP(B109,표4[#Data],3)</f>
        <v>1672.5106827944833</v>
      </c>
      <c r="D109" s="67">
        <f ca="1">IF(RAND()&gt;=D$15,C$15,C$16)</f>
        <v>0.2</v>
      </c>
      <c r="E109" s="93">
        <f ca="1">C109*D109</f>
        <v>334.50213655889667</v>
      </c>
      <c r="F109" s="70">
        <f t="shared" ca="1" si="11"/>
        <v>0.13</v>
      </c>
      <c r="G109" s="93">
        <f t="shared" ca="1" si="12"/>
        <v>2573.0933581453587</v>
      </c>
      <c r="H109" s="93">
        <f t="shared" ca="1" si="13"/>
        <v>3040.9285141717878</v>
      </c>
      <c r="I109" s="93">
        <f t="shared" ca="1" si="14"/>
        <v>4181.2767069862084</v>
      </c>
      <c r="J109" s="93">
        <f t="shared" ca="1" si="19"/>
        <v>10061</v>
      </c>
      <c r="K109" s="73">
        <f t="shared" ca="1" si="15"/>
        <v>1</v>
      </c>
      <c r="L109" s="73">
        <f ca="1">IF(K109=1, IF(_xlfn.BINOM.INV(1, C$22, RAND())&gt;0, K109*2, C$23), IF(_xlfn.BINOM.INV(1, C$21, RAND())&gt;0, K109, C$23))</f>
        <v>1</v>
      </c>
      <c r="M109" s="93">
        <f t="shared" ca="1" si="16"/>
        <v>10061</v>
      </c>
      <c r="N109" s="70">
        <f ca="1">IF(AND(K109=1, L109&gt;1), C$20, IF(AND(K109&gt;1, L109&gt;1), C$19, 0))</f>
        <v>0</v>
      </c>
      <c r="O109" s="67">
        <f ca="1">IF(D109=15%,C$18,C$17)</f>
        <v>0.03</v>
      </c>
      <c r="P109" s="93">
        <f t="shared" ca="1" si="17"/>
        <v>872.81786344110333</v>
      </c>
      <c r="Q109" s="93">
        <f ca="1">J109*0.15 - C109*0.8 - C109*0.01</f>
        <v>154.41634693646836</v>
      </c>
      <c r="R109" s="66"/>
      <c r="AF109" s="66"/>
    </row>
    <row r="110" spans="1:32" x14ac:dyDescent="0.3">
      <c r="A110" s="51">
        <v>69</v>
      </c>
      <c r="B110" s="91">
        <f t="shared" ca="1" si="18"/>
        <v>0.27327584005663497</v>
      </c>
      <c r="C110" s="92">
        <f ca="1">VLOOKUP(B110,표4[#Data],3)</f>
        <v>1672.5106827944833</v>
      </c>
      <c r="D110" s="67">
        <f ca="1">IF(RAND()&gt;=D$15,C$15,C$16)</f>
        <v>0.2</v>
      </c>
      <c r="E110" s="93">
        <f ca="1">C110*D110</f>
        <v>334.50213655889667</v>
      </c>
      <c r="F110" s="70">
        <f t="shared" ca="1" si="11"/>
        <v>0.13</v>
      </c>
      <c r="G110" s="93">
        <f t="shared" ca="1" si="12"/>
        <v>2573.0933581453587</v>
      </c>
      <c r="H110" s="93">
        <f t="shared" ca="1" si="13"/>
        <v>3040.9285141717878</v>
      </c>
      <c r="I110" s="93">
        <f t="shared" ca="1" si="14"/>
        <v>4181.2767069862084</v>
      </c>
      <c r="J110" s="93">
        <f t="shared" ca="1" si="19"/>
        <v>7125</v>
      </c>
      <c r="K110" s="73">
        <f t="shared" ca="1" si="15"/>
        <v>1</v>
      </c>
      <c r="L110" s="73">
        <f ca="1">IF(K110=1, IF(_xlfn.BINOM.INV(1, C$22, RAND())&gt;0, K110*2, C$23), IF(_xlfn.BINOM.INV(1, C$21, RAND())&gt;0, K110, C$23))</f>
        <v>2</v>
      </c>
      <c r="M110" s="93">
        <f t="shared" ca="1" si="16"/>
        <v>14250</v>
      </c>
      <c r="N110" s="70">
        <f ca="1">IF(AND(K110=1, L110&gt;1), C$20, IF(AND(K110&gt;1, L110&gt;1), C$19, 0))</f>
        <v>0.02</v>
      </c>
      <c r="O110" s="67">
        <f ca="1">IF(D110=15%,C$18,C$17)</f>
        <v>0.03</v>
      </c>
      <c r="P110" s="93">
        <f t="shared" ca="1" si="17"/>
        <v>1090.4978634411034</v>
      </c>
      <c r="Q110" s="93">
        <f ca="1">J110*0.15 - C110*0.8 - C110*0.01</f>
        <v>-285.98365306353151</v>
      </c>
      <c r="R110" s="66"/>
      <c r="AF110" s="66"/>
    </row>
    <row r="111" spans="1:32" x14ac:dyDescent="0.3">
      <c r="A111" s="51">
        <v>70</v>
      </c>
      <c r="B111" s="91">
        <f t="shared" ca="1" si="18"/>
        <v>0.29777010898630962</v>
      </c>
      <c r="C111" s="92">
        <f ca="1">VLOOKUP(B111,표4[#Data],3)</f>
        <v>1672.5106827944833</v>
      </c>
      <c r="D111" s="67">
        <f ca="1">IF(RAND()&gt;=D$15,C$15,C$16)</f>
        <v>0.2</v>
      </c>
      <c r="E111" s="93">
        <f ca="1">C111*D111</f>
        <v>334.50213655889667</v>
      </c>
      <c r="F111" s="70">
        <f t="shared" ca="1" si="11"/>
        <v>0.13</v>
      </c>
      <c r="G111" s="93">
        <f t="shared" ca="1" si="12"/>
        <v>2573.0933581453587</v>
      </c>
      <c r="H111" s="93">
        <f t="shared" ca="1" si="13"/>
        <v>3040.9285141717878</v>
      </c>
      <c r="I111" s="93">
        <f t="shared" ca="1" si="14"/>
        <v>4181.2767069862084</v>
      </c>
      <c r="J111" s="93">
        <f t="shared" ca="1" si="19"/>
        <v>10875</v>
      </c>
      <c r="K111" s="73">
        <f t="shared" ca="1" si="15"/>
        <v>1</v>
      </c>
      <c r="L111" s="73">
        <f ca="1">IF(K111=1, IF(_xlfn.BINOM.INV(1, C$22, RAND())&gt;0, K111*2, C$23), IF(_xlfn.BINOM.INV(1, C$21, RAND())&gt;0, K111, C$23))</f>
        <v>1</v>
      </c>
      <c r="M111" s="93">
        <f t="shared" ca="1" si="16"/>
        <v>10875</v>
      </c>
      <c r="N111" s="70">
        <f ca="1">IF(AND(K111=1, L111&gt;1), C$20, IF(AND(K111&gt;1, L111&gt;1), C$19, 0))</f>
        <v>0</v>
      </c>
      <c r="O111" s="67">
        <f ca="1">IF(D111=15%,C$18,C$17)</f>
        <v>0.03</v>
      </c>
      <c r="P111" s="93">
        <f t="shared" ca="1" si="17"/>
        <v>970.49786344110339</v>
      </c>
      <c r="Q111" s="93">
        <f ca="1">J111*0.15 - C111*0.8 - C111*0.01</f>
        <v>276.51634693646849</v>
      </c>
      <c r="R111" s="66"/>
      <c r="AF111" s="66"/>
    </row>
    <row r="112" spans="1:32" x14ac:dyDescent="0.3">
      <c r="A112" s="51">
        <v>71</v>
      </c>
      <c r="B112" s="91">
        <f t="shared" ca="1" si="18"/>
        <v>0.70365681262979596</v>
      </c>
      <c r="C112" s="92">
        <f ca="1">VLOOKUP(B112,표4[#Data],3)</f>
        <v>7164.2608066002549</v>
      </c>
      <c r="D112" s="67">
        <f ca="1">IF(RAND()&gt;=D$15,C$15,C$16)</f>
        <v>0.2</v>
      </c>
      <c r="E112" s="93">
        <f ca="1">C112*D112</f>
        <v>1432.852161320051</v>
      </c>
      <c r="F112" s="70">
        <f t="shared" ca="1" si="11"/>
        <v>0.13</v>
      </c>
      <c r="G112" s="93">
        <f t="shared" ca="1" si="12"/>
        <v>11021.93970246193</v>
      </c>
      <c r="H112" s="93">
        <f t="shared" ca="1" si="13"/>
        <v>13025.928739273191</v>
      </c>
      <c r="I112" s="93">
        <f t="shared" ca="1" si="14"/>
        <v>17910.652016500637</v>
      </c>
      <c r="J112" s="93">
        <f t="shared" ca="1" si="19"/>
        <v>3419</v>
      </c>
      <c r="K112" s="73">
        <f t="shared" ca="1" si="15"/>
        <v>5</v>
      </c>
      <c r="L112" s="73">
        <f ca="1">IF(K112=1, IF(_xlfn.BINOM.INV(1, C$22, RAND())&gt;0, K112*2, C$23), IF(_xlfn.BINOM.INV(1, C$21, RAND())&gt;0, K112, C$23))</f>
        <v>1</v>
      </c>
      <c r="M112" s="93">
        <f t="shared" ca="1" si="16"/>
        <v>3419</v>
      </c>
      <c r="N112" s="70">
        <f ca="1">IF(AND(K112=1, L112&gt;1), C$20, IF(AND(K112&gt;1, L112&gt;1), C$19, 0))</f>
        <v>0</v>
      </c>
      <c r="O112" s="67">
        <f ca="1">IF(D112=15%,C$18,C$17)</f>
        <v>0.03</v>
      </c>
      <c r="P112" s="93">
        <f t="shared" ca="1" si="17"/>
        <v>-1022.572161320051</v>
      </c>
      <c r="Q112" s="93">
        <f ca="1">J112*0.15 - C112*0.8 - C112*0.01</f>
        <v>-5290.2012533462057</v>
      </c>
      <c r="R112" s="66"/>
      <c r="AF112" s="66"/>
    </row>
    <row r="113" spans="1:32" x14ac:dyDescent="0.3">
      <c r="A113" s="51">
        <v>72</v>
      </c>
      <c r="B113" s="91">
        <f t="shared" ca="1" si="18"/>
        <v>0.76975366378566501</v>
      </c>
      <c r="C113" s="92">
        <f ca="1">VLOOKUP(B113,표4[#Data],3)</f>
        <v>7164.2608066002549</v>
      </c>
      <c r="D113" s="67">
        <f ca="1">IF(RAND()&gt;=D$15,C$15,C$16)</f>
        <v>0.2</v>
      </c>
      <c r="E113" s="93">
        <f ca="1">C113*D113</f>
        <v>1432.852161320051</v>
      </c>
      <c r="F113" s="70">
        <f t="shared" ca="1" si="11"/>
        <v>0.13</v>
      </c>
      <c r="G113" s="93">
        <f t="shared" ca="1" si="12"/>
        <v>11021.93970246193</v>
      </c>
      <c r="H113" s="93">
        <f t="shared" ca="1" si="13"/>
        <v>13025.928739273191</v>
      </c>
      <c r="I113" s="93">
        <f t="shared" ca="1" si="14"/>
        <v>17910.652016500637</v>
      </c>
      <c r="J113" s="93">
        <f t="shared" ca="1" si="19"/>
        <v>12385</v>
      </c>
      <c r="K113" s="73">
        <f t="shared" ca="1" si="15"/>
        <v>1</v>
      </c>
      <c r="L113" s="73">
        <f ca="1">IF(K113=1, IF(_xlfn.BINOM.INV(1, C$22, RAND())&gt;0, K113*2, C$23), IF(_xlfn.BINOM.INV(1, C$21, RAND())&gt;0, K113, C$23))</f>
        <v>1</v>
      </c>
      <c r="M113" s="93">
        <f t="shared" ca="1" si="16"/>
        <v>12385</v>
      </c>
      <c r="N113" s="70">
        <f ca="1">IF(AND(K113=1, L113&gt;1), C$20, IF(AND(K113&gt;1, L113&gt;1), C$19, 0))</f>
        <v>0</v>
      </c>
      <c r="O113" s="67">
        <f ca="1">IF(D113=15%,C$18,C$17)</f>
        <v>0.03</v>
      </c>
      <c r="P113" s="93">
        <f t="shared" ca="1" si="17"/>
        <v>53.347838679949007</v>
      </c>
      <c r="Q113" s="93">
        <f ca="1">J113*0.15 - C113*0.8 - C113*0.01</f>
        <v>-3945.3012533462065</v>
      </c>
      <c r="R113" s="66"/>
      <c r="AF113" s="66"/>
    </row>
    <row r="114" spans="1:32" x14ac:dyDescent="0.3">
      <c r="A114" s="51">
        <v>73</v>
      </c>
      <c r="B114" s="91">
        <f t="shared" ca="1" si="18"/>
        <v>4.1921119104085358E-2</v>
      </c>
      <c r="C114" s="92">
        <f ca="1">VLOOKUP(B114,표4[#Data],3)</f>
        <v>1672.5106827944833</v>
      </c>
      <c r="D114" s="67">
        <f ca="1">IF(RAND()&gt;=D$15,C$15,C$16)</f>
        <v>0.15</v>
      </c>
      <c r="E114" s="93">
        <f ca="1">C114*D114</f>
        <v>250.87660241917249</v>
      </c>
      <c r="F114" s="70">
        <f t="shared" ca="1" si="11"/>
        <v>0.12</v>
      </c>
      <c r="G114" s="93">
        <f t="shared" ca="1" si="12"/>
        <v>2090.6383534931042</v>
      </c>
      <c r="H114" s="93">
        <f t="shared" ca="1" si="13"/>
        <v>2508.7660241917251</v>
      </c>
      <c r="I114" s="93">
        <f t="shared" ca="1" si="14"/>
        <v>3583.9514631310358</v>
      </c>
      <c r="J114" s="93">
        <f t="shared" ca="1" si="19"/>
        <v>3250</v>
      </c>
      <c r="K114" s="73">
        <f t="shared" ca="1" si="15"/>
        <v>1</v>
      </c>
      <c r="L114" s="73">
        <f ca="1">IF(K114=1, IF(_xlfn.BINOM.INV(1, C$22, RAND())&gt;0, K114*2, C$23), IF(_xlfn.BINOM.INV(1, C$21, RAND())&gt;0, K114, C$23))</f>
        <v>1</v>
      </c>
      <c r="M114" s="93">
        <f t="shared" ca="1" si="16"/>
        <v>3250</v>
      </c>
      <c r="N114" s="70">
        <f ca="1">IF(AND(K114=1, L114&gt;1), C$20, IF(AND(K114&gt;1, L114&gt;1), C$19, 0))</f>
        <v>0</v>
      </c>
      <c r="O114" s="67">
        <f ca="1">IF(D114=15%,C$18,C$17)</f>
        <v>0.05</v>
      </c>
      <c r="P114" s="93">
        <f t="shared" ca="1" si="17"/>
        <v>74.123397580827515</v>
      </c>
      <c r="Q114" s="93">
        <f ca="1">J114*0.15 - C114*0.8 - C114*0.01</f>
        <v>-867.23365306353151</v>
      </c>
      <c r="R114" s="66"/>
      <c r="AF114" s="66"/>
    </row>
    <row r="115" spans="1:32" x14ac:dyDescent="0.3">
      <c r="A115" s="51">
        <v>74</v>
      </c>
      <c r="B115" s="91">
        <f t="shared" ca="1" si="18"/>
        <v>0.21958976031676758</v>
      </c>
      <c r="C115" s="92">
        <f ca="1">VLOOKUP(B115,표4[#Data],3)</f>
        <v>1672.5106827944833</v>
      </c>
      <c r="D115" s="67">
        <f ca="1">IF(RAND()&gt;=D$15,C$15,C$16)</f>
        <v>0.15</v>
      </c>
      <c r="E115" s="93">
        <f ca="1">C115*D115</f>
        <v>250.87660241917249</v>
      </c>
      <c r="F115" s="70">
        <f t="shared" ca="1" si="11"/>
        <v>0.12</v>
      </c>
      <c r="G115" s="93">
        <f t="shared" ca="1" si="12"/>
        <v>2090.6383534931042</v>
      </c>
      <c r="H115" s="93">
        <f t="shared" ca="1" si="13"/>
        <v>2508.7660241917251</v>
      </c>
      <c r="I115" s="93">
        <f t="shared" ca="1" si="14"/>
        <v>3583.9514631310358</v>
      </c>
      <c r="J115" s="93">
        <f t="shared" ca="1" si="19"/>
        <v>22477</v>
      </c>
      <c r="K115" s="73">
        <f t="shared" ca="1" si="15"/>
        <v>1</v>
      </c>
      <c r="L115" s="73">
        <f ca="1">IF(K115=1, IF(_xlfn.BINOM.INV(1, C$22, RAND())&gt;0, K115*2, C$23), IF(_xlfn.BINOM.INV(1, C$21, RAND())&gt;0, K115, C$23))</f>
        <v>1</v>
      </c>
      <c r="M115" s="93">
        <f t="shared" ca="1" si="16"/>
        <v>22477</v>
      </c>
      <c r="N115" s="70">
        <f ca="1">IF(AND(K115=1, L115&gt;1), C$20, IF(AND(K115&gt;1, L115&gt;1), C$19, 0))</f>
        <v>0</v>
      </c>
      <c r="O115" s="67">
        <f ca="1">IF(D115=15%,C$18,C$17)</f>
        <v>0.05</v>
      </c>
      <c r="P115" s="93">
        <f t="shared" ca="1" si="17"/>
        <v>1996.8233975808273</v>
      </c>
      <c r="Q115" s="93">
        <f ca="1">J115*0.15 - C115*0.8 - C115*0.01</f>
        <v>2016.8163469364683</v>
      </c>
      <c r="R115" s="66"/>
      <c r="AF115" s="66"/>
    </row>
    <row r="116" spans="1:32" x14ac:dyDescent="0.3">
      <c r="A116" s="51">
        <v>75</v>
      </c>
      <c r="B116" s="91">
        <f t="shared" ca="1" si="18"/>
        <v>0.83795201863709312</v>
      </c>
      <c r="C116" s="92">
        <f ca="1">VLOOKUP(B116,표4[#Data],3)</f>
        <v>12285.574360263015</v>
      </c>
      <c r="D116" s="67">
        <f ca="1">IF(RAND()&gt;=D$15,C$15,C$16)</f>
        <v>0.15</v>
      </c>
      <c r="E116" s="93">
        <f ca="1">C116*D116</f>
        <v>1842.8361540394521</v>
      </c>
      <c r="F116" s="70">
        <f t="shared" ca="1" si="11"/>
        <v>0.12</v>
      </c>
      <c r="G116" s="93">
        <f t="shared" ca="1" si="12"/>
        <v>15356.967950328768</v>
      </c>
      <c r="H116" s="93">
        <f t="shared" ca="1" si="13"/>
        <v>18428.361540394522</v>
      </c>
      <c r="I116" s="93">
        <f t="shared" ca="1" si="14"/>
        <v>26326.230771992177</v>
      </c>
      <c r="J116" s="93">
        <f t="shared" ca="1" si="19"/>
        <v>3792</v>
      </c>
      <c r="K116" s="73">
        <f t="shared" ca="1" si="15"/>
        <v>7</v>
      </c>
      <c r="L116" s="73">
        <f ca="1">IF(K116=1, IF(_xlfn.BINOM.INV(1, C$22, RAND())&gt;0, K116*2, C$23), IF(_xlfn.BINOM.INV(1, C$21, RAND())&gt;0, K116, C$23))</f>
        <v>7</v>
      </c>
      <c r="M116" s="93">
        <f t="shared" ca="1" si="16"/>
        <v>26544</v>
      </c>
      <c r="N116" s="70">
        <f ca="1">IF(AND(K116=1, L116&gt;1), C$20, IF(AND(K116&gt;1, L116&gt;1), C$19, 0))</f>
        <v>0.05</v>
      </c>
      <c r="O116" s="67">
        <f ca="1">IF(D116=15%,C$18,C$17)</f>
        <v>0.05</v>
      </c>
      <c r="P116" s="93">
        <f t="shared" ca="1" si="17"/>
        <v>-515.63615403945232</v>
      </c>
      <c r="Q116" s="93">
        <f ca="1">J116*0.15 - C116*0.8 - C116*0.01</f>
        <v>-9382.515231813044</v>
      </c>
      <c r="R116" s="66"/>
      <c r="AF116" s="66"/>
    </row>
    <row r="117" spans="1:32" x14ac:dyDescent="0.3">
      <c r="A117" s="51">
        <v>76</v>
      </c>
      <c r="B117" s="91">
        <f t="shared" ca="1" si="18"/>
        <v>6.6485638915568135E-2</v>
      </c>
      <c r="C117" s="92">
        <f ca="1">VLOOKUP(B117,표4[#Data],3)</f>
        <v>1672.5106827944833</v>
      </c>
      <c r="D117" s="67">
        <f ca="1">IF(RAND()&gt;=D$15,C$15,C$16)</f>
        <v>0.2</v>
      </c>
      <c r="E117" s="93">
        <f ca="1">C117*D117</f>
        <v>334.50213655889667</v>
      </c>
      <c r="F117" s="70">
        <f t="shared" ca="1" si="11"/>
        <v>0.13</v>
      </c>
      <c r="G117" s="93">
        <f t="shared" ca="1" si="12"/>
        <v>2573.0933581453587</v>
      </c>
      <c r="H117" s="93">
        <f t="shared" ca="1" si="13"/>
        <v>3040.9285141717878</v>
      </c>
      <c r="I117" s="93">
        <f t="shared" ca="1" si="14"/>
        <v>4181.2767069862084</v>
      </c>
      <c r="J117" s="93">
        <f t="shared" ca="1" si="19"/>
        <v>4287</v>
      </c>
      <c r="K117" s="73">
        <f t="shared" ca="1" si="15"/>
        <v>1</v>
      </c>
      <c r="L117" s="73">
        <f ca="1">IF(K117=1, IF(_xlfn.BINOM.INV(1, C$22, RAND())&gt;0, K117*2, C$23), IF(_xlfn.BINOM.INV(1, C$21, RAND())&gt;0, K117, C$23))</f>
        <v>2</v>
      </c>
      <c r="M117" s="93">
        <f t="shared" ca="1" si="16"/>
        <v>8574</v>
      </c>
      <c r="N117" s="70">
        <f ca="1">IF(AND(K117=1, L117&gt;1), C$20, IF(AND(K117&gt;1, L117&gt;1), C$19, 0))</f>
        <v>0.02</v>
      </c>
      <c r="O117" s="67">
        <f ca="1">IF(D117=15%,C$18,C$17)</f>
        <v>0.03</v>
      </c>
      <c r="P117" s="93">
        <f t="shared" ca="1" si="17"/>
        <v>522.89786344110325</v>
      </c>
      <c r="Q117" s="93">
        <f ca="1">J117*0.15 - C117*0.8 - C117*0.01</f>
        <v>-711.68365306353155</v>
      </c>
      <c r="R117" s="66"/>
      <c r="AF117" s="66"/>
    </row>
    <row r="118" spans="1:32" x14ac:dyDescent="0.3">
      <c r="A118" s="51">
        <v>77</v>
      </c>
      <c r="B118" s="91">
        <f t="shared" ca="1" si="18"/>
        <v>0.78244841695056733</v>
      </c>
      <c r="C118" s="92">
        <f ca="1">VLOOKUP(B118,표4[#Data],3)</f>
        <v>7164.2608066002549</v>
      </c>
      <c r="D118" s="67">
        <f ca="1">IF(RAND()&gt;=D$15,C$15,C$16)</f>
        <v>0.2</v>
      </c>
      <c r="E118" s="93">
        <f ca="1">C118*D118</f>
        <v>1432.852161320051</v>
      </c>
      <c r="F118" s="70">
        <f t="shared" ca="1" si="11"/>
        <v>0.13</v>
      </c>
      <c r="G118" s="93">
        <f t="shared" ca="1" si="12"/>
        <v>11021.93970246193</v>
      </c>
      <c r="H118" s="93">
        <f t="shared" ca="1" si="13"/>
        <v>13025.928739273191</v>
      </c>
      <c r="I118" s="93">
        <f t="shared" ca="1" si="14"/>
        <v>17910.652016500637</v>
      </c>
      <c r="J118" s="93">
        <f t="shared" ca="1" si="19"/>
        <v>13451</v>
      </c>
      <c r="K118" s="73">
        <f t="shared" ca="1" si="15"/>
        <v>1</v>
      </c>
      <c r="L118" s="73">
        <f ca="1">IF(K118=1, IF(_xlfn.BINOM.INV(1, C$22, RAND())&gt;0, K118*2, C$23), IF(_xlfn.BINOM.INV(1, C$21, RAND())&gt;0, K118, C$23))</f>
        <v>1</v>
      </c>
      <c r="M118" s="93">
        <f t="shared" ca="1" si="16"/>
        <v>13451</v>
      </c>
      <c r="N118" s="70">
        <f ca="1">IF(AND(K118=1, L118&gt;1), C$20, IF(AND(K118&gt;1, L118&gt;1), C$19, 0))</f>
        <v>0</v>
      </c>
      <c r="O118" s="67">
        <f ca="1">IF(D118=15%,C$18,C$17)</f>
        <v>0.03</v>
      </c>
      <c r="P118" s="93">
        <f t="shared" ca="1" si="17"/>
        <v>181.26783867994891</v>
      </c>
      <c r="Q118" s="93">
        <f ca="1">J118*0.15 - C118*0.8 - C118*0.01</f>
        <v>-3785.4012533462069</v>
      </c>
      <c r="R118" s="66"/>
      <c r="AF118" s="66"/>
    </row>
    <row r="119" spans="1:32" x14ac:dyDescent="0.3">
      <c r="A119" s="51">
        <v>78</v>
      </c>
      <c r="B119" s="91">
        <f t="shared" ca="1" si="18"/>
        <v>0.38261808289178645</v>
      </c>
      <c r="C119" s="92">
        <f ca="1">VLOOKUP(B119,표4[#Data],3)</f>
        <v>1672.5106827944833</v>
      </c>
      <c r="D119" s="67">
        <f ca="1">IF(RAND()&gt;=D$15,C$15,C$16)</f>
        <v>0.2</v>
      </c>
      <c r="E119" s="93">
        <f ca="1">C119*D119</f>
        <v>334.50213655889667</v>
      </c>
      <c r="F119" s="70">
        <f t="shared" ca="1" si="11"/>
        <v>0.13</v>
      </c>
      <c r="G119" s="93">
        <f t="shared" ca="1" si="12"/>
        <v>2573.0933581453587</v>
      </c>
      <c r="H119" s="93">
        <f t="shared" ca="1" si="13"/>
        <v>3040.9285141717878</v>
      </c>
      <c r="I119" s="93">
        <f t="shared" ca="1" si="14"/>
        <v>4181.2767069862084</v>
      </c>
      <c r="J119" s="93">
        <f t="shared" ca="1" si="19"/>
        <v>3867</v>
      </c>
      <c r="K119" s="73">
        <f t="shared" ca="1" si="15"/>
        <v>1</v>
      </c>
      <c r="L119" s="73">
        <f ca="1">IF(K119=1, IF(_xlfn.BINOM.INV(1, C$22, RAND())&gt;0, K119*2, C$23), IF(_xlfn.BINOM.INV(1, C$21, RAND())&gt;0, K119, C$23))</f>
        <v>1</v>
      </c>
      <c r="M119" s="93">
        <f t="shared" ca="1" si="16"/>
        <v>3867</v>
      </c>
      <c r="N119" s="70">
        <f ca="1">IF(AND(K119=1, L119&gt;1), C$20, IF(AND(K119&gt;1, L119&gt;1), C$19, 0))</f>
        <v>0</v>
      </c>
      <c r="O119" s="67">
        <f ca="1">IF(D119=15%,C$18,C$17)</f>
        <v>0.03</v>
      </c>
      <c r="P119" s="93">
        <f t="shared" ca="1" si="17"/>
        <v>129.5378634411033</v>
      </c>
      <c r="Q119" s="93">
        <f ca="1">J119*0.15 - C119*0.8 - C119*0.01</f>
        <v>-774.68365306353155</v>
      </c>
      <c r="R119" s="66"/>
      <c r="AF119" s="66"/>
    </row>
    <row r="120" spans="1:32" x14ac:dyDescent="0.3">
      <c r="A120" s="51">
        <v>79</v>
      </c>
      <c r="B120" s="91">
        <f t="shared" ca="1" si="18"/>
        <v>0.6170033230537133</v>
      </c>
      <c r="C120" s="92">
        <f ca="1">VLOOKUP(B120,표4[#Data],3)</f>
        <v>1672.5106827944833</v>
      </c>
      <c r="D120" s="67">
        <f ca="1">IF(RAND()&gt;=D$15,C$15,C$16)</f>
        <v>0.15</v>
      </c>
      <c r="E120" s="93">
        <f ca="1">C120*D120</f>
        <v>250.87660241917249</v>
      </c>
      <c r="F120" s="70">
        <f t="shared" ca="1" si="11"/>
        <v>0.12</v>
      </c>
      <c r="G120" s="93">
        <f t="shared" ca="1" si="12"/>
        <v>2090.6383534931042</v>
      </c>
      <c r="H120" s="93">
        <f t="shared" ca="1" si="13"/>
        <v>2508.7660241917251</v>
      </c>
      <c r="I120" s="93">
        <f t="shared" ca="1" si="14"/>
        <v>3583.9514631310358</v>
      </c>
      <c r="J120" s="93">
        <f t="shared" ca="1" si="19"/>
        <v>4771</v>
      </c>
      <c r="K120" s="73">
        <f t="shared" ca="1" si="15"/>
        <v>1</v>
      </c>
      <c r="L120" s="73">
        <f ca="1">IF(K120=1, IF(_xlfn.BINOM.INV(1, C$22, RAND())&gt;0, K120*2, C$23), IF(_xlfn.BINOM.INV(1, C$21, RAND())&gt;0, K120, C$23))</f>
        <v>1</v>
      </c>
      <c r="M120" s="93">
        <f t="shared" ca="1" si="16"/>
        <v>4771</v>
      </c>
      <c r="N120" s="70">
        <f ca="1">IF(AND(K120=1, L120&gt;1), C$20, IF(AND(K120&gt;1, L120&gt;1), C$19, 0))</f>
        <v>0</v>
      </c>
      <c r="O120" s="67">
        <f ca="1">IF(D120=15%,C$18,C$17)</f>
        <v>0.05</v>
      </c>
      <c r="P120" s="93">
        <f t="shared" ca="1" si="17"/>
        <v>226.22339758082745</v>
      </c>
      <c r="Q120" s="93">
        <f ca="1">J120*0.15 - C120*0.8 - C120*0.01</f>
        <v>-639.08365306353153</v>
      </c>
      <c r="R120" s="66"/>
      <c r="AF120" s="66"/>
    </row>
    <row r="121" spans="1:32" x14ac:dyDescent="0.3">
      <c r="A121" s="51">
        <v>80</v>
      </c>
      <c r="B121" s="91">
        <f t="shared" ca="1" si="18"/>
        <v>0.24849634198188419</v>
      </c>
      <c r="C121" s="92">
        <f ca="1">VLOOKUP(B121,표4[#Data],3)</f>
        <v>1672.5106827944833</v>
      </c>
      <c r="D121" s="67">
        <f ca="1">IF(RAND()&gt;=D$15,C$15,C$16)</f>
        <v>0.2</v>
      </c>
      <c r="E121" s="93">
        <f ca="1">C121*D121</f>
        <v>334.50213655889667</v>
      </c>
      <c r="F121" s="70">
        <f t="shared" ca="1" si="11"/>
        <v>0.13</v>
      </c>
      <c r="G121" s="93">
        <f t="shared" ca="1" si="12"/>
        <v>2573.0933581453587</v>
      </c>
      <c r="H121" s="93">
        <f t="shared" ca="1" si="13"/>
        <v>3040.9285141717878</v>
      </c>
      <c r="I121" s="93">
        <f t="shared" ca="1" si="14"/>
        <v>4181.2767069862084</v>
      </c>
      <c r="J121" s="93">
        <f t="shared" ca="1" si="19"/>
        <v>4708</v>
      </c>
      <c r="K121" s="73">
        <f t="shared" ca="1" si="15"/>
        <v>1</v>
      </c>
      <c r="L121" s="73">
        <f ca="1">IF(K121=1, IF(_xlfn.BINOM.INV(1, C$22, RAND())&gt;0, K121*2, C$23), IF(_xlfn.BINOM.INV(1, C$21, RAND())&gt;0, K121, C$23))</f>
        <v>1</v>
      </c>
      <c r="M121" s="93">
        <f t="shared" ca="1" si="16"/>
        <v>4708</v>
      </c>
      <c r="N121" s="70">
        <f ca="1">IF(AND(K121=1, L121&gt;1), C$20, IF(AND(K121&gt;1, L121&gt;1), C$19, 0))</f>
        <v>0</v>
      </c>
      <c r="O121" s="67">
        <f ca="1">IF(D121=15%,C$18,C$17)</f>
        <v>0.03</v>
      </c>
      <c r="P121" s="93">
        <f t="shared" ca="1" si="17"/>
        <v>230.45786344110329</v>
      </c>
      <c r="Q121" s="93">
        <f ca="1">J121*0.15 - C121*0.8 - C121*0.01</f>
        <v>-648.53365306353157</v>
      </c>
      <c r="R121" s="66"/>
      <c r="AF121" s="66"/>
    </row>
    <row r="122" spans="1:32" x14ac:dyDescent="0.3">
      <c r="A122" s="51">
        <v>81</v>
      </c>
      <c r="B122" s="91">
        <f t="shared" ca="1" si="18"/>
        <v>0.99212298224497897</v>
      </c>
      <c r="C122" s="92">
        <f ca="1">VLOOKUP(B122,표4[#Data],3)</f>
        <v>32146.038888888888</v>
      </c>
      <c r="D122" s="67">
        <f ca="1">IF(RAND()&gt;=D$15,C$15,C$16)</f>
        <v>0.15</v>
      </c>
      <c r="E122" s="93">
        <f ca="1">C122*D122</f>
        <v>4821.9058333333332</v>
      </c>
      <c r="F122" s="70">
        <f t="shared" ca="1" si="11"/>
        <v>0.12</v>
      </c>
      <c r="G122" s="93">
        <f t="shared" ca="1" si="12"/>
        <v>40182.548611111109</v>
      </c>
      <c r="H122" s="93">
        <f t="shared" ca="1" si="13"/>
        <v>48219.058333333334</v>
      </c>
      <c r="I122" s="93">
        <f t="shared" ca="1" si="14"/>
        <v>68884.369047619053</v>
      </c>
      <c r="J122" s="93">
        <f t="shared" ca="1" si="19"/>
        <v>34263</v>
      </c>
      <c r="K122" s="73">
        <f t="shared" ca="1" si="15"/>
        <v>2</v>
      </c>
      <c r="L122" s="73">
        <f ca="1">IF(K122=1, IF(_xlfn.BINOM.INV(1, C$22, RAND())&gt;0, K122*2, C$23), IF(_xlfn.BINOM.INV(1, C$21, RAND())&gt;0, K122, C$23))</f>
        <v>1</v>
      </c>
      <c r="M122" s="93">
        <f t="shared" ca="1" si="16"/>
        <v>34263</v>
      </c>
      <c r="N122" s="70">
        <f ca="1">IF(AND(K122=1, L122&gt;1), C$20, IF(AND(K122&gt;1, L122&gt;1), C$19, 0))</f>
        <v>0</v>
      </c>
      <c r="O122" s="67">
        <f ca="1">IF(D122=15%,C$18,C$17)</f>
        <v>0.05</v>
      </c>
      <c r="P122" s="93">
        <f t="shared" ca="1" si="17"/>
        <v>-1395.6058333333335</v>
      </c>
      <c r="Q122" s="93">
        <f ca="1">J122*0.15 - C122*0.8 - C122*0.01</f>
        <v>-20898.841499999999</v>
      </c>
      <c r="R122" s="66"/>
      <c r="AF122" s="66"/>
    </row>
    <row r="123" spans="1:32" x14ac:dyDescent="0.3">
      <c r="A123" s="51">
        <v>82</v>
      </c>
      <c r="B123" s="91">
        <f t="shared" ca="1" si="18"/>
        <v>0.82529335039028129</v>
      </c>
      <c r="C123" s="92">
        <f ca="1">VLOOKUP(B123,표4[#Data],3)</f>
        <v>12285.574360263015</v>
      </c>
      <c r="D123" s="67">
        <f ca="1">IF(RAND()&gt;=D$15,C$15,C$16)</f>
        <v>0.2</v>
      </c>
      <c r="E123" s="93">
        <f ca="1">C123*D123</f>
        <v>2457.1148720526035</v>
      </c>
      <c r="F123" s="70">
        <f t="shared" ca="1" si="11"/>
        <v>0.13</v>
      </c>
      <c r="G123" s="93">
        <f t="shared" ca="1" si="12"/>
        <v>18900.883631173871</v>
      </c>
      <c r="H123" s="93">
        <f t="shared" ca="1" si="13"/>
        <v>22337.407927750941</v>
      </c>
      <c r="I123" s="93">
        <f t="shared" ca="1" si="14"/>
        <v>30713.935900657543</v>
      </c>
      <c r="J123" s="93">
        <f t="shared" ca="1" si="19"/>
        <v>14296</v>
      </c>
      <c r="K123" s="73">
        <f t="shared" ca="1" si="15"/>
        <v>2</v>
      </c>
      <c r="L123" s="73">
        <f ca="1">IF(K123=1, IF(_xlfn.BINOM.INV(1, C$22, RAND())&gt;0, K123*2, C$23), IF(_xlfn.BINOM.INV(1, C$21, RAND())&gt;0, K123, C$23))</f>
        <v>1</v>
      </c>
      <c r="M123" s="93">
        <f t="shared" ca="1" si="16"/>
        <v>14296</v>
      </c>
      <c r="N123" s="70">
        <f ca="1">IF(AND(K123=1, L123&gt;1), C$20, IF(AND(K123&gt;1, L123&gt;1), C$19, 0))</f>
        <v>0</v>
      </c>
      <c r="O123" s="67">
        <f ca="1">IF(D123=15%,C$18,C$17)</f>
        <v>0.03</v>
      </c>
      <c r="P123" s="93">
        <f t="shared" ca="1" si="17"/>
        <v>-741.59487205260336</v>
      </c>
      <c r="Q123" s="93">
        <f ca="1">J123*0.15 - C123*0.8 - C123*0.01</f>
        <v>-7806.9152318130446</v>
      </c>
      <c r="R123" s="66"/>
      <c r="AF123" s="66"/>
    </row>
    <row r="124" spans="1:32" x14ac:dyDescent="0.3">
      <c r="A124" s="51">
        <v>83</v>
      </c>
      <c r="B124" s="91">
        <f t="shared" ca="1" si="18"/>
        <v>0.52053871189284451</v>
      </c>
      <c r="C124" s="92">
        <f ca="1">VLOOKUP(B124,표4[#Data],3)</f>
        <v>1672.5106827944833</v>
      </c>
      <c r="D124" s="67">
        <f ca="1">IF(RAND()&gt;=D$15,C$15,C$16)</f>
        <v>0.2</v>
      </c>
      <c r="E124" s="93">
        <f ca="1">C124*D124</f>
        <v>334.50213655889667</v>
      </c>
      <c r="F124" s="70">
        <f t="shared" ca="1" si="11"/>
        <v>0.13</v>
      </c>
      <c r="G124" s="93">
        <f t="shared" ca="1" si="12"/>
        <v>2573.0933581453587</v>
      </c>
      <c r="H124" s="93">
        <f t="shared" ca="1" si="13"/>
        <v>3040.9285141717878</v>
      </c>
      <c r="I124" s="93">
        <f t="shared" ca="1" si="14"/>
        <v>4181.2767069862084</v>
      </c>
      <c r="J124" s="93">
        <f t="shared" ca="1" si="19"/>
        <v>20698</v>
      </c>
      <c r="K124" s="73">
        <f t="shared" ca="1" si="15"/>
        <v>1</v>
      </c>
      <c r="L124" s="73">
        <f ca="1">IF(K124=1, IF(_xlfn.BINOM.INV(1, C$22, RAND())&gt;0, K124*2, C$23), IF(_xlfn.BINOM.INV(1, C$21, RAND())&gt;0, K124, C$23))</f>
        <v>1</v>
      </c>
      <c r="M124" s="93">
        <f t="shared" ca="1" si="16"/>
        <v>20698</v>
      </c>
      <c r="N124" s="70">
        <f ca="1">IF(AND(K124=1, L124&gt;1), C$20, IF(AND(K124&gt;1, L124&gt;1), C$19, 0))</f>
        <v>0</v>
      </c>
      <c r="O124" s="67">
        <f ca="1">IF(D124=15%,C$18,C$17)</f>
        <v>0.03</v>
      </c>
      <c r="P124" s="93">
        <f t="shared" ca="1" si="17"/>
        <v>2149.2578634411029</v>
      </c>
      <c r="Q124" s="93">
        <f ca="1">J124*0.15 - C124*0.8 - C124*0.01</f>
        <v>1749.9663469364684</v>
      </c>
      <c r="R124" s="66"/>
      <c r="AF124" s="66"/>
    </row>
    <row r="125" spans="1:32" x14ac:dyDescent="0.3">
      <c r="A125" s="51">
        <v>84</v>
      </c>
      <c r="B125" s="91">
        <f t="shared" ca="1" si="18"/>
        <v>0.46935901549311798</v>
      </c>
      <c r="C125" s="92">
        <f ca="1">VLOOKUP(B125,표4[#Data],3)</f>
        <v>1672.5106827944833</v>
      </c>
      <c r="D125" s="67">
        <f ca="1">IF(RAND()&gt;=D$15,C$15,C$16)</f>
        <v>0.2</v>
      </c>
      <c r="E125" s="93">
        <f ca="1">C125*D125</f>
        <v>334.50213655889667</v>
      </c>
      <c r="F125" s="70">
        <f t="shared" ca="1" si="11"/>
        <v>0.13</v>
      </c>
      <c r="G125" s="93">
        <f t="shared" ca="1" si="12"/>
        <v>2573.0933581453587</v>
      </c>
      <c r="H125" s="93">
        <f t="shared" ca="1" si="13"/>
        <v>3040.9285141717878</v>
      </c>
      <c r="I125" s="93">
        <f t="shared" ca="1" si="14"/>
        <v>4181.2767069862084</v>
      </c>
      <c r="J125" s="93">
        <f t="shared" ca="1" si="19"/>
        <v>3916</v>
      </c>
      <c r="K125" s="73">
        <f t="shared" ca="1" si="15"/>
        <v>1</v>
      </c>
      <c r="L125" s="73">
        <f ca="1">IF(K125=1, IF(_xlfn.BINOM.INV(1, C$22, RAND())&gt;0, K125*2, C$23), IF(_xlfn.BINOM.INV(1, C$21, RAND())&gt;0, K125, C$23))</f>
        <v>1</v>
      </c>
      <c r="M125" s="93">
        <f t="shared" ca="1" si="16"/>
        <v>3916</v>
      </c>
      <c r="N125" s="70">
        <f ca="1">IF(AND(K125=1, L125&gt;1), C$20, IF(AND(K125&gt;1, L125&gt;1), C$19, 0))</f>
        <v>0</v>
      </c>
      <c r="O125" s="67">
        <f ca="1">IF(D125=15%,C$18,C$17)</f>
        <v>0.03</v>
      </c>
      <c r="P125" s="93">
        <f t="shared" ca="1" si="17"/>
        <v>135.41786344110332</v>
      </c>
      <c r="Q125" s="93">
        <f ca="1">J125*0.15 - C125*0.8 - C125*0.01</f>
        <v>-767.33365306353153</v>
      </c>
      <c r="R125" s="66"/>
      <c r="AF125" s="66"/>
    </row>
    <row r="126" spans="1:32" x14ac:dyDescent="0.3">
      <c r="A126" s="51">
        <v>85</v>
      </c>
      <c r="B126" s="91">
        <f t="shared" ca="1" si="18"/>
        <v>0.98043017221851358</v>
      </c>
      <c r="C126" s="92">
        <f ca="1">VLOOKUP(B126,표4[#Data],3)</f>
        <v>27119.919722222221</v>
      </c>
      <c r="D126" s="67">
        <f ca="1">IF(RAND()&gt;=D$15,C$15,C$16)</f>
        <v>0.2</v>
      </c>
      <c r="E126" s="93">
        <f ca="1">C126*D126</f>
        <v>5423.9839444444442</v>
      </c>
      <c r="F126" s="70">
        <f t="shared" ref="F126:F189" ca="1" si="20">15%-(IF(D126=20%,2%,3%))</f>
        <v>0.13</v>
      </c>
      <c r="G126" s="93">
        <f t="shared" ref="G126:G189" ca="1" si="21">E126/F126</f>
        <v>41722.953418803416</v>
      </c>
      <c r="H126" s="93">
        <f t="shared" ref="H126:H189" ca="1" si="22">E126/(F126-2%)</f>
        <v>49308.944949494944</v>
      </c>
      <c r="I126" s="93">
        <f t="shared" ref="I126:I189" ca="1" si="23">E126/(F126-5%)</f>
        <v>67799.799305555556</v>
      </c>
      <c r="J126" s="93">
        <f t="shared" ca="1" si="19"/>
        <v>10607</v>
      </c>
      <c r="K126" s="73">
        <f t="shared" ref="K126:K189" ca="1" si="24">IF( G126/J126 &lt; 1, 1, ROUND(I126/J126,0))</f>
        <v>6</v>
      </c>
      <c r="L126" s="73">
        <f ca="1">IF(K126=1, IF(_xlfn.BINOM.INV(1, C$22, RAND())&gt;0, K126*2, C$23), IF(_xlfn.BINOM.INV(1, C$21, RAND())&gt;0, K126, C$23))</f>
        <v>1</v>
      </c>
      <c r="M126" s="93">
        <f t="shared" ref="M126:M189" ca="1" si="25">J126*L126</f>
        <v>10607</v>
      </c>
      <c r="N126" s="70">
        <f ca="1">IF(AND(K126=1, L126&gt;1), C$20, IF(AND(K126&gt;1, L126&gt;1), C$19, 0))</f>
        <v>0</v>
      </c>
      <c r="O126" s="67">
        <f ca="1">IF(D126=15%,C$18,C$17)</f>
        <v>0.03</v>
      </c>
      <c r="P126" s="93">
        <f t="shared" ref="P126:P189" ca="1" si="26">M126*15%-E126 -M126*N126-M126*O126</f>
        <v>-4151.1439444444441</v>
      </c>
      <c r="Q126" s="93">
        <f ca="1">J126*0.15 - C126*0.8 - C126*0.01</f>
        <v>-20376.084974999998</v>
      </c>
      <c r="R126" s="66"/>
      <c r="AF126" s="66"/>
    </row>
    <row r="127" spans="1:32" x14ac:dyDescent="0.3">
      <c r="A127" s="51">
        <v>86</v>
      </c>
      <c r="B127" s="91">
        <f t="shared" ca="1" si="18"/>
        <v>0.81534337725343498</v>
      </c>
      <c r="C127" s="92">
        <f ca="1">VLOOKUP(B127,표4[#Data],3)</f>
        <v>12285.574360263015</v>
      </c>
      <c r="D127" s="67">
        <f ca="1">IF(RAND()&gt;=D$15,C$15,C$16)</f>
        <v>0.2</v>
      </c>
      <c r="E127" s="93">
        <f ca="1">C127*D127</f>
        <v>2457.1148720526035</v>
      </c>
      <c r="F127" s="70">
        <f t="shared" ca="1" si="20"/>
        <v>0.13</v>
      </c>
      <c r="G127" s="93">
        <f t="shared" ca="1" si="21"/>
        <v>18900.883631173871</v>
      </c>
      <c r="H127" s="93">
        <f t="shared" ca="1" si="22"/>
        <v>22337.407927750941</v>
      </c>
      <c r="I127" s="93">
        <f t="shared" ca="1" si="23"/>
        <v>30713.935900657543</v>
      </c>
      <c r="J127" s="93">
        <f t="shared" ca="1" si="19"/>
        <v>23186</v>
      </c>
      <c r="K127" s="73">
        <f t="shared" ca="1" si="24"/>
        <v>1</v>
      </c>
      <c r="L127" s="73">
        <f ca="1">IF(K127=1, IF(_xlfn.BINOM.INV(1, C$22, RAND())&gt;0, K127*2, C$23), IF(_xlfn.BINOM.INV(1, C$21, RAND())&gt;0, K127, C$23))</f>
        <v>1</v>
      </c>
      <c r="M127" s="93">
        <f t="shared" ca="1" si="25"/>
        <v>23186</v>
      </c>
      <c r="N127" s="70">
        <f ca="1">IF(AND(K127=1, L127&gt;1), C$20, IF(AND(K127&gt;1, L127&gt;1), C$19, 0))</f>
        <v>0</v>
      </c>
      <c r="O127" s="67">
        <f ca="1">IF(D127=15%,C$18,C$17)</f>
        <v>0.03</v>
      </c>
      <c r="P127" s="93">
        <f t="shared" ca="1" si="26"/>
        <v>325.2051279473967</v>
      </c>
      <c r="Q127" s="93">
        <f ca="1">J127*0.15 - C127*0.8 - C127*0.01</f>
        <v>-6473.4152318130446</v>
      </c>
      <c r="R127" s="66"/>
      <c r="AF127" s="66"/>
    </row>
    <row r="128" spans="1:32" x14ac:dyDescent="0.3">
      <c r="A128" s="51">
        <v>87</v>
      </c>
      <c r="B128" s="91">
        <f t="shared" ca="1" si="18"/>
        <v>0.97954293726656594</v>
      </c>
      <c r="C128" s="92">
        <f ca="1">VLOOKUP(B128,표4[#Data],3)</f>
        <v>27119.919722222221</v>
      </c>
      <c r="D128" s="67">
        <f ca="1">IF(RAND()&gt;=D$15,C$15,C$16)</f>
        <v>0.2</v>
      </c>
      <c r="E128" s="93">
        <f ca="1">C128*D128</f>
        <v>5423.9839444444442</v>
      </c>
      <c r="F128" s="70">
        <f t="shared" ca="1" si="20"/>
        <v>0.13</v>
      </c>
      <c r="G128" s="93">
        <f t="shared" ca="1" si="21"/>
        <v>41722.953418803416</v>
      </c>
      <c r="H128" s="93">
        <f t="shared" ca="1" si="22"/>
        <v>49308.944949494944</v>
      </c>
      <c r="I128" s="93">
        <f t="shared" ca="1" si="23"/>
        <v>67799.799305555556</v>
      </c>
      <c r="J128" s="93">
        <f t="shared" ca="1" si="19"/>
        <v>3717</v>
      </c>
      <c r="K128" s="73">
        <f t="shared" ca="1" si="24"/>
        <v>18</v>
      </c>
      <c r="L128" s="73">
        <f ca="1">IF(K128=1, IF(_xlfn.BINOM.INV(1, C$22, RAND())&gt;0, K128*2, C$23), IF(_xlfn.BINOM.INV(1, C$21, RAND())&gt;0, K128, C$23))</f>
        <v>1</v>
      </c>
      <c r="M128" s="93">
        <f t="shared" ca="1" si="25"/>
        <v>3717</v>
      </c>
      <c r="N128" s="70">
        <f ca="1">IF(AND(K128=1, L128&gt;1), C$20, IF(AND(K128&gt;1, L128&gt;1), C$19, 0))</f>
        <v>0</v>
      </c>
      <c r="O128" s="67">
        <f ca="1">IF(D128=15%,C$18,C$17)</f>
        <v>0.03</v>
      </c>
      <c r="P128" s="93">
        <f t="shared" ca="1" si="26"/>
        <v>-4977.9439444444442</v>
      </c>
      <c r="Q128" s="93">
        <f ca="1">J128*0.15 - C128*0.8 - C128*0.01</f>
        <v>-21409.584974999998</v>
      </c>
      <c r="R128" s="66"/>
      <c r="AF128" s="66"/>
    </row>
    <row r="129" spans="1:32" x14ac:dyDescent="0.3">
      <c r="A129" s="51">
        <v>88</v>
      </c>
      <c r="B129" s="91">
        <f t="shared" ca="1" si="18"/>
        <v>2.0696142887648983E-2</v>
      </c>
      <c r="C129" s="92">
        <f ca="1">VLOOKUP(B129,표4[#Data],3)</f>
        <v>1672.5106827944833</v>
      </c>
      <c r="D129" s="67">
        <f ca="1">IF(RAND()&gt;=D$15,C$15,C$16)</f>
        <v>0.15</v>
      </c>
      <c r="E129" s="93">
        <f ca="1">C129*D129</f>
        <v>250.87660241917249</v>
      </c>
      <c r="F129" s="70">
        <f t="shared" ca="1" si="20"/>
        <v>0.12</v>
      </c>
      <c r="G129" s="93">
        <f t="shared" ca="1" si="21"/>
        <v>2090.6383534931042</v>
      </c>
      <c r="H129" s="93">
        <f t="shared" ca="1" si="22"/>
        <v>2508.7660241917251</v>
      </c>
      <c r="I129" s="93">
        <f t="shared" ca="1" si="23"/>
        <v>3583.9514631310358</v>
      </c>
      <c r="J129" s="93">
        <f t="shared" ca="1" si="19"/>
        <v>5664</v>
      </c>
      <c r="K129" s="73">
        <f t="shared" ca="1" si="24"/>
        <v>1</v>
      </c>
      <c r="L129" s="73">
        <f ca="1">IF(K129=1, IF(_xlfn.BINOM.INV(1, C$22, RAND())&gt;0, K129*2, C$23), IF(_xlfn.BINOM.INV(1, C$21, RAND())&gt;0, K129, C$23))</f>
        <v>1</v>
      </c>
      <c r="M129" s="93">
        <f t="shared" ca="1" si="25"/>
        <v>5664</v>
      </c>
      <c r="N129" s="70">
        <f ca="1">IF(AND(K129=1, L129&gt;1), C$20, IF(AND(K129&gt;1, L129&gt;1), C$19, 0))</f>
        <v>0</v>
      </c>
      <c r="O129" s="67">
        <f ca="1">IF(D129=15%,C$18,C$17)</f>
        <v>0.05</v>
      </c>
      <c r="P129" s="93">
        <f t="shared" ca="1" si="26"/>
        <v>315.52339758082752</v>
      </c>
      <c r="Q129" s="93">
        <f ca="1">J129*0.15 - C129*0.8 - C129*0.01</f>
        <v>-505.13365306353148</v>
      </c>
      <c r="R129" s="66"/>
      <c r="AF129" s="66"/>
    </row>
    <row r="130" spans="1:32" x14ac:dyDescent="0.3">
      <c r="A130" s="51">
        <v>89</v>
      </c>
      <c r="B130" s="91">
        <f t="shared" ca="1" si="18"/>
        <v>0.80429689096394319</v>
      </c>
      <c r="C130" s="92">
        <f ca="1">VLOOKUP(B130,표4[#Data],3)</f>
        <v>7164.2608066002549</v>
      </c>
      <c r="D130" s="67">
        <f ca="1">IF(RAND()&gt;=D$15,C$15,C$16)</f>
        <v>0.2</v>
      </c>
      <c r="E130" s="93">
        <f ca="1">C130*D130</f>
        <v>1432.852161320051</v>
      </c>
      <c r="F130" s="70">
        <f t="shared" ca="1" si="20"/>
        <v>0.13</v>
      </c>
      <c r="G130" s="93">
        <f t="shared" ca="1" si="21"/>
        <v>11021.93970246193</v>
      </c>
      <c r="H130" s="93">
        <f t="shared" ca="1" si="22"/>
        <v>13025.928739273191</v>
      </c>
      <c r="I130" s="93">
        <f t="shared" ca="1" si="23"/>
        <v>17910.652016500637</v>
      </c>
      <c r="J130" s="93">
        <f t="shared" ca="1" si="19"/>
        <v>5497</v>
      </c>
      <c r="K130" s="73">
        <f t="shared" ca="1" si="24"/>
        <v>3</v>
      </c>
      <c r="L130" s="73">
        <f ca="1">IF(K130=1, IF(_xlfn.BINOM.INV(1, C$22, RAND())&gt;0, K130*2, C$23), IF(_xlfn.BINOM.INV(1, C$21, RAND())&gt;0, K130, C$23))</f>
        <v>1</v>
      </c>
      <c r="M130" s="93">
        <f t="shared" ca="1" si="25"/>
        <v>5497</v>
      </c>
      <c r="N130" s="70">
        <f ca="1">IF(AND(K130=1, L130&gt;1), C$20, IF(AND(K130&gt;1, L130&gt;1), C$19, 0))</f>
        <v>0</v>
      </c>
      <c r="O130" s="67">
        <f ca="1">IF(D130=15%,C$18,C$17)</f>
        <v>0.03</v>
      </c>
      <c r="P130" s="93">
        <f t="shared" ca="1" si="26"/>
        <v>-773.212161320051</v>
      </c>
      <c r="Q130" s="93">
        <f ca="1">J130*0.15 - C130*0.8 - C130*0.01</f>
        <v>-4978.5012533462059</v>
      </c>
      <c r="R130" s="66"/>
      <c r="AF130" s="66"/>
    </row>
    <row r="131" spans="1:32" x14ac:dyDescent="0.3">
      <c r="A131" s="51">
        <v>90</v>
      </c>
      <c r="B131" s="91">
        <f t="shared" ca="1" si="18"/>
        <v>0.52865070844779394</v>
      </c>
      <c r="C131" s="92">
        <f ca="1">VLOOKUP(B131,표4[#Data],3)</f>
        <v>1672.5106827944833</v>
      </c>
      <c r="D131" s="67">
        <f ca="1">IF(RAND()&gt;=D$15,C$15,C$16)</f>
        <v>0.15</v>
      </c>
      <c r="E131" s="93">
        <f ca="1">C131*D131</f>
        <v>250.87660241917249</v>
      </c>
      <c r="F131" s="70">
        <f t="shared" ca="1" si="20"/>
        <v>0.12</v>
      </c>
      <c r="G131" s="93">
        <f t="shared" ca="1" si="21"/>
        <v>2090.6383534931042</v>
      </c>
      <c r="H131" s="93">
        <f t="shared" ca="1" si="22"/>
        <v>2508.7660241917251</v>
      </c>
      <c r="I131" s="93">
        <f t="shared" ca="1" si="23"/>
        <v>3583.9514631310358</v>
      </c>
      <c r="J131" s="93">
        <f t="shared" ca="1" si="19"/>
        <v>25216</v>
      </c>
      <c r="K131" s="73">
        <f t="shared" ca="1" si="24"/>
        <v>1</v>
      </c>
      <c r="L131" s="73">
        <f ca="1">IF(K131=1, IF(_xlfn.BINOM.INV(1, C$22, RAND())&gt;0, K131*2, C$23), IF(_xlfn.BINOM.INV(1, C$21, RAND())&gt;0, K131, C$23))</f>
        <v>1</v>
      </c>
      <c r="M131" s="93">
        <f t="shared" ca="1" si="25"/>
        <v>25216</v>
      </c>
      <c r="N131" s="70">
        <f ca="1">IF(AND(K131=1, L131&gt;1), C$20, IF(AND(K131&gt;1, L131&gt;1), C$19, 0))</f>
        <v>0</v>
      </c>
      <c r="O131" s="67">
        <f ca="1">IF(D131=15%,C$18,C$17)</f>
        <v>0.05</v>
      </c>
      <c r="P131" s="93">
        <f t="shared" ca="1" si="26"/>
        <v>2270.7233975808272</v>
      </c>
      <c r="Q131" s="93">
        <f ca="1">J131*0.15 - C131*0.8 - C131*0.01</f>
        <v>2427.6663469364685</v>
      </c>
      <c r="R131" s="66"/>
      <c r="AF131" s="66"/>
    </row>
    <row r="132" spans="1:32" x14ac:dyDescent="0.3">
      <c r="A132" s="51">
        <v>91</v>
      </c>
      <c r="B132" s="91">
        <f t="shared" ca="1" si="18"/>
        <v>0.1697313913755536</v>
      </c>
      <c r="C132" s="92">
        <f ca="1">VLOOKUP(B132,표4[#Data],3)</f>
        <v>1672.5106827944833</v>
      </c>
      <c r="D132" s="67">
        <f ca="1">IF(RAND()&gt;=D$15,C$15,C$16)</f>
        <v>0.2</v>
      </c>
      <c r="E132" s="93">
        <f ca="1">C132*D132</f>
        <v>334.50213655889667</v>
      </c>
      <c r="F132" s="70">
        <f t="shared" ca="1" si="20"/>
        <v>0.13</v>
      </c>
      <c r="G132" s="93">
        <f t="shared" ca="1" si="21"/>
        <v>2573.0933581453587</v>
      </c>
      <c r="H132" s="93">
        <f t="shared" ca="1" si="22"/>
        <v>3040.9285141717878</v>
      </c>
      <c r="I132" s="93">
        <f t="shared" ca="1" si="23"/>
        <v>4181.2767069862084</v>
      </c>
      <c r="J132" s="93">
        <f t="shared" ca="1" si="19"/>
        <v>12569</v>
      </c>
      <c r="K132" s="73">
        <f t="shared" ca="1" si="24"/>
        <v>1</v>
      </c>
      <c r="L132" s="73">
        <f ca="1">IF(K132=1, IF(_xlfn.BINOM.INV(1, C$22, RAND())&gt;0, K132*2, C$23), IF(_xlfn.BINOM.INV(1, C$21, RAND())&gt;0, K132, C$23))</f>
        <v>1</v>
      </c>
      <c r="M132" s="93">
        <f t="shared" ca="1" si="25"/>
        <v>12569</v>
      </c>
      <c r="N132" s="70">
        <f ca="1">IF(AND(K132=1, L132&gt;1), C$20, IF(AND(K132&gt;1, L132&gt;1), C$19, 0))</f>
        <v>0</v>
      </c>
      <c r="O132" s="67">
        <f ca="1">IF(D132=15%,C$18,C$17)</f>
        <v>0.03</v>
      </c>
      <c r="P132" s="93">
        <f t="shared" ca="1" si="26"/>
        <v>1173.7778634411034</v>
      </c>
      <c r="Q132" s="93">
        <f ca="1">J132*0.15 - C132*0.8 - C132*0.01</f>
        <v>530.6163469364684</v>
      </c>
      <c r="R132" s="66"/>
      <c r="AF132" s="66"/>
    </row>
    <row r="133" spans="1:32" x14ac:dyDescent="0.3">
      <c r="A133" s="51">
        <v>92</v>
      </c>
      <c r="B133" s="91">
        <f t="shared" ca="1" si="18"/>
        <v>0.55662694419117242</v>
      </c>
      <c r="C133" s="92">
        <f ca="1">VLOOKUP(B133,표4[#Data],3)</f>
        <v>1672.5106827944833</v>
      </c>
      <c r="D133" s="67">
        <f ca="1">IF(RAND()&gt;=D$15,C$15,C$16)</f>
        <v>0.2</v>
      </c>
      <c r="E133" s="93">
        <f ca="1">C133*D133</f>
        <v>334.50213655889667</v>
      </c>
      <c r="F133" s="70">
        <f t="shared" ca="1" si="20"/>
        <v>0.13</v>
      </c>
      <c r="G133" s="93">
        <f t="shared" ca="1" si="21"/>
        <v>2573.0933581453587</v>
      </c>
      <c r="H133" s="93">
        <f t="shared" ca="1" si="22"/>
        <v>3040.9285141717878</v>
      </c>
      <c r="I133" s="93">
        <f t="shared" ca="1" si="23"/>
        <v>4181.2767069862084</v>
      </c>
      <c r="J133" s="93">
        <f t="shared" ca="1" si="19"/>
        <v>8624</v>
      </c>
      <c r="K133" s="73">
        <f t="shared" ca="1" si="24"/>
        <v>1</v>
      </c>
      <c r="L133" s="73">
        <f ca="1">IF(K133=1, IF(_xlfn.BINOM.INV(1, C$22, RAND())&gt;0, K133*2, C$23), IF(_xlfn.BINOM.INV(1, C$21, RAND())&gt;0, K133, C$23))</f>
        <v>1</v>
      </c>
      <c r="M133" s="93">
        <f t="shared" ca="1" si="25"/>
        <v>8624</v>
      </c>
      <c r="N133" s="70">
        <f ca="1">IF(AND(K133=1, L133&gt;1), C$20, IF(AND(K133&gt;1, L133&gt;1), C$19, 0))</f>
        <v>0</v>
      </c>
      <c r="O133" s="67">
        <f ca="1">IF(D133=15%,C$18,C$17)</f>
        <v>0.03</v>
      </c>
      <c r="P133" s="93">
        <f t="shared" ca="1" si="26"/>
        <v>700.37786344110327</v>
      </c>
      <c r="Q133" s="93">
        <f ca="1">J133*0.15 - C133*0.8 - C133*0.01</f>
        <v>-61.13365306353159</v>
      </c>
      <c r="R133" s="66"/>
      <c r="AF133" s="66"/>
    </row>
    <row r="134" spans="1:32" x14ac:dyDescent="0.3">
      <c r="A134" s="51">
        <v>93</v>
      </c>
      <c r="B134" s="91">
        <f t="shared" ca="1" si="18"/>
        <v>0.81020249328274874</v>
      </c>
      <c r="C134" s="92">
        <f ca="1">VLOOKUP(B134,표4[#Data],3)</f>
        <v>7164.2608066002549</v>
      </c>
      <c r="D134" s="67">
        <f ca="1">IF(RAND()&gt;=D$15,C$15,C$16)</f>
        <v>0.15</v>
      </c>
      <c r="E134" s="93">
        <f ca="1">C134*D134</f>
        <v>1074.6391209900382</v>
      </c>
      <c r="F134" s="70">
        <f t="shared" ca="1" si="20"/>
        <v>0.12</v>
      </c>
      <c r="G134" s="93">
        <f t="shared" ca="1" si="21"/>
        <v>8955.3260082503184</v>
      </c>
      <c r="H134" s="93">
        <f t="shared" ca="1" si="22"/>
        <v>10746.391209900383</v>
      </c>
      <c r="I134" s="93">
        <f t="shared" ca="1" si="23"/>
        <v>15351.987442714833</v>
      </c>
      <c r="J134" s="93">
        <f t="shared" ca="1" si="19"/>
        <v>57939</v>
      </c>
      <c r="K134" s="73">
        <f t="shared" ca="1" si="24"/>
        <v>1</v>
      </c>
      <c r="L134" s="73">
        <f ca="1">IF(K134=1, IF(_xlfn.BINOM.INV(1, C$22, RAND())&gt;0, K134*2, C$23), IF(_xlfn.BINOM.INV(1, C$21, RAND())&gt;0, K134, C$23))</f>
        <v>1</v>
      </c>
      <c r="M134" s="93">
        <f t="shared" ca="1" si="25"/>
        <v>57939</v>
      </c>
      <c r="N134" s="70">
        <f ca="1">IF(AND(K134=1, L134&gt;1), C$20, IF(AND(K134&gt;1, L134&gt;1), C$19, 0))</f>
        <v>0</v>
      </c>
      <c r="O134" s="67">
        <f ca="1">IF(D134=15%,C$18,C$17)</f>
        <v>0.05</v>
      </c>
      <c r="P134" s="93">
        <f t="shared" ca="1" si="26"/>
        <v>4719.2608790099621</v>
      </c>
      <c r="Q134" s="93">
        <f ca="1">J134*0.15 - C134*0.8 - C134*0.01</f>
        <v>2887.7987466537938</v>
      </c>
      <c r="R134" s="66"/>
      <c r="AF134" s="66"/>
    </row>
    <row r="135" spans="1:32" x14ac:dyDescent="0.3">
      <c r="A135" s="51">
        <v>94</v>
      </c>
      <c r="B135" s="91">
        <f t="shared" ca="1" si="18"/>
        <v>0.6339589515134173</v>
      </c>
      <c r="C135" s="92">
        <f ca="1">VLOOKUP(B135,표4[#Data],3)</f>
        <v>1672.5106827944833</v>
      </c>
      <c r="D135" s="67">
        <f ca="1">IF(RAND()&gt;=D$15,C$15,C$16)</f>
        <v>0.15</v>
      </c>
      <c r="E135" s="93">
        <f ca="1">C135*D135</f>
        <v>250.87660241917249</v>
      </c>
      <c r="F135" s="70">
        <f t="shared" ca="1" si="20"/>
        <v>0.12</v>
      </c>
      <c r="G135" s="93">
        <f t="shared" ca="1" si="21"/>
        <v>2090.6383534931042</v>
      </c>
      <c r="H135" s="93">
        <f t="shared" ca="1" si="22"/>
        <v>2508.7660241917251</v>
      </c>
      <c r="I135" s="93">
        <f t="shared" ca="1" si="23"/>
        <v>3583.9514631310358</v>
      </c>
      <c r="J135" s="93">
        <f t="shared" ca="1" si="19"/>
        <v>6985</v>
      </c>
      <c r="K135" s="73">
        <f t="shared" ca="1" si="24"/>
        <v>1</v>
      </c>
      <c r="L135" s="73">
        <f ca="1">IF(K135=1, IF(_xlfn.BINOM.INV(1, C$22, RAND())&gt;0, K135*2, C$23), IF(_xlfn.BINOM.INV(1, C$21, RAND())&gt;0, K135, C$23))</f>
        <v>1</v>
      </c>
      <c r="M135" s="93">
        <f t="shared" ca="1" si="25"/>
        <v>6985</v>
      </c>
      <c r="N135" s="70">
        <f ca="1">IF(AND(K135=1, L135&gt;1), C$20, IF(AND(K135&gt;1, L135&gt;1), C$19, 0))</f>
        <v>0</v>
      </c>
      <c r="O135" s="67">
        <f ca="1">IF(D135=15%,C$18,C$17)</f>
        <v>0.05</v>
      </c>
      <c r="P135" s="93">
        <f t="shared" ca="1" si="26"/>
        <v>447.62339758082749</v>
      </c>
      <c r="Q135" s="93">
        <f ca="1">J135*0.15 - C135*0.8 - C135*0.01</f>
        <v>-306.98365306353151</v>
      </c>
      <c r="R135" s="66"/>
      <c r="AF135" s="66"/>
    </row>
    <row r="136" spans="1:32" x14ac:dyDescent="0.3">
      <c r="A136" s="51">
        <v>95</v>
      </c>
      <c r="B136" s="91">
        <f t="shared" ca="1" si="18"/>
        <v>0.98046044619849182</v>
      </c>
      <c r="C136" s="92">
        <f ca="1">VLOOKUP(B136,표4[#Data],3)</f>
        <v>27119.919722222221</v>
      </c>
      <c r="D136" s="67">
        <f ca="1">IF(RAND()&gt;=D$15,C$15,C$16)</f>
        <v>0.2</v>
      </c>
      <c r="E136" s="93">
        <f ca="1">C136*D136</f>
        <v>5423.9839444444442</v>
      </c>
      <c r="F136" s="70">
        <f t="shared" ca="1" si="20"/>
        <v>0.13</v>
      </c>
      <c r="G136" s="93">
        <f t="shared" ca="1" si="21"/>
        <v>41722.953418803416</v>
      </c>
      <c r="H136" s="93">
        <f t="shared" ca="1" si="22"/>
        <v>49308.944949494944</v>
      </c>
      <c r="I136" s="93">
        <f t="shared" ca="1" si="23"/>
        <v>67799.799305555556</v>
      </c>
      <c r="J136" s="93">
        <f t="shared" ca="1" si="19"/>
        <v>13408</v>
      </c>
      <c r="K136" s="73">
        <f t="shared" ca="1" si="24"/>
        <v>5</v>
      </c>
      <c r="L136" s="73">
        <f ca="1">IF(K136=1, IF(_xlfn.BINOM.INV(1, C$22, RAND())&gt;0, K136*2, C$23), IF(_xlfn.BINOM.INV(1, C$21, RAND())&gt;0, K136, C$23))</f>
        <v>1</v>
      </c>
      <c r="M136" s="93">
        <f t="shared" ca="1" si="25"/>
        <v>13408</v>
      </c>
      <c r="N136" s="70">
        <f ca="1">IF(AND(K136=1, L136&gt;1), C$20, IF(AND(K136&gt;1, L136&gt;1), C$19, 0))</f>
        <v>0</v>
      </c>
      <c r="O136" s="67">
        <f ca="1">IF(D136=15%,C$18,C$17)</f>
        <v>0.03</v>
      </c>
      <c r="P136" s="93">
        <f t="shared" ca="1" si="26"/>
        <v>-3815.0239444444442</v>
      </c>
      <c r="Q136" s="93">
        <f ca="1">J136*0.15 - C136*0.8 - C136*0.01</f>
        <v>-19955.934974999996</v>
      </c>
      <c r="R136" s="66"/>
      <c r="AF136" s="66"/>
    </row>
    <row r="137" spans="1:32" x14ac:dyDescent="0.3">
      <c r="A137" s="51">
        <v>96</v>
      </c>
      <c r="B137" s="91">
        <f t="shared" ca="1" si="18"/>
        <v>0.37788275808990446</v>
      </c>
      <c r="C137" s="92">
        <f ca="1">VLOOKUP(B137,표4[#Data],3)</f>
        <v>1672.5106827944833</v>
      </c>
      <c r="D137" s="67">
        <f ca="1">IF(RAND()&gt;=D$15,C$15,C$16)</f>
        <v>0.15</v>
      </c>
      <c r="E137" s="93">
        <f ca="1">C137*D137</f>
        <v>250.87660241917249</v>
      </c>
      <c r="F137" s="70">
        <f t="shared" ca="1" si="20"/>
        <v>0.12</v>
      </c>
      <c r="G137" s="93">
        <f t="shared" ca="1" si="21"/>
        <v>2090.6383534931042</v>
      </c>
      <c r="H137" s="93">
        <f t="shared" ca="1" si="22"/>
        <v>2508.7660241917251</v>
      </c>
      <c r="I137" s="93">
        <f t="shared" ca="1" si="23"/>
        <v>3583.9514631310358</v>
      </c>
      <c r="J137" s="93">
        <f t="shared" ca="1" si="19"/>
        <v>5793</v>
      </c>
      <c r="K137" s="73">
        <f t="shared" ca="1" si="24"/>
        <v>1</v>
      </c>
      <c r="L137" s="73">
        <f ca="1">IF(K137=1, IF(_xlfn.BINOM.INV(1, C$22, RAND())&gt;0, K137*2, C$23), IF(_xlfn.BINOM.INV(1, C$21, RAND())&gt;0, K137, C$23))</f>
        <v>1</v>
      </c>
      <c r="M137" s="93">
        <f t="shared" ca="1" si="25"/>
        <v>5793</v>
      </c>
      <c r="N137" s="70">
        <f ca="1">IF(AND(K137=1, L137&gt;1), C$20, IF(AND(K137&gt;1, L137&gt;1), C$19, 0))</f>
        <v>0</v>
      </c>
      <c r="O137" s="67">
        <f ca="1">IF(D137=15%,C$18,C$17)</f>
        <v>0.05</v>
      </c>
      <c r="P137" s="93">
        <f t="shared" ca="1" si="26"/>
        <v>328.42339758082738</v>
      </c>
      <c r="Q137" s="93">
        <f ca="1">J137*0.15 - C137*0.8 - C137*0.01</f>
        <v>-485.78365306353157</v>
      </c>
      <c r="R137" s="66"/>
      <c r="AF137" s="66"/>
    </row>
    <row r="138" spans="1:32" x14ac:dyDescent="0.3">
      <c r="A138" s="51">
        <v>97</v>
      </c>
      <c r="B138" s="91">
        <f t="shared" ca="1" si="18"/>
        <v>2.6737421565354191E-2</v>
      </c>
      <c r="C138" s="92">
        <f ca="1">VLOOKUP(B138,표4[#Data],3)</f>
        <v>1672.5106827944833</v>
      </c>
      <c r="D138" s="67">
        <f ca="1">IF(RAND()&gt;=D$15,C$15,C$16)</f>
        <v>0.2</v>
      </c>
      <c r="E138" s="93">
        <f ca="1">C138*D138</f>
        <v>334.50213655889667</v>
      </c>
      <c r="F138" s="70">
        <f t="shared" ca="1" si="20"/>
        <v>0.13</v>
      </c>
      <c r="G138" s="93">
        <f t="shared" ca="1" si="21"/>
        <v>2573.0933581453587</v>
      </c>
      <c r="H138" s="93">
        <f t="shared" ca="1" si="22"/>
        <v>3040.9285141717878</v>
      </c>
      <c r="I138" s="93">
        <f t="shared" ca="1" si="23"/>
        <v>4181.2767069862084</v>
      </c>
      <c r="J138" s="93">
        <f t="shared" ca="1" si="19"/>
        <v>5718</v>
      </c>
      <c r="K138" s="73">
        <f t="shared" ca="1" si="24"/>
        <v>1</v>
      </c>
      <c r="L138" s="73">
        <f ca="1">IF(K138=1, IF(_xlfn.BINOM.INV(1, C$22, RAND())&gt;0, K138*2, C$23), IF(_xlfn.BINOM.INV(1, C$21, RAND())&gt;0, K138, C$23))</f>
        <v>1</v>
      </c>
      <c r="M138" s="93">
        <f t="shared" ca="1" si="25"/>
        <v>5718</v>
      </c>
      <c r="N138" s="70">
        <f ca="1">IF(AND(K138=1, L138&gt;1), C$20, IF(AND(K138&gt;1, L138&gt;1), C$19, 0))</f>
        <v>0</v>
      </c>
      <c r="O138" s="67">
        <f ca="1">IF(D138=15%,C$18,C$17)</f>
        <v>0.03</v>
      </c>
      <c r="P138" s="93">
        <f t="shared" ca="1" si="26"/>
        <v>351.65786344110325</v>
      </c>
      <c r="Q138" s="93">
        <f ca="1">J138*0.15 - C138*0.8 - C138*0.01</f>
        <v>-497.03365306353157</v>
      </c>
      <c r="R138" s="66"/>
      <c r="AF138" s="66"/>
    </row>
    <row r="139" spans="1:32" x14ac:dyDescent="0.3">
      <c r="A139" s="51">
        <v>98</v>
      </c>
      <c r="B139" s="91">
        <f t="shared" ca="1" si="18"/>
        <v>0.61687904533968252</v>
      </c>
      <c r="C139" s="92">
        <f ca="1">VLOOKUP(B139,표4[#Data],3)</f>
        <v>1672.5106827944833</v>
      </c>
      <c r="D139" s="67">
        <f ca="1">IF(RAND()&gt;=D$15,C$15,C$16)</f>
        <v>0.15</v>
      </c>
      <c r="E139" s="93">
        <f ca="1">C139*D139</f>
        <v>250.87660241917249</v>
      </c>
      <c r="F139" s="70">
        <f t="shared" ca="1" si="20"/>
        <v>0.12</v>
      </c>
      <c r="G139" s="93">
        <f t="shared" ca="1" si="21"/>
        <v>2090.6383534931042</v>
      </c>
      <c r="H139" s="93">
        <f t="shared" ca="1" si="22"/>
        <v>2508.7660241917251</v>
      </c>
      <c r="I139" s="93">
        <f t="shared" ca="1" si="23"/>
        <v>3583.9514631310358</v>
      </c>
      <c r="J139" s="93">
        <f t="shared" ca="1" si="19"/>
        <v>10277</v>
      </c>
      <c r="K139" s="73">
        <f t="shared" ca="1" si="24"/>
        <v>1</v>
      </c>
      <c r="L139" s="73">
        <f ca="1">IF(K139=1, IF(_xlfn.BINOM.INV(1, C$22, RAND())&gt;0, K139*2, C$23), IF(_xlfn.BINOM.INV(1, C$21, RAND())&gt;0, K139, C$23))</f>
        <v>2</v>
      </c>
      <c r="M139" s="93">
        <f t="shared" ca="1" si="25"/>
        <v>20554</v>
      </c>
      <c r="N139" s="70">
        <f ca="1">IF(AND(K139=1, L139&gt;1), C$20, IF(AND(K139&gt;1, L139&gt;1), C$19, 0))</f>
        <v>0.02</v>
      </c>
      <c r="O139" s="67">
        <f ca="1">IF(D139=15%,C$18,C$17)</f>
        <v>0.05</v>
      </c>
      <c r="P139" s="93">
        <f t="shared" ca="1" si="26"/>
        <v>1393.4433975808277</v>
      </c>
      <c r="Q139" s="93">
        <f ca="1">J139*0.15 - C139*0.8 - C139*0.01</f>
        <v>186.81634693646845</v>
      </c>
      <c r="R139" s="66"/>
      <c r="AF139" s="66"/>
    </row>
    <row r="140" spans="1:32" x14ac:dyDescent="0.3">
      <c r="A140" s="51">
        <v>99</v>
      </c>
      <c r="B140" s="91">
        <f t="shared" ca="1" si="18"/>
        <v>0.68468506924533101</v>
      </c>
      <c r="C140" s="92">
        <f ca="1">VLOOKUP(B140,표4[#Data],3)</f>
        <v>7164.2608066002549</v>
      </c>
      <c r="D140" s="67">
        <f ca="1">IF(RAND()&gt;=D$15,C$15,C$16)</f>
        <v>0.15</v>
      </c>
      <c r="E140" s="93">
        <f ca="1">C140*D140</f>
        <v>1074.6391209900382</v>
      </c>
      <c r="F140" s="70">
        <f t="shared" ca="1" si="20"/>
        <v>0.12</v>
      </c>
      <c r="G140" s="93">
        <f t="shared" ca="1" si="21"/>
        <v>8955.3260082503184</v>
      </c>
      <c r="H140" s="93">
        <f t="shared" ca="1" si="22"/>
        <v>10746.391209900383</v>
      </c>
      <c r="I140" s="93">
        <f t="shared" ca="1" si="23"/>
        <v>15351.987442714833</v>
      </c>
      <c r="J140" s="93">
        <f t="shared" ca="1" si="19"/>
        <v>24351</v>
      </c>
      <c r="K140" s="73">
        <f t="shared" ca="1" si="24"/>
        <v>1</v>
      </c>
      <c r="L140" s="73">
        <f ca="1">IF(K140=1, IF(_xlfn.BINOM.INV(1, C$22, RAND())&gt;0, K140*2, C$23), IF(_xlfn.BINOM.INV(1, C$21, RAND())&gt;0, K140, C$23))</f>
        <v>1</v>
      </c>
      <c r="M140" s="93">
        <f t="shared" ca="1" si="25"/>
        <v>24351</v>
      </c>
      <c r="N140" s="70">
        <f ca="1">IF(AND(K140=1, L140&gt;1), C$20, IF(AND(K140&gt;1, L140&gt;1), C$19, 0))</f>
        <v>0</v>
      </c>
      <c r="O140" s="67">
        <f ca="1">IF(D140=15%,C$18,C$17)</f>
        <v>0.05</v>
      </c>
      <c r="P140" s="93">
        <f t="shared" ca="1" si="26"/>
        <v>1360.4608790099621</v>
      </c>
      <c r="Q140" s="93">
        <f ca="1">J140*0.15 - C140*0.8 - C140*0.01</f>
        <v>-2150.4012533462064</v>
      </c>
      <c r="R140" s="66"/>
      <c r="AF140" s="66"/>
    </row>
    <row r="141" spans="1:32" x14ac:dyDescent="0.3">
      <c r="A141" s="51">
        <v>100</v>
      </c>
      <c r="B141" s="91">
        <f t="shared" ca="1" si="18"/>
        <v>0.26639846515355603</v>
      </c>
      <c r="C141" s="92">
        <f ca="1">VLOOKUP(B141,표4[#Data],3)</f>
        <v>1672.5106827944833</v>
      </c>
      <c r="D141" s="67">
        <f ca="1">IF(RAND()&gt;=D$15,C$15,C$16)</f>
        <v>0.2</v>
      </c>
      <c r="E141" s="93">
        <f ca="1">C141*D141</f>
        <v>334.50213655889667</v>
      </c>
      <c r="F141" s="70">
        <f t="shared" ca="1" si="20"/>
        <v>0.13</v>
      </c>
      <c r="G141" s="93">
        <f t="shared" ca="1" si="21"/>
        <v>2573.0933581453587</v>
      </c>
      <c r="H141" s="93">
        <f t="shared" ca="1" si="22"/>
        <v>3040.9285141717878</v>
      </c>
      <c r="I141" s="93">
        <f t="shared" ca="1" si="23"/>
        <v>4181.2767069862084</v>
      </c>
      <c r="J141" s="93">
        <f t="shared" ca="1" si="19"/>
        <v>10403</v>
      </c>
      <c r="K141" s="73">
        <f t="shared" ca="1" si="24"/>
        <v>1</v>
      </c>
      <c r="L141" s="73">
        <f ca="1">IF(K141=1, IF(_xlfn.BINOM.INV(1, C$22, RAND())&gt;0, K141*2, C$23), IF(_xlfn.BINOM.INV(1, C$21, RAND())&gt;0, K141, C$23))</f>
        <v>1</v>
      </c>
      <c r="M141" s="93">
        <f t="shared" ca="1" si="25"/>
        <v>10403</v>
      </c>
      <c r="N141" s="70">
        <f ca="1">IF(AND(K141=1, L141&gt;1), C$20, IF(AND(K141&gt;1, L141&gt;1), C$19, 0))</f>
        <v>0</v>
      </c>
      <c r="O141" s="67">
        <f ca="1">IF(D141=15%,C$18,C$17)</f>
        <v>0.03</v>
      </c>
      <c r="P141" s="93">
        <f t="shared" ca="1" si="26"/>
        <v>913.85786344110352</v>
      </c>
      <c r="Q141" s="93">
        <f ca="1">J141*0.15 - C141*0.8 - C141*0.01</f>
        <v>205.71634693646854</v>
      </c>
      <c r="R141" s="66"/>
      <c r="AF141" s="66"/>
    </row>
    <row r="142" spans="1:32" x14ac:dyDescent="0.3">
      <c r="A142" s="51">
        <v>101</v>
      </c>
      <c r="B142" s="91">
        <f t="shared" ca="1" si="18"/>
        <v>0.38656037119000874</v>
      </c>
      <c r="C142" s="92">
        <f ca="1">VLOOKUP(B142,표4[#Data],3)</f>
        <v>1672.5106827944833</v>
      </c>
      <c r="D142" s="67">
        <f ca="1">IF(RAND()&gt;=D$15,C$15,C$16)</f>
        <v>0.15</v>
      </c>
      <c r="E142" s="93">
        <f ca="1">C142*D142</f>
        <v>250.87660241917249</v>
      </c>
      <c r="F142" s="70">
        <f t="shared" ca="1" si="20"/>
        <v>0.12</v>
      </c>
      <c r="G142" s="93">
        <f t="shared" ca="1" si="21"/>
        <v>2090.6383534931042</v>
      </c>
      <c r="H142" s="93">
        <f t="shared" ca="1" si="22"/>
        <v>2508.7660241917251</v>
      </c>
      <c r="I142" s="93">
        <f t="shared" ca="1" si="23"/>
        <v>3583.9514631310358</v>
      </c>
      <c r="J142" s="93">
        <f t="shared" ca="1" si="19"/>
        <v>5625</v>
      </c>
      <c r="K142" s="73">
        <f t="shared" ca="1" si="24"/>
        <v>1</v>
      </c>
      <c r="L142" s="73">
        <f ca="1">IF(K142=1, IF(_xlfn.BINOM.INV(1, C$22, RAND())&gt;0, K142*2, C$23), IF(_xlfn.BINOM.INV(1, C$21, RAND())&gt;0, K142, C$23))</f>
        <v>2</v>
      </c>
      <c r="M142" s="93">
        <f t="shared" ca="1" si="25"/>
        <v>11250</v>
      </c>
      <c r="N142" s="70">
        <f ca="1">IF(AND(K142=1, L142&gt;1), C$20, IF(AND(K142&gt;1, L142&gt;1), C$19, 0))</f>
        <v>0.02</v>
      </c>
      <c r="O142" s="67">
        <f ca="1">IF(D142=15%,C$18,C$17)</f>
        <v>0.05</v>
      </c>
      <c r="P142" s="93">
        <f t="shared" ca="1" si="26"/>
        <v>649.12339758082749</v>
      </c>
      <c r="Q142" s="93">
        <f ca="1">J142*0.15 - C142*0.8 - C142*0.01</f>
        <v>-510.98365306353151</v>
      </c>
      <c r="R142" s="66"/>
      <c r="AF142" s="66"/>
    </row>
    <row r="143" spans="1:32" x14ac:dyDescent="0.3">
      <c r="A143" s="51">
        <v>102</v>
      </c>
      <c r="B143" s="91">
        <f t="shared" ca="1" si="18"/>
        <v>0.57471701489232685</v>
      </c>
      <c r="C143" s="92">
        <f ca="1">VLOOKUP(B143,표4[#Data],3)</f>
        <v>1672.5106827944833</v>
      </c>
      <c r="D143" s="67">
        <f ca="1">IF(RAND()&gt;=D$15,C$15,C$16)</f>
        <v>0.2</v>
      </c>
      <c r="E143" s="93">
        <f ca="1">C143*D143</f>
        <v>334.50213655889667</v>
      </c>
      <c r="F143" s="70">
        <f t="shared" ca="1" si="20"/>
        <v>0.13</v>
      </c>
      <c r="G143" s="93">
        <f t="shared" ca="1" si="21"/>
        <v>2573.0933581453587</v>
      </c>
      <c r="H143" s="93">
        <f t="shared" ca="1" si="22"/>
        <v>3040.9285141717878</v>
      </c>
      <c r="I143" s="93">
        <f t="shared" ca="1" si="23"/>
        <v>4181.2767069862084</v>
      </c>
      <c r="J143" s="93">
        <f t="shared" ca="1" si="19"/>
        <v>7087</v>
      </c>
      <c r="K143" s="73">
        <f t="shared" ca="1" si="24"/>
        <v>1</v>
      </c>
      <c r="L143" s="73">
        <f ca="1">IF(K143=1, IF(_xlfn.BINOM.INV(1, C$22, RAND())&gt;0, K143*2, C$23), IF(_xlfn.BINOM.INV(1, C$21, RAND())&gt;0, K143, C$23))</f>
        <v>1</v>
      </c>
      <c r="M143" s="93">
        <f t="shared" ca="1" si="25"/>
        <v>7087</v>
      </c>
      <c r="N143" s="70">
        <f ca="1">IF(AND(K143=1, L143&gt;1), C$20, IF(AND(K143&gt;1, L143&gt;1), C$19, 0))</f>
        <v>0</v>
      </c>
      <c r="O143" s="67">
        <f ca="1">IF(D143=15%,C$18,C$17)</f>
        <v>0.03</v>
      </c>
      <c r="P143" s="93">
        <f t="shared" ca="1" si="26"/>
        <v>515.93786344110333</v>
      </c>
      <c r="Q143" s="93">
        <f ca="1">J143*0.15 - C143*0.8 - C143*0.01</f>
        <v>-291.68365306353155</v>
      </c>
      <c r="R143" s="66"/>
      <c r="AF143" s="66"/>
    </row>
    <row r="144" spans="1:32" x14ac:dyDescent="0.3">
      <c r="A144" s="51">
        <v>103</v>
      </c>
      <c r="B144" s="91">
        <f t="shared" ca="1" si="18"/>
        <v>0.61733985728652396</v>
      </c>
      <c r="C144" s="92">
        <f ca="1">VLOOKUP(B144,표4[#Data],3)</f>
        <v>1672.5106827944833</v>
      </c>
      <c r="D144" s="67">
        <f ca="1">IF(RAND()&gt;=D$15,C$15,C$16)</f>
        <v>0.2</v>
      </c>
      <c r="E144" s="93">
        <f ca="1">C144*D144</f>
        <v>334.50213655889667</v>
      </c>
      <c r="F144" s="70">
        <f t="shared" ca="1" si="20"/>
        <v>0.13</v>
      </c>
      <c r="G144" s="93">
        <f t="shared" ca="1" si="21"/>
        <v>2573.0933581453587</v>
      </c>
      <c r="H144" s="93">
        <f t="shared" ca="1" si="22"/>
        <v>3040.9285141717878</v>
      </c>
      <c r="I144" s="93">
        <f t="shared" ca="1" si="23"/>
        <v>4181.2767069862084</v>
      </c>
      <c r="J144" s="93">
        <f t="shared" ca="1" si="19"/>
        <v>12984</v>
      </c>
      <c r="K144" s="73">
        <f t="shared" ca="1" si="24"/>
        <v>1</v>
      </c>
      <c r="L144" s="73">
        <f ca="1">IF(K144=1, IF(_xlfn.BINOM.INV(1, C$22, RAND())&gt;0, K144*2, C$23), IF(_xlfn.BINOM.INV(1, C$21, RAND())&gt;0, K144, C$23))</f>
        <v>1</v>
      </c>
      <c r="M144" s="93">
        <f t="shared" ca="1" si="25"/>
        <v>12984</v>
      </c>
      <c r="N144" s="70">
        <f ca="1">IF(AND(K144=1, L144&gt;1), C$20, IF(AND(K144&gt;1, L144&gt;1), C$19, 0))</f>
        <v>0</v>
      </c>
      <c r="O144" s="67">
        <f ca="1">IF(D144=15%,C$18,C$17)</f>
        <v>0.03</v>
      </c>
      <c r="P144" s="93">
        <f t="shared" ca="1" si="26"/>
        <v>1223.5778634411033</v>
      </c>
      <c r="Q144" s="93">
        <f ca="1">J144*0.15 - C144*0.8 - C144*0.01</f>
        <v>592.8663469364684</v>
      </c>
      <c r="R144" s="66"/>
      <c r="AF144" s="66"/>
    </row>
    <row r="145" spans="1:32" x14ac:dyDescent="0.3">
      <c r="A145" s="51">
        <v>104</v>
      </c>
      <c r="B145" s="91">
        <f t="shared" ca="1" si="18"/>
        <v>0.54438414888024755</v>
      </c>
      <c r="C145" s="92">
        <f ca="1">VLOOKUP(B145,표4[#Data],3)</f>
        <v>1672.5106827944833</v>
      </c>
      <c r="D145" s="67">
        <f ca="1">IF(RAND()&gt;=D$15,C$15,C$16)</f>
        <v>0.2</v>
      </c>
      <c r="E145" s="93">
        <f ca="1">C145*D145</f>
        <v>334.50213655889667</v>
      </c>
      <c r="F145" s="70">
        <f t="shared" ca="1" si="20"/>
        <v>0.13</v>
      </c>
      <c r="G145" s="93">
        <f t="shared" ca="1" si="21"/>
        <v>2573.0933581453587</v>
      </c>
      <c r="H145" s="93">
        <f t="shared" ca="1" si="22"/>
        <v>3040.9285141717878</v>
      </c>
      <c r="I145" s="93">
        <f t="shared" ca="1" si="23"/>
        <v>4181.2767069862084</v>
      </c>
      <c r="J145" s="93">
        <f t="shared" ca="1" si="19"/>
        <v>4092</v>
      </c>
      <c r="K145" s="73">
        <f t="shared" ca="1" si="24"/>
        <v>1</v>
      </c>
      <c r="L145" s="73">
        <f ca="1">IF(K145=1, IF(_xlfn.BINOM.INV(1, C$22, RAND())&gt;0, K145*2, C$23), IF(_xlfn.BINOM.INV(1, C$21, RAND())&gt;0, K145, C$23))</f>
        <v>1</v>
      </c>
      <c r="M145" s="93">
        <f t="shared" ca="1" si="25"/>
        <v>4092</v>
      </c>
      <c r="N145" s="70">
        <f ca="1">IF(AND(K145=1, L145&gt;1), C$20, IF(AND(K145&gt;1, L145&gt;1), C$19, 0))</f>
        <v>0</v>
      </c>
      <c r="O145" s="67">
        <f ca="1">IF(D145=15%,C$18,C$17)</f>
        <v>0.03</v>
      </c>
      <c r="P145" s="93">
        <f t="shared" ca="1" si="26"/>
        <v>156.5378634411033</v>
      </c>
      <c r="Q145" s="93">
        <f ca="1">J145*0.15 - C145*0.8 - C145*0.01</f>
        <v>-740.93365306353155</v>
      </c>
      <c r="R145" s="66"/>
      <c r="AF145" s="66"/>
    </row>
    <row r="146" spans="1:32" x14ac:dyDescent="0.3">
      <c r="A146" s="51">
        <v>105</v>
      </c>
      <c r="B146" s="91">
        <f t="shared" ca="1" si="18"/>
        <v>7.4311413374844593E-2</v>
      </c>
      <c r="C146" s="92">
        <f ca="1">VLOOKUP(B146,표4[#Data],3)</f>
        <v>1672.5106827944833</v>
      </c>
      <c r="D146" s="67">
        <f ca="1">IF(RAND()&gt;=D$15,C$15,C$16)</f>
        <v>0.15</v>
      </c>
      <c r="E146" s="93">
        <f ca="1">C146*D146</f>
        <v>250.87660241917249</v>
      </c>
      <c r="F146" s="70">
        <f t="shared" ca="1" si="20"/>
        <v>0.12</v>
      </c>
      <c r="G146" s="93">
        <f t="shared" ca="1" si="21"/>
        <v>2090.6383534931042</v>
      </c>
      <c r="H146" s="93">
        <f t="shared" ca="1" si="22"/>
        <v>2508.7660241917251</v>
      </c>
      <c r="I146" s="93">
        <f t="shared" ca="1" si="23"/>
        <v>3583.9514631310358</v>
      </c>
      <c r="J146" s="93">
        <f t="shared" ca="1" si="19"/>
        <v>7395</v>
      </c>
      <c r="K146" s="73">
        <f t="shared" ca="1" si="24"/>
        <v>1</v>
      </c>
      <c r="L146" s="73">
        <f ca="1">IF(K146=1, IF(_xlfn.BINOM.INV(1, C$22, RAND())&gt;0, K146*2, C$23), IF(_xlfn.BINOM.INV(1, C$21, RAND())&gt;0, K146, C$23))</f>
        <v>1</v>
      </c>
      <c r="M146" s="93">
        <f t="shared" ca="1" si="25"/>
        <v>7395</v>
      </c>
      <c r="N146" s="70">
        <f ca="1">IF(AND(K146=1, L146&gt;1), C$20, IF(AND(K146&gt;1, L146&gt;1), C$19, 0))</f>
        <v>0</v>
      </c>
      <c r="O146" s="67">
        <f ca="1">IF(D146=15%,C$18,C$17)</f>
        <v>0.05</v>
      </c>
      <c r="P146" s="93">
        <f t="shared" ca="1" si="26"/>
        <v>488.62339758082749</v>
      </c>
      <c r="Q146" s="93">
        <f ca="1">J146*0.15 - C146*0.8 - C146*0.01</f>
        <v>-245.48365306353151</v>
      </c>
      <c r="R146" s="66"/>
      <c r="AF146" s="66"/>
    </row>
    <row r="147" spans="1:32" x14ac:dyDescent="0.3">
      <c r="A147" s="51">
        <v>106</v>
      </c>
      <c r="B147" s="91">
        <f t="shared" ca="1" si="18"/>
        <v>0.32862302308240199</v>
      </c>
      <c r="C147" s="92">
        <f ca="1">VLOOKUP(B147,표4[#Data],3)</f>
        <v>1672.5106827944833</v>
      </c>
      <c r="D147" s="67">
        <f ca="1">IF(RAND()&gt;=D$15,C$15,C$16)</f>
        <v>0.15</v>
      </c>
      <c r="E147" s="93">
        <f ca="1">C147*D147</f>
        <v>250.87660241917249</v>
      </c>
      <c r="F147" s="70">
        <f t="shared" ca="1" si="20"/>
        <v>0.12</v>
      </c>
      <c r="G147" s="93">
        <f t="shared" ca="1" si="21"/>
        <v>2090.6383534931042</v>
      </c>
      <c r="H147" s="93">
        <f t="shared" ca="1" si="22"/>
        <v>2508.7660241917251</v>
      </c>
      <c r="I147" s="93">
        <f t="shared" ca="1" si="23"/>
        <v>3583.9514631310358</v>
      </c>
      <c r="J147" s="93">
        <f t="shared" ca="1" si="19"/>
        <v>31953</v>
      </c>
      <c r="K147" s="73">
        <f t="shared" ca="1" si="24"/>
        <v>1</v>
      </c>
      <c r="L147" s="73">
        <f ca="1">IF(K147=1, IF(_xlfn.BINOM.INV(1, C$22, RAND())&gt;0, K147*2, C$23), IF(_xlfn.BINOM.INV(1, C$21, RAND())&gt;0, K147, C$23))</f>
        <v>1</v>
      </c>
      <c r="M147" s="93">
        <f t="shared" ca="1" si="25"/>
        <v>31953</v>
      </c>
      <c r="N147" s="70">
        <f ca="1">IF(AND(K147=1, L147&gt;1), C$20, IF(AND(K147&gt;1, L147&gt;1), C$19, 0))</f>
        <v>0</v>
      </c>
      <c r="O147" s="67">
        <f ca="1">IF(D147=15%,C$18,C$17)</f>
        <v>0.05</v>
      </c>
      <c r="P147" s="93">
        <f t="shared" ca="1" si="26"/>
        <v>2944.423397580827</v>
      </c>
      <c r="Q147" s="93">
        <f ca="1">J147*0.15 - C147*0.8 - C147*0.01</f>
        <v>3438.2163469364687</v>
      </c>
      <c r="R147" s="66"/>
      <c r="AF147" s="66"/>
    </row>
    <row r="148" spans="1:32" x14ac:dyDescent="0.3">
      <c r="A148" s="51">
        <v>107</v>
      </c>
      <c r="B148" s="91">
        <f t="shared" ca="1" si="18"/>
        <v>0.27217647996631411</v>
      </c>
      <c r="C148" s="92">
        <f ca="1">VLOOKUP(B148,표4[#Data],3)</f>
        <v>1672.5106827944833</v>
      </c>
      <c r="D148" s="67">
        <f ca="1">IF(RAND()&gt;=D$15,C$15,C$16)</f>
        <v>0.15</v>
      </c>
      <c r="E148" s="93">
        <f ca="1">C148*D148</f>
        <v>250.87660241917249</v>
      </c>
      <c r="F148" s="70">
        <f t="shared" ca="1" si="20"/>
        <v>0.12</v>
      </c>
      <c r="G148" s="93">
        <f t="shared" ca="1" si="21"/>
        <v>2090.6383534931042</v>
      </c>
      <c r="H148" s="93">
        <f t="shared" ca="1" si="22"/>
        <v>2508.7660241917251</v>
      </c>
      <c r="I148" s="93">
        <f t="shared" ca="1" si="23"/>
        <v>3583.9514631310358</v>
      </c>
      <c r="J148" s="93">
        <f t="shared" ca="1" si="19"/>
        <v>30370</v>
      </c>
      <c r="K148" s="73">
        <f t="shared" ca="1" si="24"/>
        <v>1</v>
      </c>
      <c r="L148" s="73">
        <f ca="1">IF(K148=1, IF(_xlfn.BINOM.INV(1, C$22, RAND())&gt;0, K148*2, C$23), IF(_xlfn.BINOM.INV(1, C$21, RAND())&gt;0, K148, C$23))</f>
        <v>1</v>
      </c>
      <c r="M148" s="93">
        <f t="shared" ca="1" si="25"/>
        <v>30370</v>
      </c>
      <c r="N148" s="70">
        <f ca="1">IF(AND(K148=1, L148&gt;1), C$20, IF(AND(K148&gt;1, L148&gt;1), C$19, 0))</f>
        <v>0</v>
      </c>
      <c r="O148" s="67">
        <f ca="1">IF(D148=15%,C$18,C$17)</f>
        <v>0.05</v>
      </c>
      <c r="P148" s="93">
        <f t="shared" ca="1" si="26"/>
        <v>2786.1233975808273</v>
      </c>
      <c r="Q148" s="93">
        <f ca="1">J148*0.15 - C148*0.8 - C148*0.01</f>
        <v>3200.7663469364688</v>
      </c>
      <c r="R148" s="66"/>
      <c r="AF148" s="66"/>
    </row>
    <row r="149" spans="1:32" x14ac:dyDescent="0.3">
      <c r="A149" s="51">
        <v>108</v>
      </c>
      <c r="B149" s="91">
        <f t="shared" ca="1" si="18"/>
        <v>0.82404719977089003</v>
      </c>
      <c r="C149" s="92">
        <f ca="1">VLOOKUP(B149,표4[#Data],3)</f>
        <v>12285.574360263015</v>
      </c>
      <c r="D149" s="67">
        <f ca="1">IF(RAND()&gt;=D$15,C$15,C$16)</f>
        <v>0.15</v>
      </c>
      <c r="E149" s="93">
        <f ca="1">C149*D149</f>
        <v>1842.8361540394521</v>
      </c>
      <c r="F149" s="70">
        <f t="shared" ca="1" si="20"/>
        <v>0.12</v>
      </c>
      <c r="G149" s="93">
        <f t="shared" ca="1" si="21"/>
        <v>15356.967950328768</v>
      </c>
      <c r="H149" s="93">
        <f t="shared" ca="1" si="22"/>
        <v>18428.361540394522</v>
      </c>
      <c r="I149" s="93">
        <f t="shared" ca="1" si="23"/>
        <v>26326.230771992177</v>
      </c>
      <c r="J149" s="93">
        <f t="shared" ca="1" si="19"/>
        <v>3800</v>
      </c>
      <c r="K149" s="73">
        <f t="shared" ca="1" si="24"/>
        <v>7</v>
      </c>
      <c r="L149" s="73">
        <f ca="1">IF(K149=1, IF(_xlfn.BINOM.INV(1, C$22, RAND())&gt;0, K149*2, C$23), IF(_xlfn.BINOM.INV(1, C$21, RAND())&gt;0, K149, C$23))</f>
        <v>1</v>
      </c>
      <c r="M149" s="93">
        <f t="shared" ca="1" si="25"/>
        <v>3800</v>
      </c>
      <c r="N149" s="70">
        <f ca="1">IF(AND(K149=1, L149&gt;1), C$20, IF(AND(K149&gt;1, L149&gt;1), C$19, 0))</f>
        <v>0</v>
      </c>
      <c r="O149" s="67">
        <f ca="1">IF(D149=15%,C$18,C$17)</f>
        <v>0.05</v>
      </c>
      <c r="P149" s="93">
        <f t="shared" ca="1" si="26"/>
        <v>-1462.8361540394521</v>
      </c>
      <c r="Q149" s="93">
        <f ca="1">J149*0.15 - C149*0.8 - C149*0.01</f>
        <v>-9381.3152318130433</v>
      </c>
      <c r="R149" s="66"/>
      <c r="AF149" s="66"/>
    </row>
    <row r="150" spans="1:32" x14ac:dyDescent="0.3">
      <c r="A150" s="51">
        <v>109</v>
      </c>
      <c r="B150" s="91">
        <f t="shared" ca="1" si="18"/>
        <v>0.89295917088157195</v>
      </c>
      <c r="C150" s="92">
        <f ca="1">VLOOKUP(B150,표4[#Data],3)</f>
        <v>12285.574360263015</v>
      </c>
      <c r="D150" s="67">
        <f ca="1">IF(RAND()&gt;=D$15,C$15,C$16)</f>
        <v>0.15</v>
      </c>
      <c r="E150" s="93">
        <f ca="1">C150*D150</f>
        <v>1842.8361540394521</v>
      </c>
      <c r="F150" s="70">
        <f t="shared" ca="1" si="20"/>
        <v>0.12</v>
      </c>
      <c r="G150" s="93">
        <f t="shared" ca="1" si="21"/>
        <v>15356.967950328768</v>
      </c>
      <c r="H150" s="93">
        <f t="shared" ca="1" si="22"/>
        <v>18428.361540394522</v>
      </c>
      <c r="I150" s="93">
        <f t="shared" ca="1" si="23"/>
        <v>26326.230771992177</v>
      </c>
      <c r="J150" s="93">
        <f t="shared" ca="1" si="19"/>
        <v>24225</v>
      </c>
      <c r="K150" s="73">
        <f t="shared" ca="1" si="24"/>
        <v>1</v>
      </c>
      <c r="L150" s="73">
        <f ca="1">IF(K150=1, IF(_xlfn.BINOM.INV(1, C$22, RAND())&gt;0, K150*2, C$23), IF(_xlfn.BINOM.INV(1, C$21, RAND())&gt;0, K150, C$23))</f>
        <v>1</v>
      </c>
      <c r="M150" s="93">
        <f t="shared" ca="1" si="25"/>
        <v>24225</v>
      </c>
      <c r="N150" s="70">
        <f ca="1">IF(AND(K150=1, L150&gt;1), C$20, IF(AND(K150&gt;1, L150&gt;1), C$19, 0))</f>
        <v>0</v>
      </c>
      <c r="O150" s="67">
        <f ca="1">IF(D150=15%,C$18,C$17)</f>
        <v>0.05</v>
      </c>
      <c r="P150" s="93">
        <f t="shared" ca="1" si="26"/>
        <v>579.66384596054786</v>
      </c>
      <c r="Q150" s="93">
        <f ca="1">J150*0.15 - C150*0.8 - C150*0.01</f>
        <v>-6317.5652318130442</v>
      </c>
      <c r="R150" s="66"/>
      <c r="AF150" s="66"/>
    </row>
    <row r="151" spans="1:32" x14ac:dyDescent="0.3">
      <c r="A151" s="51">
        <v>110</v>
      </c>
      <c r="B151" s="91">
        <f t="shared" ca="1" si="18"/>
        <v>0.33890368978114005</v>
      </c>
      <c r="C151" s="92">
        <f ca="1">VLOOKUP(B151,표4[#Data],3)</f>
        <v>1672.5106827944833</v>
      </c>
      <c r="D151" s="67">
        <f ca="1">IF(RAND()&gt;=D$15,C$15,C$16)</f>
        <v>0.15</v>
      </c>
      <c r="E151" s="93">
        <f ca="1">C151*D151</f>
        <v>250.87660241917249</v>
      </c>
      <c r="F151" s="70">
        <f t="shared" ca="1" si="20"/>
        <v>0.12</v>
      </c>
      <c r="G151" s="93">
        <f t="shared" ca="1" si="21"/>
        <v>2090.6383534931042</v>
      </c>
      <c r="H151" s="93">
        <f t="shared" ca="1" si="22"/>
        <v>2508.7660241917251</v>
      </c>
      <c r="I151" s="93">
        <f t="shared" ca="1" si="23"/>
        <v>3583.9514631310358</v>
      </c>
      <c r="J151" s="93">
        <f t="shared" ca="1" si="19"/>
        <v>21151</v>
      </c>
      <c r="K151" s="73">
        <f t="shared" ca="1" si="24"/>
        <v>1</v>
      </c>
      <c r="L151" s="73">
        <f ca="1">IF(K151=1, IF(_xlfn.BINOM.INV(1, C$22, RAND())&gt;0, K151*2, C$23), IF(_xlfn.BINOM.INV(1, C$21, RAND())&gt;0, K151, C$23))</f>
        <v>1</v>
      </c>
      <c r="M151" s="93">
        <f t="shared" ca="1" si="25"/>
        <v>21151</v>
      </c>
      <c r="N151" s="70">
        <f ca="1">IF(AND(K151=1, L151&gt;1), C$20, IF(AND(K151&gt;1, L151&gt;1), C$19, 0))</f>
        <v>0</v>
      </c>
      <c r="O151" s="67">
        <f ca="1">IF(D151=15%,C$18,C$17)</f>
        <v>0.05</v>
      </c>
      <c r="P151" s="93">
        <f t="shared" ca="1" si="26"/>
        <v>1864.2233975808279</v>
      </c>
      <c r="Q151" s="93">
        <f ca="1">J151*0.15 - C151*0.8 - C151*0.01</f>
        <v>1817.9163469364687</v>
      </c>
      <c r="R151" s="66"/>
      <c r="AF151" s="66"/>
    </row>
    <row r="152" spans="1:32" x14ac:dyDescent="0.3">
      <c r="A152" s="51">
        <v>111</v>
      </c>
      <c r="B152" s="91">
        <f t="shared" ca="1" si="18"/>
        <v>0.7083091506683511</v>
      </c>
      <c r="C152" s="92">
        <f ca="1">VLOOKUP(B152,표4[#Data],3)</f>
        <v>7164.2608066002549</v>
      </c>
      <c r="D152" s="67">
        <f ca="1">IF(RAND()&gt;=D$15,C$15,C$16)</f>
        <v>0.2</v>
      </c>
      <c r="E152" s="93">
        <f ca="1">C152*D152</f>
        <v>1432.852161320051</v>
      </c>
      <c r="F152" s="70">
        <f t="shared" ca="1" si="20"/>
        <v>0.13</v>
      </c>
      <c r="G152" s="93">
        <f t="shared" ca="1" si="21"/>
        <v>11021.93970246193</v>
      </c>
      <c r="H152" s="93">
        <f t="shared" ca="1" si="22"/>
        <v>13025.928739273191</v>
      </c>
      <c r="I152" s="93">
        <f t="shared" ca="1" si="23"/>
        <v>17910.652016500637</v>
      </c>
      <c r="J152" s="93">
        <f t="shared" ca="1" si="19"/>
        <v>28914</v>
      </c>
      <c r="K152" s="73">
        <f t="shared" ca="1" si="24"/>
        <v>1</v>
      </c>
      <c r="L152" s="73">
        <f ca="1">IF(K152=1, IF(_xlfn.BINOM.INV(1, C$22, RAND())&gt;0, K152*2, C$23), IF(_xlfn.BINOM.INV(1, C$21, RAND())&gt;0, K152, C$23))</f>
        <v>1</v>
      </c>
      <c r="M152" s="93">
        <f t="shared" ca="1" si="25"/>
        <v>28914</v>
      </c>
      <c r="N152" s="70">
        <f ca="1">IF(AND(K152=1, L152&gt;1), C$20, IF(AND(K152&gt;1, L152&gt;1), C$19, 0))</f>
        <v>0</v>
      </c>
      <c r="O152" s="67">
        <f ca="1">IF(D152=15%,C$18,C$17)</f>
        <v>0.03</v>
      </c>
      <c r="P152" s="93">
        <f t="shared" ca="1" si="26"/>
        <v>2036.8278386799484</v>
      </c>
      <c r="Q152" s="93">
        <f ca="1">J152*0.15 - C152*0.8 - C152*0.01</f>
        <v>-1465.9512533462071</v>
      </c>
      <c r="R152" s="66"/>
      <c r="AF152" s="66"/>
    </row>
    <row r="153" spans="1:32" x14ac:dyDescent="0.3">
      <c r="A153" s="51">
        <v>112</v>
      </c>
      <c r="B153" s="91">
        <f t="shared" ca="1" si="18"/>
        <v>0.18619475017102616</v>
      </c>
      <c r="C153" s="92">
        <f ca="1">VLOOKUP(B153,표4[#Data],3)</f>
        <v>1672.5106827944833</v>
      </c>
      <c r="D153" s="67">
        <f ca="1">IF(RAND()&gt;=D$15,C$15,C$16)</f>
        <v>0.15</v>
      </c>
      <c r="E153" s="93">
        <f ca="1">C153*D153</f>
        <v>250.87660241917249</v>
      </c>
      <c r="F153" s="70">
        <f t="shared" ca="1" si="20"/>
        <v>0.12</v>
      </c>
      <c r="G153" s="93">
        <f t="shared" ca="1" si="21"/>
        <v>2090.6383534931042</v>
      </c>
      <c r="H153" s="93">
        <f t="shared" ca="1" si="22"/>
        <v>2508.7660241917251</v>
      </c>
      <c r="I153" s="93">
        <f t="shared" ca="1" si="23"/>
        <v>3583.9514631310358</v>
      </c>
      <c r="J153" s="93">
        <f t="shared" ca="1" si="19"/>
        <v>4596</v>
      </c>
      <c r="K153" s="73">
        <f t="shared" ca="1" si="24"/>
        <v>1</v>
      </c>
      <c r="L153" s="73">
        <f ca="1">IF(K153=1, IF(_xlfn.BINOM.INV(1, C$22, RAND())&gt;0, K153*2, C$23), IF(_xlfn.BINOM.INV(1, C$21, RAND())&gt;0, K153, C$23))</f>
        <v>2</v>
      </c>
      <c r="M153" s="93">
        <f t="shared" ca="1" si="25"/>
        <v>9192</v>
      </c>
      <c r="N153" s="70">
        <f ca="1">IF(AND(K153=1, L153&gt;1), C$20, IF(AND(K153&gt;1, L153&gt;1), C$19, 0))</f>
        <v>0.02</v>
      </c>
      <c r="O153" s="67">
        <f ca="1">IF(D153=15%,C$18,C$17)</f>
        <v>0.05</v>
      </c>
      <c r="P153" s="93">
        <f t="shared" ca="1" si="26"/>
        <v>484.48339758082739</v>
      </c>
      <c r="Q153" s="93">
        <f ca="1">J153*0.15 - C153*0.8 - C153*0.01</f>
        <v>-665.33365306353153</v>
      </c>
      <c r="R153" s="66"/>
      <c r="AF153" s="66"/>
    </row>
    <row r="154" spans="1:32" x14ac:dyDescent="0.3">
      <c r="A154" s="51">
        <v>113</v>
      </c>
      <c r="B154" s="91">
        <f t="shared" ca="1" si="18"/>
        <v>0.15423203438654343</v>
      </c>
      <c r="C154" s="92">
        <f ca="1">VLOOKUP(B154,표4[#Data],3)</f>
        <v>1672.5106827944833</v>
      </c>
      <c r="D154" s="67">
        <f ca="1">IF(RAND()&gt;=D$15,C$15,C$16)</f>
        <v>0.2</v>
      </c>
      <c r="E154" s="93">
        <f ca="1">C154*D154</f>
        <v>334.50213655889667</v>
      </c>
      <c r="F154" s="70">
        <f t="shared" ca="1" si="20"/>
        <v>0.13</v>
      </c>
      <c r="G154" s="93">
        <f t="shared" ca="1" si="21"/>
        <v>2573.0933581453587</v>
      </c>
      <c r="H154" s="93">
        <f t="shared" ca="1" si="22"/>
        <v>3040.9285141717878</v>
      </c>
      <c r="I154" s="93">
        <f t="shared" ca="1" si="23"/>
        <v>4181.2767069862084</v>
      </c>
      <c r="J154" s="93">
        <f t="shared" ca="1" si="19"/>
        <v>26598</v>
      </c>
      <c r="K154" s="73">
        <f t="shared" ca="1" si="24"/>
        <v>1</v>
      </c>
      <c r="L154" s="73">
        <f ca="1">IF(K154=1, IF(_xlfn.BINOM.INV(1, C$22, RAND())&gt;0, K154*2, C$23), IF(_xlfn.BINOM.INV(1, C$21, RAND())&gt;0, K154, C$23))</f>
        <v>1</v>
      </c>
      <c r="M154" s="93">
        <f t="shared" ca="1" si="25"/>
        <v>26598</v>
      </c>
      <c r="N154" s="70">
        <f ca="1">IF(AND(K154=1, L154&gt;1), C$20, IF(AND(K154&gt;1, L154&gt;1), C$19, 0))</f>
        <v>0</v>
      </c>
      <c r="O154" s="67">
        <f ca="1">IF(D154=15%,C$18,C$17)</f>
        <v>0.03</v>
      </c>
      <c r="P154" s="93">
        <f t="shared" ca="1" si="26"/>
        <v>2857.2578634411029</v>
      </c>
      <c r="Q154" s="93">
        <f ca="1">J154*0.15 - C154*0.8 - C154*0.01</f>
        <v>2634.9663469364687</v>
      </c>
      <c r="R154" s="66"/>
      <c r="AF154" s="66"/>
    </row>
    <row r="155" spans="1:32" x14ac:dyDescent="0.3">
      <c r="A155" s="51">
        <v>114</v>
      </c>
      <c r="B155" s="91">
        <f t="shared" ca="1" si="18"/>
        <v>0.85314210230753651</v>
      </c>
      <c r="C155" s="92">
        <f ca="1">VLOOKUP(B155,표4[#Data],3)</f>
        <v>12285.574360263015</v>
      </c>
      <c r="D155" s="67">
        <f ca="1">IF(RAND()&gt;=D$15,C$15,C$16)</f>
        <v>0.2</v>
      </c>
      <c r="E155" s="93">
        <f ca="1">C155*D155</f>
        <v>2457.1148720526035</v>
      </c>
      <c r="F155" s="70">
        <f t="shared" ca="1" si="20"/>
        <v>0.13</v>
      </c>
      <c r="G155" s="93">
        <f t="shared" ca="1" si="21"/>
        <v>18900.883631173871</v>
      </c>
      <c r="H155" s="93">
        <f t="shared" ca="1" si="22"/>
        <v>22337.407927750941</v>
      </c>
      <c r="I155" s="93">
        <f t="shared" ca="1" si="23"/>
        <v>30713.935900657543</v>
      </c>
      <c r="J155" s="93">
        <f t="shared" ca="1" si="19"/>
        <v>4470</v>
      </c>
      <c r="K155" s="73">
        <f t="shared" ca="1" si="24"/>
        <v>7</v>
      </c>
      <c r="L155" s="73">
        <f ca="1">IF(K155=1, IF(_xlfn.BINOM.INV(1, C$22, RAND())&gt;0, K155*2, C$23), IF(_xlfn.BINOM.INV(1, C$21, RAND())&gt;0, K155, C$23))</f>
        <v>1</v>
      </c>
      <c r="M155" s="93">
        <f t="shared" ca="1" si="25"/>
        <v>4470</v>
      </c>
      <c r="N155" s="70">
        <f ca="1">IF(AND(K155=1, L155&gt;1), C$20, IF(AND(K155&gt;1, L155&gt;1), C$19, 0))</f>
        <v>0</v>
      </c>
      <c r="O155" s="67">
        <f ca="1">IF(D155=15%,C$18,C$17)</f>
        <v>0.03</v>
      </c>
      <c r="P155" s="93">
        <f t="shared" ca="1" si="26"/>
        <v>-1920.7148720526034</v>
      </c>
      <c r="Q155" s="93">
        <f ca="1">J155*0.15 - C155*0.8 - C155*0.01</f>
        <v>-9280.8152318130433</v>
      </c>
      <c r="R155" s="66"/>
      <c r="AF155" s="66"/>
    </row>
    <row r="156" spans="1:32" x14ac:dyDescent="0.3">
      <c r="A156" s="51">
        <v>115</v>
      </c>
      <c r="B156" s="91">
        <f t="shared" ca="1" si="18"/>
        <v>0.41182375746604172</v>
      </c>
      <c r="C156" s="92">
        <f ca="1">VLOOKUP(B156,표4[#Data],3)</f>
        <v>1672.5106827944833</v>
      </c>
      <c r="D156" s="67">
        <f ca="1">IF(RAND()&gt;=D$15,C$15,C$16)</f>
        <v>0.15</v>
      </c>
      <c r="E156" s="93">
        <f ca="1">C156*D156</f>
        <v>250.87660241917249</v>
      </c>
      <c r="F156" s="70">
        <f t="shared" ca="1" si="20"/>
        <v>0.12</v>
      </c>
      <c r="G156" s="93">
        <f t="shared" ca="1" si="21"/>
        <v>2090.6383534931042</v>
      </c>
      <c r="H156" s="93">
        <f t="shared" ca="1" si="22"/>
        <v>2508.7660241917251</v>
      </c>
      <c r="I156" s="93">
        <f t="shared" ca="1" si="23"/>
        <v>3583.9514631310358</v>
      </c>
      <c r="J156" s="93">
        <f t="shared" ca="1" si="19"/>
        <v>51142</v>
      </c>
      <c r="K156" s="73">
        <f t="shared" ca="1" si="24"/>
        <v>1</v>
      </c>
      <c r="L156" s="73">
        <f ca="1">IF(K156=1, IF(_xlfn.BINOM.INV(1, C$22, RAND())&gt;0, K156*2, C$23), IF(_xlfn.BINOM.INV(1, C$21, RAND())&gt;0, K156, C$23))</f>
        <v>2</v>
      </c>
      <c r="M156" s="93">
        <f t="shared" ca="1" si="25"/>
        <v>102284</v>
      </c>
      <c r="N156" s="70">
        <f ca="1">IF(AND(K156=1, L156&gt;1), C$20, IF(AND(K156&gt;1, L156&gt;1), C$19, 0))</f>
        <v>0.02</v>
      </c>
      <c r="O156" s="67">
        <f ca="1">IF(D156=15%,C$18,C$17)</f>
        <v>0.05</v>
      </c>
      <c r="P156" s="93">
        <f t="shared" ca="1" si="26"/>
        <v>7931.8433975808257</v>
      </c>
      <c r="Q156" s="93">
        <f ca="1">J156*0.15 - C156*0.8 - C156*0.01</f>
        <v>6316.5663469364681</v>
      </c>
      <c r="R156" s="66"/>
      <c r="AF156" s="66"/>
    </row>
    <row r="157" spans="1:32" x14ac:dyDescent="0.3">
      <c r="A157" s="51">
        <v>116</v>
      </c>
      <c r="B157" s="91">
        <f t="shared" ca="1" si="18"/>
        <v>0.55795781613273587</v>
      </c>
      <c r="C157" s="92">
        <f ca="1">VLOOKUP(B157,표4[#Data],3)</f>
        <v>1672.5106827944833</v>
      </c>
      <c r="D157" s="67">
        <f ca="1">IF(RAND()&gt;=D$15,C$15,C$16)</f>
        <v>0.2</v>
      </c>
      <c r="E157" s="93">
        <f ca="1">C157*D157</f>
        <v>334.50213655889667</v>
      </c>
      <c r="F157" s="70">
        <f t="shared" ca="1" si="20"/>
        <v>0.13</v>
      </c>
      <c r="G157" s="93">
        <f t="shared" ca="1" si="21"/>
        <v>2573.0933581453587</v>
      </c>
      <c r="H157" s="93">
        <f t="shared" ca="1" si="22"/>
        <v>3040.9285141717878</v>
      </c>
      <c r="I157" s="93">
        <f t="shared" ca="1" si="23"/>
        <v>4181.2767069862084</v>
      </c>
      <c r="J157" s="93">
        <f t="shared" ca="1" si="19"/>
        <v>10661</v>
      </c>
      <c r="K157" s="73">
        <f t="shared" ca="1" si="24"/>
        <v>1</v>
      </c>
      <c r="L157" s="73">
        <f ca="1">IF(K157=1, IF(_xlfn.BINOM.INV(1, C$22, RAND())&gt;0, K157*2, C$23), IF(_xlfn.BINOM.INV(1, C$21, RAND())&gt;0, K157, C$23))</f>
        <v>1</v>
      </c>
      <c r="M157" s="93">
        <f t="shared" ca="1" si="25"/>
        <v>10661</v>
      </c>
      <c r="N157" s="70">
        <f ca="1">IF(AND(K157=1, L157&gt;1), C$20, IF(AND(K157&gt;1, L157&gt;1), C$19, 0))</f>
        <v>0</v>
      </c>
      <c r="O157" s="67">
        <f ca="1">IF(D157=15%,C$18,C$17)</f>
        <v>0.03</v>
      </c>
      <c r="P157" s="93">
        <f t="shared" ca="1" si="26"/>
        <v>944.81786344110333</v>
      </c>
      <c r="Q157" s="93">
        <f ca="1">J157*0.15 - C157*0.8 - C157*0.01</f>
        <v>244.41634693646836</v>
      </c>
      <c r="R157" s="66"/>
      <c r="AF157" s="66"/>
    </row>
    <row r="158" spans="1:32" x14ac:dyDescent="0.3">
      <c r="A158" s="51">
        <v>117</v>
      </c>
      <c r="B158" s="91">
        <f t="shared" ca="1" si="18"/>
        <v>0.83885702774136117</v>
      </c>
      <c r="C158" s="92">
        <f ca="1">VLOOKUP(B158,표4[#Data],3)</f>
        <v>12285.574360263015</v>
      </c>
      <c r="D158" s="67">
        <f ca="1">IF(RAND()&gt;=D$15,C$15,C$16)</f>
        <v>0.2</v>
      </c>
      <c r="E158" s="93">
        <f ca="1">C158*D158</f>
        <v>2457.1148720526035</v>
      </c>
      <c r="F158" s="70">
        <f t="shared" ca="1" si="20"/>
        <v>0.13</v>
      </c>
      <c r="G158" s="93">
        <f t="shared" ca="1" si="21"/>
        <v>18900.883631173871</v>
      </c>
      <c r="H158" s="93">
        <f t="shared" ca="1" si="22"/>
        <v>22337.407927750941</v>
      </c>
      <c r="I158" s="93">
        <f t="shared" ca="1" si="23"/>
        <v>30713.935900657543</v>
      </c>
      <c r="J158" s="93">
        <f t="shared" ca="1" si="19"/>
        <v>22071</v>
      </c>
      <c r="K158" s="73">
        <f t="shared" ca="1" si="24"/>
        <v>1</v>
      </c>
      <c r="L158" s="73">
        <f ca="1">IF(K158=1, IF(_xlfn.BINOM.INV(1, C$22, RAND())&gt;0, K158*2, C$23), IF(_xlfn.BINOM.INV(1, C$21, RAND())&gt;0, K158, C$23))</f>
        <v>1</v>
      </c>
      <c r="M158" s="93">
        <f t="shared" ca="1" si="25"/>
        <v>22071</v>
      </c>
      <c r="N158" s="70">
        <f ca="1">IF(AND(K158=1, L158&gt;1), C$20, IF(AND(K158&gt;1, L158&gt;1), C$19, 0))</f>
        <v>0</v>
      </c>
      <c r="O158" s="67">
        <f ca="1">IF(D158=15%,C$18,C$17)</f>
        <v>0.03</v>
      </c>
      <c r="P158" s="93">
        <f t="shared" ca="1" si="26"/>
        <v>191.40512794739664</v>
      </c>
      <c r="Q158" s="93">
        <f ca="1">J158*0.15 - C158*0.8 - C158*0.01</f>
        <v>-6640.6652318130446</v>
      </c>
      <c r="R158" s="66"/>
      <c r="AF158" s="66"/>
    </row>
    <row r="159" spans="1:32" x14ac:dyDescent="0.3">
      <c r="A159" s="51">
        <v>118</v>
      </c>
      <c r="B159" s="91">
        <f t="shared" ca="1" si="18"/>
        <v>0.8337515314262598</v>
      </c>
      <c r="C159" s="92">
        <f ca="1">VLOOKUP(B159,표4[#Data],3)</f>
        <v>12285.574360263015</v>
      </c>
      <c r="D159" s="67">
        <f ca="1">IF(RAND()&gt;=D$15,C$15,C$16)</f>
        <v>0.2</v>
      </c>
      <c r="E159" s="93">
        <f ca="1">C159*D159</f>
        <v>2457.1148720526035</v>
      </c>
      <c r="F159" s="70">
        <f t="shared" ca="1" si="20"/>
        <v>0.13</v>
      </c>
      <c r="G159" s="93">
        <f t="shared" ca="1" si="21"/>
        <v>18900.883631173871</v>
      </c>
      <c r="H159" s="93">
        <f t="shared" ca="1" si="22"/>
        <v>22337.407927750941</v>
      </c>
      <c r="I159" s="93">
        <f t="shared" ca="1" si="23"/>
        <v>30713.935900657543</v>
      </c>
      <c r="J159" s="93">
        <f t="shared" ca="1" si="19"/>
        <v>8426</v>
      </c>
      <c r="K159" s="73">
        <f t="shared" ca="1" si="24"/>
        <v>4</v>
      </c>
      <c r="L159" s="73">
        <f ca="1">IF(K159=1, IF(_xlfn.BINOM.INV(1, C$22, RAND())&gt;0, K159*2, C$23), IF(_xlfn.BINOM.INV(1, C$21, RAND())&gt;0, K159, C$23))</f>
        <v>1</v>
      </c>
      <c r="M159" s="93">
        <f t="shared" ca="1" si="25"/>
        <v>8426</v>
      </c>
      <c r="N159" s="70">
        <f ca="1">IF(AND(K159=1, L159&gt;1), C$20, IF(AND(K159&gt;1, L159&gt;1), C$19, 0))</f>
        <v>0</v>
      </c>
      <c r="O159" s="67">
        <f ca="1">IF(D159=15%,C$18,C$17)</f>
        <v>0.03</v>
      </c>
      <c r="P159" s="93">
        <f t="shared" ca="1" si="26"/>
        <v>-1445.9948720526036</v>
      </c>
      <c r="Q159" s="93">
        <f ca="1">J159*0.15 - C159*0.8 - C159*0.01</f>
        <v>-8687.4152318130436</v>
      </c>
      <c r="R159" s="66"/>
      <c r="AF159" s="66"/>
    </row>
    <row r="160" spans="1:32" x14ac:dyDescent="0.3">
      <c r="A160" s="51">
        <v>119</v>
      </c>
      <c r="B160" s="91">
        <f t="shared" ca="1" si="18"/>
        <v>0.19345647427195345</v>
      </c>
      <c r="C160" s="92">
        <f ca="1">VLOOKUP(B160,표4[#Data],3)</f>
        <v>1672.5106827944833</v>
      </c>
      <c r="D160" s="67">
        <f ca="1">IF(RAND()&gt;=D$15,C$15,C$16)</f>
        <v>0.2</v>
      </c>
      <c r="E160" s="93">
        <f ca="1">C160*D160</f>
        <v>334.50213655889667</v>
      </c>
      <c r="F160" s="70">
        <f t="shared" ca="1" si="20"/>
        <v>0.13</v>
      </c>
      <c r="G160" s="93">
        <f t="shared" ca="1" si="21"/>
        <v>2573.0933581453587</v>
      </c>
      <c r="H160" s="93">
        <f t="shared" ca="1" si="22"/>
        <v>3040.9285141717878</v>
      </c>
      <c r="I160" s="93">
        <f t="shared" ca="1" si="23"/>
        <v>4181.2767069862084</v>
      </c>
      <c r="J160" s="93">
        <f t="shared" ca="1" si="19"/>
        <v>6726</v>
      </c>
      <c r="K160" s="73">
        <f t="shared" ca="1" si="24"/>
        <v>1</v>
      </c>
      <c r="L160" s="73">
        <f ca="1">IF(K160=1, IF(_xlfn.BINOM.INV(1, C$22, RAND())&gt;0, K160*2, C$23), IF(_xlfn.BINOM.INV(1, C$21, RAND())&gt;0, K160, C$23))</f>
        <v>1</v>
      </c>
      <c r="M160" s="93">
        <f t="shared" ca="1" si="25"/>
        <v>6726</v>
      </c>
      <c r="N160" s="70">
        <f ca="1">IF(AND(K160=1, L160&gt;1), C$20, IF(AND(K160&gt;1, L160&gt;1), C$19, 0))</f>
        <v>0</v>
      </c>
      <c r="O160" s="67">
        <f ca="1">IF(D160=15%,C$18,C$17)</f>
        <v>0.03</v>
      </c>
      <c r="P160" s="93">
        <f t="shared" ca="1" si="26"/>
        <v>472.61786344110328</v>
      </c>
      <c r="Q160" s="93">
        <f ca="1">J160*0.15 - C160*0.8 - C160*0.01</f>
        <v>-345.83365306353153</v>
      </c>
      <c r="R160" s="66"/>
      <c r="AF160" s="66"/>
    </row>
    <row r="161" spans="1:32" x14ac:dyDescent="0.3">
      <c r="A161" s="51">
        <v>120</v>
      </c>
      <c r="B161" s="91">
        <f t="shared" ca="1" si="18"/>
        <v>0.4665935873257131</v>
      </c>
      <c r="C161" s="92">
        <f ca="1">VLOOKUP(B161,표4[#Data],3)</f>
        <v>1672.5106827944833</v>
      </c>
      <c r="D161" s="67">
        <f ca="1">IF(RAND()&gt;=D$15,C$15,C$16)</f>
        <v>0.2</v>
      </c>
      <c r="E161" s="93">
        <f ca="1">C161*D161</f>
        <v>334.50213655889667</v>
      </c>
      <c r="F161" s="70">
        <f t="shared" ca="1" si="20"/>
        <v>0.13</v>
      </c>
      <c r="G161" s="93">
        <f t="shared" ca="1" si="21"/>
        <v>2573.0933581453587</v>
      </c>
      <c r="H161" s="93">
        <f t="shared" ca="1" si="22"/>
        <v>3040.9285141717878</v>
      </c>
      <c r="I161" s="93">
        <f t="shared" ca="1" si="23"/>
        <v>4181.2767069862084</v>
      </c>
      <c r="J161" s="93">
        <f t="shared" ca="1" si="19"/>
        <v>3394</v>
      </c>
      <c r="K161" s="73">
        <f t="shared" ca="1" si="24"/>
        <v>1</v>
      </c>
      <c r="L161" s="73">
        <f ca="1">IF(K161=1, IF(_xlfn.BINOM.INV(1, C$22, RAND())&gt;0, K161*2, C$23), IF(_xlfn.BINOM.INV(1, C$21, RAND())&gt;0, K161, C$23))</f>
        <v>1</v>
      </c>
      <c r="M161" s="93">
        <f t="shared" ca="1" si="25"/>
        <v>3394</v>
      </c>
      <c r="N161" s="70">
        <f ca="1">IF(AND(K161=1, L161&gt;1), C$20, IF(AND(K161&gt;1, L161&gt;1), C$19, 0))</f>
        <v>0</v>
      </c>
      <c r="O161" s="67">
        <f ca="1">IF(D161=15%,C$18,C$17)</f>
        <v>0.03</v>
      </c>
      <c r="P161" s="93">
        <f t="shared" ca="1" si="26"/>
        <v>72.777863441103307</v>
      </c>
      <c r="Q161" s="93">
        <f ca="1">J161*0.15 - C161*0.8 - C161*0.01</f>
        <v>-845.6336530635316</v>
      </c>
      <c r="R161" s="66"/>
      <c r="AF161" s="66"/>
    </row>
    <row r="162" spans="1:32" x14ac:dyDescent="0.3">
      <c r="A162" s="51">
        <v>121</v>
      </c>
      <c r="B162" s="91">
        <f t="shared" ca="1" si="18"/>
        <v>0.3289841730823132</v>
      </c>
      <c r="C162" s="92">
        <f ca="1">VLOOKUP(B162,표4[#Data],3)</f>
        <v>1672.5106827944833</v>
      </c>
      <c r="D162" s="67">
        <f ca="1">IF(RAND()&gt;=D$15,C$15,C$16)</f>
        <v>0.2</v>
      </c>
      <c r="E162" s="93">
        <f ca="1">C162*D162</f>
        <v>334.50213655889667</v>
      </c>
      <c r="F162" s="70">
        <f t="shared" ca="1" si="20"/>
        <v>0.13</v>
      </c>
      <c r="G162" s="93">
        <f t="shared" ca="1" si="21"/>
        <v>2573.0933581453587</v>
      </c>
      <c r="H162" s="93">
        <f t="shared" ca="1" si="22"/>
        <v>3040.9285141717878</v>
      </c>
      <c r="I162" s="93">
        <f t="shared" ca="1" si="23"/>
        <v>4181.2767069862084</v>
      </c>
      <c r="J162" s="93">
        <f t="shared" ca="1" si="19"/>
        <v>12376</v>
      </c>
      <c r="K162" s="73">
        <f t="shared" ca="1" si="24"/>
        <v>1</v>
      </c>
      <c r="L162" s="73">
        <f ca="1">IF(K162=1, IF(_xlfn.BINOM.INV(1, C$22, RAND())&gt;0, K162*2, C$23), IF(_xlfn.BINOM.INV(1, C$21, RAND())&gt;0, K162, C$23))</f>
        <v>1</v>
      </c>
      <c r="M162" s="93">
        <f t="shared" ca="1" si="25"/>
        <v>12376</v>
      </c>
      <c r="N162" s="70">
        <f ca="1">IF(AND(K162=1, L162&gt;1), C$20, IF(AND(K162&gt;1, L162&gt;1), C$19, 0))</f>
        <v>0</v>
      </c>
      <c r="O162" s="67">
        <f ca="1">IF(D162=15%,C$18,C$17)</f>
        <v>0.03</v>
      </c>
      <c r="P162" s="93">
        <f t="shared" ca="1" si="26"/>
        <v>1150.6178634411033</v>
      </c>
      <c r="Q162" s="93">
        <f ca="1">J162*0.15 - C162*0.8 - C162*0.01</f>
        <v>501.66634693646836</v>
      </c>
      <c r="R162" s="66"/>
      <c r="AF162" s="66"/>
    </row>
    <row r="163" spans="1:32" x14ac:dyDescent="0.3">
      <c r="A163" s="51">
        <v>122</v>
      </c>
      <c r="B163" s="91">
        <f t="shared" ca="1" si="18"/>
        <v>6.7205707806949788E-2</v>
      </c>
      <c r="C163" s="92">
        <f ca="1">VLOOKUP(B163,표4[#Data],3)</f>
        <v>1672.5106827944833</v>
      </c>
      <c r="D163" s="67">
        <f ca="1">IF(RAND()&gt;=D$15,C$15,C$16)</f>
        <v>0.2</v>
      </c>
      <c r="E163" s="93">
        <f ca="1">C163*D163</f>
        <v>334.50213655889667</v>
      </c>
      <c r="F163" s="70">
        <f t="shared" ca="1" si="20"/>
        <v>0.13</v>
      </c>
      <c r="G163" s="93">
        <f t="shared" ca="1" si="21"/>
        <v>2573.0933581453587</v>
      </c>
      <c r="H163" s="93">
        <f t="shared" ca="1" si="22"/>
        <v>3040.9285141717878</v>
      </c>
      <c r="I163" s="93">
        <f t="shared" ca="1" si="23"/>
        <v>4181.2767069862084</v>
      </c>
      <c r="J163" s="93">
        <f t="shared" ca="1" si="19"/>
        <v>5452</v>
      </c>
      <c r="K163" s="73">
        <f t="shared" ca="1" si="24"/>
        <v>1</v>
      </c>
      <c r="L163" s="73">
        <f ca="1">IF(K163=1, IF(_xlfn.BINOM.INV(1, C$22, RAND())&gt;0, K163*2, C$23), IF(_xlfn.BINOM.INV(1, C$21, RAND())&gt;0, K163, C$23))</f>
        <v>1</v>
      </c>
      <c r="M163" s="93">
        <f t="shared" ca="1" si="25"/>
        <v>5452</v>
      </c>
      <c r="N163" s="70">
        <f ca="1">IF(AND(K163=1, L163&gt;1), C$20, IF(AND(K163&gt;1, L163&gt;1), C$19, 0))</f>
        <v>0</v>
      </c>
      <c r="O163" s="67">
        <f ca="1">IF(D163=15%,C$18,C$17)</f>
        <v>0.03</v>
      </c>
      <c r="P163" s="93">
        <f t="shared" ca="1" si="26"/>
        <v>319.73786344110329</v>
      </c>
      <c r="Q163" s="93">
        <f ca="1">J163*0.15 - C163*0.8 - C163*0.01</f>
        <v>-536.93365306353155</v>
      </c>
      <c r="R163" s="66"/>
      <c r="AF163" s="66"/>
    </row>
    <row r="164" spans="1:32" x14ac:dyDescent="0.3">
      <c r="A164" s="51">
        <v>123</v>
      </c>
      <c r="B164" s="91">
        <f t="shared" ca="1" si="18"/>
        <v>0.65940019797392968</v>
      </c>
      <c r="C164" s="92">
        <f ca="1">VLOOKUP(B164,표4[#Data],3)</f>
        <v>7164.2608066002549</v>
      </c>
      <c r="D164" s="67">
        <f ca="1">IF(RAND()&gt;=D$15,C$15,C$16)</f>
        <v>0.15</v>
      </c>
      <c r="E164" s="93">
        <f ca="1">C164*D164</f>
        <v>1074.6391209900382</v>
      </c>
      <c r="F164" s="70">
        <f t="shared" ca="1" si="20"/>
        <v>0.12</v>
      </c>
      <c r="G164" s="93">
        <f t="shared" ca="1" si="21"/>
        <v>8955.3260082503184</v>
      </c>
      <c r="H164" s="93">
        <f t="shared" ca="1" si="22"/>
        <v>10746.391209900383</v>
      </c>
      <c r="I164" s="93">
        <f t="shared" ca="1" si="23"/>
        <v>15351.987442714833</v>
      </c>
      <c r="J164" s="93">
        <f t="shared" ca="1" si="19"/>
        <v>32885</v>
      </c>
      <c r="K164" s="73">
        <f t="shared" ca="1" si="24"/>
        <v>1</v>
      </c>
      <c r="L164" s="73">
        <f ca="1">IF(K164=1, IF(_xlfn.BINOM.INV(1, C$22, RAND())&gt;0, K164*2, C$23), IF(_xlfn.BINOM.INV(1, C$21, RAND())&gt;0, K164, C$23))</f>
        <v>1</v>
      </c>
      <c r="M164" s="93">
        <f t="shared" ca="1" si="25"/>
        <v>32885</v>
      </c>
      <c r="N164" s="70">
        <f ca="1">IF(AND(K164=1, L164&gt;1), C$20, IF(AND(K164&gt;1, L164&gt;1), C$19, 0))</f>
        <v>0</v>
      </c>
      <c r="O164" s="67">
        <f ca="1">IF(D164=15%,C$18,C$17)</f>
        <v>0.05</v>
      </c>
      <c r="P164" s="93">
        <f t="shared" ca="1" si="26"/>
        <v>2213.8608790099615</v>
      </c>
      <c r="Q164" s="93">
        <f ca="1">J164*0.15 - C164*0.8 - C164*0.01</f>
        <v>-870.30125334620652</v>
      </c>
      <c r="R164" s="66"/>
      <c r="AF164" s="66"/>
    </row>
    <row r="165" spans="1:32" x14ac:dyDescent="0.3">
      <c r="A165" s="51">
        <v>124</v>
      </c>
      <c r="B165" s="91">
        <f t="shared" ca="1" si="18"/>
        <v>0.78141232549383344</v>
      </c>
      <c r="C165" s="92">
        <f ca="1">VLOOKUP(B165,표4[#Data],3)</f>
        <v>7164.2608066002549</v>
      </c>
      <c r="D165" s="67">
        <f ca="1">IF(RAND()&gt;=D$15,C$15,C$16)</f>
        <v>0.2</v>
      </c>
      <c r="E165" s="93">
        <f ca="1">C165*D165</f>
        <v>1432.852161320051</v>
      </c>
      <c r="F165" s="70">
        <f t="shared" ca="1" si="20"/>
        <v>0.13</v>
      </c>
      <c r="G165" s="93">
        <f t="shared" ca="1" si="21"/>
        <v>11021.93970246193</v>
      </c>
      <c r="H165" s="93">
        <f t="shared" ca="1" si="22"/>
        <v>13025.928739273191</v>
      </c>
      <c r="I165" s="93">
        <f t="shared" ca="1" si="23"/>
        <v>17910.652016500637</v>
      </c>
      <c r="J165" s="93">
        <f t="shared" ca="1" si="19"/>
        <v>6924</v>
      </c>
      <c r="K165" s="73">
        <f t="shared" ca="1" si="24"/>
        <v>3</v>
      </c>
      <c r="L165" s="73">
        <f ca="1">IF(K165=1, IF(_xlfn.BINOM.INV(1, C$22, RAND())&gt;0, K165*2, C$23), IF(_xlfn.BINOM.INV(1, C$21, RAND())&gt;0, K165, C$23))</f>
        <v>1</v>
      </c>
      <c r="M165" s="93">
        <f t="shared" ca="1" si="25"/>
        <v>6924</v>
      </c>
      <c r="N165" s="70">
        <f ca="1">IF(AND(K165=1, L165&gt;1), C$20, IF(AND(K165&gt;1, L165&gt;1), C$19, 0))</f>
        <v>0</v>
      </c>
      <c r="O165" s="67">
        <f ca="1">IF(D165=15%,C$18,C$17)</f>
        <v>0.03</v>
      </c>
      <c r="P165" s="93">
        <f t="shared" ca="1" si="26"/>
        <v>-601.9721613200511</v>
      </c>
      <c r="Q165" s="93">
        <f ca="1">J165*0.15 - C165*0.8 - C165*0.01</f>
        <v>-4764.4512533462057</v>
      </c>
      <c r="R165" s="66"/>
      <c r="AF165" s="66"/>
    </row>
    <row r="166" spans="1:32" x14ac:dyDescent="0.3">
      <c r="A166" s="51">
        <v>125</v>
      </c>
      <c r="B166" s="91">
        <f t="shared" ca="1" si="18"/>
        <v>0.55400348142652323</v>
      </c>
      <c r="C166" s="92">
        <f ca="1">VLOOKUP(B166,표4[#Data],3)</f>
        <v>1672.5106827944833</v>
      </c>
      <c r="D166" s="67">
        <f ca="1">IF(RAND()&gt;=D$15,C$15,C$16)</f>
        <v>0.15</v>
      </c>
      <c r="E166" s="93">
        <f ca="1">C166*D166</f>
        <v>250.87660241917249</v>
      </c>
      <c r="F166" s="70">
        <f t="shared" ca="1" si="20"/>
        <v>0.12</v>
      </c>
      <c r="G166" s="93">
        <f t="shared" ca="1" si="21"/>
        <v>2090.6383534931042</v>
      </c>
      <c r="H166" s="93">
        <f t="shared" ca="1" si="22"/>
        <v>2508.7660241917251</v>
      </c>
      <c r="I166" s="93">
        <f t="shared" ca="1" si="23"/>
        <v>3583.9514631310358</v>
      </c>
      <c r="J166" s="93">
        <f t="shared" ca="1" si="19"/>
        <v>9040</v>
      </c>
      <c r="K166" s="73">
        <f t="shared" ca="1" si="24"/>
        <v>1</v>
      </c>
      <c r="L166" s="73">
        <f ca="1">IF(K166=1, IF(_xlfn.BINOM.INV(1, C$22, RAND())&gt;0, K166*2, C$23), IF(_xlfn.BINOM.INV(1, C$21, RAND())&gt;0, K166, C$23))</f>
        <v>2</v>
      </c>
      <c r="M166" s="93">
        <f t="shared" ca="1" si="25"/>
        <v>18080</v>
      </c>
      <c r="N166" s="70">
        <f ca="1">IF(AND(K166=1, L166&gt;1), C$20, IF(AND(K166&gt;1, L166&gt;1), C$19, 0))</f>
        <v>0.02</v>
      </c>
      <c r="O166" s="67">
        <f ca="1">IF(D166=15%,C$18,C$17)</f>
        <v>0.05</v>
      </c>
      <c r="P166" s="93">
        <f t="shared" ca="1" si="26"/>
        <v>1195.5233975808278</v>
      </c>
      <c r="Q166" s="93">
        <f ca="1">J166*0.15 - C166*0.8 - C166*0.01</f>
        <v>1.2663469364685014</v>
      </c>
      <c r="R166" s="66"/>
      <c r="AF166" s="66"/>
    </row>
    <row r="167" spans="1:32" x14ac:dyDescent="0.3">
      <c r="A167" s="51">
        <v>126</v>
      </c>
      <c r="B167" s="91">
        <f t="shared" ca="1" si="18"/>
        <v>0.75778839472495241</v>
      </c>
      <c r="C167" s="92">
        <f ca="1">VLOOKUP(B167,표4[#Data],3)</f>
        <v>7164.2608066002549</v>
      </c>
      <c r="D167" s="67">
        <f ca="1">IF(RAND()&gt;=D$15,C$15,C$16)</f>
        <v>0.2</v>
      </c>
      <c r="E167" s="93">
        <f ca="1">C167*D167</f>
        <v>1432.852161320051</v>
      </c>
      <c r="F167" s="70">
        <f t="shared" ca="1" si="20"/>
        <v>0.13</v>
      </c>
      <c r="G167" s="93">
        <f t="shared" ca="1" si="21"/>
        <v>11021.93970246193</v>
      </c>
      <c r="H167" s="93">
        <f t="shared" ca="1" si="22"/>
        <v>13025.928739273191</v>
      </c>
      <c r="I167" s="93">
        <f t="shared" ca="1" si="23"/>
        <v>17910.652016500637</v>
      </c>
      <c r="J167" s="93">
        <f t="shared" ca="1" si="19"/>
        <v>4805</v>
      </c>
      <c r="K167" s="73">
        <f t="shared" ca="1" si="24"/>
        <v>4</v>
      </c>
      <c r="L167" s="73">
        <f ca="1">IF(K167=1, IF(_xlfn.BINOM.INV(1, C$22, RAND())&gt;0, K167*2, C$23), IF(_xlfn.BINOM.INV(1, C$21, RAND())&gt;0, K167, C$23))</f>
        <v>1</v>
      </c>
      <c r="M167" s="93">
        <f t="shared" ca="1" si="25"/>
        <v>4805</v>
      </c>
      <c r="N167" s="70">
        <f ca="1">IF(AND(K167=1, L167&gt;1), C$20, IF(AND(K167&gt;1, L167&gt;1), C$19, 0))</f>
        <v>0</v>
      </c>
      <c r="O167" s="67">
        <f ca="1">IF(D167=15%,C$18,C$17)</f>
        <v>0.03</v>
      </c>
      <c r="P167" s="93">
        <f t="shared" ca="1" si="26"/>
        <v>-856.25216132005096</v>
      </c>
      <c r="Q167" s="93">
        <f ca="1">J167*0.15 - C167*0.8 - C167*0.01</f>
        <v>-5082.3012533462061</v>
      </c>
      <c r="R167" s="66"/>
      <c r="AF167" s="66"/>
    </row>
    <row r="168" spans="1:32" x14ac:dyDescent="0.3">
      <c r="A168" s="51">
        <v>127</v>
      </c>
      <c r="B168" s="91">
        <f t="shared" ca="1" si="18"/>
        <v>0.17420797556118195</v>
      </c>
      <c r="C168" s="92">
        <f ca="1">VLOOKUP(B168,표4[#Data],3)</f>
        <v>1672.5106827944833</v>
      </c>
      <c r="D168" s="67">
        <f ca="1">IF(RAND()&gt;=D$15,C$15,C$16)</f>
        <v>0.15</v>
      </c>
      <c r="E168" s="93">
        <f ca="1">C168*D168</f>
        <v>250.87660241917249</v>
      </c>
      <c r="F168" s="70">
        <f t="shared" ca="1" si="20"/>
        <v>0.12</v>
      </c>
      <c r="G168" s="93">
        <f t="shared" ca="1" si="21"/>
        <v>2090.6383534931042</v>
      </c>
      <c r="H168" s="93">
        <f t="shared" ca="1" si="22"/>
        <v>2508.7660241917251</v>
      </c>
      <c r="I168" s="93">
        <f t="shared" ca="1" si="23"/>
        <v>3583.9514631310358</v>
      </c>
      <c r="J168" s="93">
        <f t="shared" ca="1" si="19"/>
        <v>23549</v>
      </c>
      <c r="K168" s="73">
        <f t="shared" ca="1" si="24"/>
        <v>1</v>
      </c>
      <c r="L168" s="73">
        <f ca="1">IF(K168=1, IF(_xlfn.BINOM.INV(1, C$22, RAND())&gt;0, K168*2, C$23), IF(_xlfn.BINOM.INV(1, C$21, RAND())&gt;0, K168, C$23))</f>
        <v>1</v>
      </c>
      <c r="M168" s="93">
        <f t="shared" ca="1" si="25"/>
        <v>23549</v>
      </c>
      <c r="N168" s="70">
        <f ca="1">IF(AND(K168=1, L168&gt;1), C$20, IF(AND(K168&gt;1, L168&gt;1), C$19, 0))</f>
        <v>0</v>
      </c>
      <c r="O168" s="67">
        <f ca="1">IF(D168=15%,C$18,C$17)</f>
        <v>0.05</v>
      </c>
      <c r="P168" s="93">
        <f t="shared" ca="1" si="26"/>
        <v>2104.0233975808278</v>
      </c>
      <c r="Q168" s="93">
        <f ca="1">J168*0.15 - C168*0.8 - C168*0.01</f>
        <v>2177.6163469364683</v>
      </c>
      <c r="R168" s="66"/>
      <c r="AF168" s="66"/>
    </row>
    <row r="169" spans="1:32" x14ac:dyDescent="0.3">
      <c r="A169" s="51">
        <v>128</v>
      </c>
      <c r="B169" s="91">
        <f t="shared" ca="1" si="18"/>
        <v>0.43365687516893214</v>
      </c>
      <c r="C169" s="92">
        <f ca="1">VLOOKUP(B169,표4[#Data],3)</f>
        <v>1672.5106827944833</v>
      </c>
      <c r="D169" s="67">
        <f ca="1">IF(RAND()&gt;=D$15,C$15,C$16)</f>
        <v>0.15</v>
      </c>
      <c r="E169" s="93">
        <f ca="1">C169*D169</f>
        <v>250.87660241917249</v>
      </c>
      <c r="F169" s="70">
        <f t="shared" ca="1" si="20"/>
        <v>0.12</v>
      </c>
      <c r="G169" s="93">
        <f t="shared" ca="1" si="21"/>
        <v>2090.6383534931042</v>
      </c>
      <c r="H169" s="93">
        <f t="shared" ca="1" si="22"/>
        <v>2508.7660241917251</v>
      </c>
      <c r="I169" s="93">
        <f t="shared" ca="1" si="23"/>
        <v>3583.9514631310358</v>
      </c>
      <c r="J169" s="93">
        <f t="shared" ca="1" si="19"/>
        <v>23652</v>
      </c>
      <c r="K169" s="73">
        <f t="shared" ca="1" si="24"/>
        <v>1</v>
      </c>
      <c r="L169" s="73">
        <f ca="1">IF(K169=1, IF(_xlfn.BINOM.INV(1, C$22, RAND())&gt;0, K169*2, C$23), IF(_xlfn.BINOM.INV(1, C$21, RAND())&gt;0, K169, C$23))</f>
        <v>1</v>
      </c>
      <c r="M169" s="93">
        <f t="shared" ca="1" si="25"/>
        <v>23652</v>
      </c>
      <c r="N169" s="70">
        <f ca="1">IF(AND(K169=1, L169&gt;1), C$20, IF(AND(K169&gt;1, L169&gt;1), C$19, 0))</f>
        <v>0</v>
      </c>
      <c r="O169" s="67">
        <f ca="1">IF(D169=15%,C$18,C$17)</f>
        <v>0.05</v>
      </c>
      <c r="P169" s="93">
        <f t="shared" ca="1" si="26"/>
        <v>2114.3233975808271</v>
      </c>
      <c r="Q169" s="93">
        <f ca="1">J169*0.15 - C169*0.8 - C169*0.01</f>
        <v>2193.0663469364681</v>
      </c>
      <c r="R169" s="66"/>
      <c r="AF169" s="66"/>
    </row>
    <row r="170" spans="1:32" x14ac:dyDescent="0.3">
      <c r="A170" s="51">
        <v>129</v>
      </c>
      <c r="B170" s="91">
        <f t="shared" ca="1" si="18"/>
        <v>0.72171399669332781</v>
      </c>
      <c r="C170" s="92">
        <f ca="1">VLOOKUP(B170,표4[#Data],3)</f>
        <v>7164.2608066002549</v>
      </c>
      <c r="D170" s="67">
        <f ca="1">IF(RAND()&gt;=D$15,C$15,C$16)</f>
        <v>0.15</v>
      </c>
      <c r="E170" s="93">
        <f ca="1">C170*D170</f>
        <v>1074.6391209900382</v>
      </c>
      <c r="F170" s="70">
        <f t="shared" ca="1" si="20"/>
        <v>0.12</v>
      </c>
      <c r="G170" s="93">
        <f t="shared" ca="1" si="21"/>
        <v>8955.3260082503184</v>
      </c>
      <c r="H170" s="93">
        <f t="shared" ca="1" si="22"/>
        <v>10746.391209900383</v>
      </c>
      <c r="I170" s="93">
        <f t="shared" ca="1" si="23"/>
        <v>15351.987442714833</v>
      </c>
      <c r="J170" s="93">
        <f t="shared" ca="1" si="19"/>
        <v>41591</v>
      </c>
      <c r="K170" s="73">
        <f t="shared" ca="1" si="24"/>
        <v>1</v>
      </c>
      <c r="L170" s="73">
        <f ca="1">IF(K170=1, IF(_xlfn.BINOM.INV(1, C$22, RAND())&gt;0, K170*2, C$23), IF(_xlfn.BINOM.INV(1, C$21, RAND())&gt;0, K170, C$23))</f>
        <v>1</v>
      </c>
      <c r="M170" s="93">
        <f t="shared" ca="1" si="25"/>
        <v>41591</v>
      </c>
      <c r="N170" s="70">
        <f ca="1">IF(AND(K170=1, L170&gt;1), C$20, IF(AND(K170&gt;1, L170&gt;1), C$19, 0))</f>
        <v>0</v>
      </c>
      <c r="O170" s="67">
        <f ca="1">IF(D170=15%,C$18,C$17)</f>
        <v>0.05</v>
      </c>
      <c r="P170" s="93">
        <f t="shared" ca="1" si="26"/>
        <v>3084.460879009961</v>
      </c>
      <c r="Q170" s="93">
        <f ca="1">J170*0.15 - C170*0.8 - C170*0.01</f>
        <v>435.59874665379317</v>
      </c>
      <c r="R170" s="66"/>
      <c r="AF170" s="66"/>
    </row>
    <row r="171" spans="1:32" x14ac:dyDescent="0.3">
      <c r="A171" s="51">
        <v>130</v>
      </c>
      <c r="B171" s="91">
        <f t="shared" ref="B171:B234" ca="1" si="27">RAND()</f>
        <v>0.97478218913800208</v>
      </c>
      <c r="C171" s="92">
        <f ca="1">VLOOKUP(B171,표4[#Data],3)</f>
        <v>22192.796279313508</v>
      </c>
      <c r="D171" s="67">
        <f ca="1">IF(RAND()&gt;=D$15,C$15,C$16)</f>
        <v>0.2</v>
      </c>
      <c r="E171" s="93">
        <f ca="1">C171*D171</f>
        <v>4438.5592558627022</v>
      </c>
      <c r="F171" s="70">
        <f t="shared" ca="1" si="20"/>
        <v>0.13</v>
      </c>
      <c r="G171" s="93">
        <f t="shared" ca="1" si="21"/>
        <v>34142.763506636169</v>
      </c>
      <c r="H171" s="93">
        <f t="shared" ca="1" si="22"/>
        <v>40350.538689660927</v>
      </c>
      <c r="I171" s="93">
        <f t="shared" ca="1" si="23"/>
        <v>55481.990698283778</v>
      </c>
      <c r="J171" s="93">
        <f t="shared" ref="J171:J234" ca="1" si="28">ROUND(IF(RAND()&lt;0.7,
    3200+(-4000*LN(RAND())),
    20000+(-10000*LN(RAND()))), 0)</f>
        <v>7041</v>
      </c>
      <c r="K171" s="73">
        <f t="shared" ca="1" si="24"/>
        <v>8</v>
      </c>
      <c r="L171" s="73">
        <f ca="1">IF(K171=1, IF(_xlfn.BINOM.INV(1, C$22, RAND())&gt;0, K171*2, C$23), IF(_xlfn.BINOM.INV(1, C$21, RAND())&gt;0, K171, C$23))</f>
        <v>1</v>
      </c>
      <c r="M171" s="93">
        <f t="shared" ca="1" si="25"/>
        <v>7041</v>
      </c>
      <c r="N171" s="70">
        <f ca="1">IF(AND(K171=1, L171&gt;1), C$20, IF(AND(K171&gt;1, L171&gt;1), C$19, 0))</f>
        <v>0</v>
      </c>
      <c r="O171" s="67">
        <f ca="1">IF(D171=15%,C$18,C$17)</f>
        <v>0.03</v>
      </c>
      <c r="P171" s="93">
        <f t="shared" ca="1" si="26"/>
        <v>-3593.6392558627026</v>
      </c>
      <c r="Q171" s="93">
        <f ca="1">J171*0.15 - C171*0.8 - C171*0.01</f>
        <v>-16920.014986243943</v>
      </c>
      <c r="R171" s="66"/>
      <c r="AF171" s="66"/>
    </row>
    <row r="172" spans="1:32" x14ac:dyDescent="0.3">
      <c r="A172" s="51">
        <v>131</v>
      </c>
      <c r="B172" s="91">
        <f t="shared" ca="1" si="27"/>
        <v>0.20411374970222873</v>
      </c>
      <c r="C172" s="92">
        <f ca="1">VLOOKUP(B172,표4[#Data],3)</f>
        <v>1672.5106827944833</v>
      </c>
      <c r="D172" s="67">
        <f ca="1">IF(RAND()&gt;=D$15,C$15,C$16)</f>
        <v>0.2</v>
      </c>
      <c r="E172" s="93">
        <f ca="1">C172*D172</f>
        <v>334.50213655889667</v>
      </c>
      <c r="F172" s="70">
        <f t="shared" ca="1" si="20"/>
        <v>0.13</v>
      </c>
      <c r="G172" s="93">
        <f t="shared" ca="1" si="21"/>
        <v>2573.0933581453587</v>
      </c>
      <c r="H172" s="93">
        <f t="shared" ca="1" si="22"/>
        <v>3040.9285141717878</v>
      </c>
      <c r="I172" s="93">
        <f t="shared" ca="1" si="23"/>
        <v>4181.2767069862084</v>
      </c>
      <c r="J172" s="93">
        <f t="shared" ca="1" si="28"/>
        <v>27575</v>
      </c>
      <c r="K172" s="73">
        <f t="shared" ca="1" si="24"/>
        <v>1</v>
      </c>
      <c r="L172" s="73">
        <f ca="1">IF(K172=1, IF(_xlfn.BINOM.INV(1, C$22, RAND())&gt;0, K172*2, C$23), IF(_xlfn.BINOM.INV(1, C$21, RAND())&gt;0, K172, C$23))</f>
        <v>1</v>
      </c>
      <c r="M172" s="93">
        <f t="shared" ca="1" si="25"/>
        <v>27575</v>
      </c>
      <c r="N172" s="70">
        <f ca="1">IF(AND(K172=1, L172&gt;1), C$20, IF(AND(K172&gt;1, L172&gt;1), C$19, 0))</f>
        <v>0</v>
      </c>
      <c r="O172" s="67">
        <f ca="1">IF(D172=15%,C$18,C$17)</f>
        <v>0.03</v>
      </c>
      <c r="P172" s="93">
        <f t="shared" ca="1" si="26"/>
        <v>2974.4978634411032</v>
      </c>
      <c r="Q172" s="93">
        <f ca="1">J172*0.15 - C172*0.8 - C172*0.01</f>
        <v>2781.5163469364688</v>
      </c>
      <c r="R172" s="66"/>
      <c r="AF172" s="66"/>
    </row>
    <row r="173" spans="1:32" x14ac:dyDescent="0.3">
      <c r="A173" s="51">
        <v>132</v>
      </c>
      <c r="B173" s="91">
        <f t="shared" ca="1" si="27"/>
        <v>0.93959633875006066</v>
      </c>
      <c r="C173" s="92">
        <f ca="1">VLOOKUP(B173,표4[#Data],3)</f>
        <v>17243.006404326479</v>
      </c>
      <c r="D173" s="67">
        <f ca="1">IF(RAND()&gt;=D$15,C$15,C$16)</f>
        <v>0.15</v>
      </c>
      <c r="E173" s="93">
        <f ca="1">C173*D173</f>
        <v>2586.4509606489719</v>
      </c>
      <c r="F173" s="70">
        <f t="shared" ca="1" si="20"/>
        <v>0.12</v>
      </c>
      <c r="G173" s="93">
        <f t="shared" ca="1" si="21"/>
        <v>21553.758005408101</v>
      </c>
      <c r="H173" s="93">
        <f t="shared" ca="1" si="22"/>
        <v>25864.509606489723</v>
      </c>
      <c r="I173" s="93">
        <f t="shared" ca="1" si="23"/>
        <v>36949.299437842463</v>
      </c>
      <c r="J173" s="93">
        <f t="shared" ca="1" si="28"/>
        <v>6866</v>
      </c>
      <c r="K173" s="73">
        <f t="shared" ca="1" si="24"/>
        <v>5</v>
      </c>
      <c r="L173" s="73">
        <f ca="1">IF(K173=1, IF(_xlfn.BINOM.INV(1, C$22, RAND())&gt;0, K173*2, C$23), IF(_xlfn.BINOM.INV(1, C$21, RAND())&gt;0, K173, C$23))</f>
        <v>1</v>
      </c>
      <c r="M173" s="93">
        <f t="shared" ca="1" si="25"/>
        <v>6866</v>
      </c>
      <c r="N173" s="70">
        <f ca="1">IF(AND(K173=1, L173&gt;1), C$20, IF(AND(K173&gt;1, L173&gt;1), C$19, 0))</f>
        <v>0</v>
      </c>
      <c r="O173" s="67">
        <f ca="1">IF(D173=15%,C$18,C$17)</f>
        <v>0.05</v>
      </c>
      <c r="P173" s="93">
        <f t="shared" ca="1" si="26"/>
        <v>-1899.850960648972</v>
      </c>
      <c r="Q173" s="93">
        <f ca="1">J173*0.15 - C173*0.8 - C173*0.01</f>
        <v>-12936.935187504449</v>
      </c>
      <c r="R173" s="66"/>
      <c r="AF173" s="66"/>
    </row>
    <row r="174" spans="1:32" x14ac:dyDescent="0.3">
      <c r="A174" s="51">
        <v>133</v>
      </c>
      <c r="B174" s="91">
        <f t="shared" ca="1" si="27"/>
        <v>0.19233373506831508</v>
      </c>
      <c r="C174" s="92">
        <f ca="1">VLOOKUP(B174,표4[#Data],3)</f>
        <v>1672.5106827944833</v>
      </c>
      <c r="D174" s="67">
        <f ca="1">IF(RAND()&gt;=D$15,C$15,C$16)</f>
        <v>0.2</v>
      </c>
      <c r="E174" s="93">
        <f ca="1">C174*D174</f>
        <v>334.50213655889667</v>
      </c>
      <c r="F174" s="70">
        <f t="shared" ca="1" si="20"/>
        <v>0.13</v>
      </c>
      <c r="G174" s="93">
        <f t="shared" ca="1" si="21"/>
        <v>2573.0933581453587</v>
      </c>
      <c r="H174" s="93">
        <f t="shared" ca="1" si="22"/>
        <v>3040.9285141717878</v>
      </c>
      <c r="I174" s="93">
        <f t="shared" ca="1" si="23"/>
        <v>4181.2767069862084</v>
      </c>
      <c r="J174" s="93">
        <f t="shared" ca="1" si="28"/>
        <v>3634</v>
      </c>
      <c r="K174" s="73">
        <f t="shared" ca="1" si="24"/>
        <v>1</v>
      </c>
      <c r="L174" s="73">
        <f ca="1">IF(K174=1, IF(_xlfn.BINOM.INV(1, C$22, RAND())&gt;0, K174*2, C$23), IF(_xlfn.BINOM.INV(1, C$21, RAND())&gt;0, K174, C$23))</f>
        <v>2</v>
      </c>
      <c r="M174" s="93">
        <f t="shared" ca="1" si="25"/>
        <v>7268</v>
      </c>
      <c r="N174" s="70">
        <f ca="1">IF(AND(K174=1, L174&gt;1), C$20, IF(AND(K174&gt;1, L174&gt;1), C$19, 0))</f>
        <v>0.02</v>
      </c>
      <c r="O174" s="67">
        <f ca="1">IF(D174=15%,C$18,C$17)</f>
        <v>0.03</v>
      </c>
      <c r="P174" s="93">
        <f t="shared" ca="1" si="26"/>
        <v>392.29786344110346</v>
      </c>
      <c r="Q174" s="93">
        <f ca="1">J174*0.15 - C174*0.8 - C174*0.01</f>
        <v>-809.63365306353148</v>
      </c>
      <c r="R174" s="66"/>
      <c r="AF174" s="66"/>
    </row>
    <row r="175" spans="1:32" x14ac:dyDescent="0.3">
      <c r="A175" s="51">
        <v>134</v>
      </c>
      <c r="B175" s="91">
        <f t="shared" ca="1" si="27"/>
        <v>0.99627703849085969</v>
      </c>
      <c r="C175" s="92">
        <f ca="1">VLOOKUP(B175,표4[#Data],3)</f>
        <v>32146.038888888888</v>
      </c>
      <c r="D175" s="67">
        <f ca="1">IF(RAND()&gt;=D$15,C$15,C$16)</f>
        <v>0.15</v>
      </c>
      <c r="E175" s="93">
        <f ca="1">C175*D175</f>
        <v>4821.9058333333332</v>
      </c>
      <c r="F175" s="70">
        <f t="shared" ca="1" si="20"/>
        <v>0.12</v>
      </c>
      <c r="G175" s="93">
        <f t="shared" ca="1" si="21"/>
        <v>40182.548611111109</v>
      </c>
      <c r="H175" s="93">
        <f t="shared" ca="1" si="22"/>
        <v>48219.058333333334</v>
      </c>
      <c r="I175" s="93">
        <f t="shared" ca="1" si="23"/>
        <v>68884.369047619053</v>
      </c>
      <c r="J175" s="93">
        <f t="shared" ca="1" si="28"/>
        <v>11147</v>
      </c>
      <c r="K175" s="73">
        <f t="shared" ca="1" si="24"/>
        <v>6</v>
      </c>
      <c r="L175" s="73">
        <f ca="1">IF(K175=1, IF(_xlfn.BINOM.INV(1, C$22, RAND())&gt;0, K175*2, C$23), IF(_xlfn.BINOM.INV(1, C$21, RAND())&gt;0, K175, C$23))</f>
        <v>1</v>
      </c>
      <c r="M175" s="93">
        <f t="shared" ca="1" si="25"/>
        <v>11147</v>
      </c>
      <c r="N175" s="70">
        <f ca="1">IF(AND(K175=1, L175&gt;1), C$20, IF(AND(K175&gt;1, L175&gt;1), C$19, 0))</f>
        <v>0</v>
      </c>
      <c r="O175" s="67">
        <f ca="1">IF(D175=15%,C$18,C$17)</f>
        <v>0.05</v>
      </c>
      <c r="P175" s="93">
        <f t="shared" ca="1" si="26"/>
        <v>-3707.205833333333</v>
      </c>
      <c r="Q175" s="93">
        <f ca="1">J175*0.15 - C175*0.8 - C175*0.01</f>
        <v>-24366.2415</v>
      </c>
      <c r="R175" s="66"/>
      <c r="AF175" s="66"/>
    </row>
    <row r="176" spans="1:32" x14ac:dyDescent="0.3">
      <c r="A176" s="51">
        <v>135</v>
      </c>
      <c r="B176" s="91">
        <f t="shared" ca="1" si="27"/>
        <v>0.47928249290591762</v>
      </c>
      <c r="C176" s="92">
        <f ca="1">VLOOKUP(B176,표4[#Data],3)</f>
        <v>1672.5106827944833</v>
      </c>
      <c r="D176" s="67">
        <f ca="1">IF(RAND()&gt;=D$15,C$15,C$16)</f>
        <v>0.15</v>
      </c>
      <c r="E176" s="93">
        <f ca="1">C176*D176</f>
        <v>250.87660241917249</v>
      </c>
      <c r="F176" s="70">
        <f t="shared" ca="1" si="20"/>
        <v>0.12</v>
      </c>
      <c r="G176" s="93">
        <f t="shared" ca="1" si="21"/>
        <v>2090.6383534931042</v>
      </c>
      <c r="H176" s="93">
        <f t="shared" ca="1" si="22"/>
        <v>2508.7660241917251</v>
      </c>
      <c r="I176" s="93">
        <f t="shared" ca="1" si="23"/>
        <v>3583.9514631310358</v>
      </c>
      <c r="J176" s="93">
        <f t="shared" ca="1" si="28"/>
        <v>6711</v>
      </c>
      <c r="K176" s="73">
        <f t="shared" ca="1" si="24"/>
        <v>1</v>
      </c>
      <c r="L176" s="73">
        <f ca="1">IF(K176=1, IF(_xlfn.BINOM.INV(1, C$22, RAND())&gt;0, K176*2, C$23), IF(_xlfn.BINOM.INV(1, C$21, RAND())&gt;0, K176, C$23))</f>
        <v>1</v>
      </c>
      <c r="M176" s="93">
        <f t="shared" ca="1" si="25"/>
        <v>6711</v>
      </c>
      <c r="N176" s="70">
        <f ca="1">IF(AND(K176=1, L176&gt;1), C$20, IF(AND(K176&gt;1, L176&gt;1), C$19, 0))</f>
        <v>0</v>
      </c>
      <c r="O176" s="67">
        <f ca="1">IF(D176=15%,C$18,C$17)</f>
        <v>0.05</v>
      </c>
      <c r="P176" s="93">
        <f t="shared" ca="1" si="26"/>
        <v>420.22339758082745</v>
      </c>
      <c r="Q176" s="93">
        <f ca="1">J176*0.15 - C176*0.8 - C176*0.01</f>
        <v>-348.08365306353153</v>
      </c>
      <c r="R176" s="66"/>
      <c r="AF176" s="66"/>
    </row>
    <row r="177" spans="1:32" x14ac:dyDescent="0.3">
      <c r="A177" s="51">
        <v>136</v>
      </c>
      <c r="B177" s="91">
        <f t="shared" ca="1" si="27"/>
        <v>0.37376646162206661</v>
      </c>
      <c r="C177" s="92">
        <f ca="1">VLOOKUP(B177,표4[#Data],3)</f>
        <v>1672.5106827944833</v>
      </c>
      <c r="D177" s="67">
        <f ca="1">IF(RAND()&gt;=D$15,C$15,C$16)</f>
        <v>0.2</v>
      </c>
      <c r="E177" s="93">
        <f ca="1">C177*D177</f>
        <v>334.50213655889667</v>
      </c>
      <c r="F177" s="70">
        <f t="shared" ca="1" si="20"/>
        <v>0.13</v>
      </c>
      <c r="G177" s="93">
        <f t="shared" ca="1" si="21"/>
        <v>2573.0933581453587</v>
      </c>
      <c r="H177" s="93">
        <f t="shared" ca="1" si="22"/>
        <v>3040.9285141717878</v>
      </c>
      <c r="I177" s="93">
        <f t="shared" ca="1" si="23"/>
        <v>4181.2767069862084</v>
      </c>
      <c r="J177" s="93">
        <f t="shared" ca="1" si="28"/>
        <v>6164</v>
      </c>
      <c r="K177" s="73">
        <f t="shared" ca="1" si="24"/>
        <v>1</v>
      </c>
      <c r="L177" s="73">
        <f ca="1">IF(K177=1, IF(_xlfn.BINOM.INV(1, C$22, RAND())&gt;0, K177*2, C$23), IF(_xlfn.BINOM.INV(1, C$21, RAND())&gt;0, K177, C$23))</f>
        <v>1</v>
      </c>
      <c r="M177" s="93">
        <f t="shared" ca="1" si="25"/>
        <v>6164</v>
      </c>
      <c r="N177" s="70">
        <f ca="1">IF(AND(K177=1, L177&gt;1), C$20, IF(AND(K177&gt;1, L177&gt;1), C$19, 0))</f>
        <v>0</v>
      </c>
      <c r="O177" s="67">
        <f ca="1">IF(D177=15%,C$18,C$17)</f>
        <v>0.03</v>
      </c>
      <c r="P177" s="93">
        <f t="shared" ca="1" si="26"/>
        <v>405.17786344110334</v>
      </c>
      <c r="Q177" s="93">
        <f ca="1">J177*0.15 - C177*0.8 - C177*0.01</f>
        <v>-430.1336530635316</v>
      </c>
      <c r="R177" s="66"/>
      <c r="AF177" s="66"/>
    </row>
    <row r="178" spans="1:32" x14ac:dyDescent="0.3">
      <c r="A178" s="51">
        <v>137</v>
      </c>
      <c r="B178" s="91">
        <f t="shared" ca="1" si="27"/>
        <v>0.89106833729862744</v>
      </c>
      <c r="C178" s="92">
        <f ca="1">VLOOKUP(B178,표4[#Data],3)</f>
        <v>12285.574360263015</v>
      </c>
      <c r="D178" s="67">
        <f ca="1">IF(RAND()&gt;=D$15,C$15,C$16)</f>
        <v>0.2</v>
      </c>
      <c r="E178" s="93">
        <f ca="1">C178*D178</f>
        <v>2457.1148720526035</v>
      </c>
      <c r="F178" s="70">
        <f t="shared" ca="1" si="20"/>
        <v>0.13</v>
      </c>
      <c r="G178" s="93">
        <f t="shared" ca="1" si="21"/>
        <v>18900.883631173871</v>
      </c>
      <c r="H178" s="93">
        <f t="shared" ca="1" si="22"/>
        <v>22337.407927750941</v>
      </c>
      <c r="I178" s="93">
        <f t="shared" ca="1" si="23"/>
        <v>30713.935900657543</v>
      </c>
      <c r="J178" s="93">
        <f t="shared" ca="1" si="28"/>
        <v>19024</v>
      </c>
      <c r="K178" s="73">
        <f t="shared" ca="1" si="24"/>
        <v>1</v>
      </c>
      <c r="L178" s="73">
        <f ca="1">IF(K178=1, IF(_xlfn.BINOM.INV(1, C$22, RAND())&gt;0, K178*2, C$23), IF(_xlfn.BINOM.INV(1, C$21, RAND())&gt;0, K178, C$23))</f>
        <v>1</v>
      </c>
      <c r="M178" s="93">
        <f t="shared" ca="1" si="25"/>
        <v>19024</v>
      </c>
      <c r="N178" s="70">
        <f ca="1">IF(AND(K178=1, L178&gt;1), C$20, IF(AND(K178&gt;1, L178&gt;1), C$19, 0))</f>
        <v>0</v>
      </c>
      <c r="O178" s="67">
        <f ca="1">IF(D178=15%,C$18,C$17)</f>
        <v>0.03</v>
      </c>
      <c r="P178" s="93">
        <f t="shared" ca="1" si="26"/>
        <v>-174.23487205260358</v>
      </c>
      <c r="Q178" s="93">
        <f ca="1">J178*0.15 - C178*0.8 - C178*0.01</f>
        <v>-7097.7152318130438</v>
      </c>
      <c r="R178" s="66"/>
      <c r="AF178" s="66"/>
    </row>
    <row r="179" spans="1:32" x14ac:dyDescent="0.3">
      <c r="A179" s="51">
        <v>138</v>
      </c>
      <c r="B179" s="91">
        <f t="shared" ca="1" si="27"/>
        <v>0.6444480310454952</v>
      </c>
      <c r="C179" s="92">
        <f ca="1">VLOOKUP(B179,표4[#Data],3)</f>
        <v>1672.5106827944833</v>
      </c>
      <c r="D179" s="67">
        <f ca="1">IF(RAND()&gt;=D$15,C$15,C$16)</f>
        <v>0.15</v>
      </c>
      <c r="E179" s="93">
        <f ca="1">C179*D179</f>
        <v>250.87660241917249</v>
      </c>
      <c r="F179" s="70">
        <f t="shared" ca="1" si="20"/>
        <v>0.12</v>
      </c>
      <c r="G179" s="93">
        <f t="shared" ca="1" si="21"/>
        <v>2090.6383534931042</v>
      </c>
      <c r="H179" s="93">
        <f t="shared" ca="1" si="22"/>
        <v>2508.7660241917251</v>
      </c>
      <c r="I179" s="93">
        <f t="shared" ca="1" si="23"/>
        <v>3583.9514631310358</v>
      </c>
      <c r="J179" s="93">
        <f t="shared" ca="1" si="28"/>
        <v>9952</v>
      </c>
      <c r="K179" s="73">
        <f t="shared" ca="1" si="24"/>
        <v>1</v>
      </c>
      <c r="L179" s="73">
        <f ca="1">IF(K179=1, IF(_xlfn.BINOM.INV(1, C$22, RAND())&gt;0, K179*2, C$23), IF(_xlfn.BINOM.INV(1, C$21, RAND())&gt;0, K179, C$23))</f>
        <v>1</v>
      </c>
      <c r="M179" s="93">
        <f t="shared" ca="1" si="25"/>
        <v>9952</v>
      </c>
      <c r="N179" s="70">
        <f ca="1">IF(AND(K179=1, L179&gt;1), C$20, IF(AND(K179&gt;1, L179&gt;1), C$19, 0))</f>
        <v>0</v>
      </c>
      <c r="O179" s="67">
        <f ca="1">IF(D179=15%,C$18,C$17)</f>
        <v>0.05</v>
      </c>
      <c r="P179" s="93">
        <f t="shared" ca="1" si="26"/>
        <v>744.32339758082742</v>
      </c>
      <c r="Q179" s="93">
        <f ca="1">J179*0.15 - C179*0.8 - C179*0.01</f>
        <v>138.06634693646845</v>
      </c>
      <c r="R179" s="66"/>
      <c r="AF179" s="66"/>
    </row>
    <row r="180" spans="1:32" x14ac:dyDescent="0.3">
      <c r="A180" s="51">
        <v>139</v>
      </c>
      <c r="B180" s="91">
        <f t="shared" ca="1" si="27"/>
        <v>0.23056766334893075</v>
      </c>
      <c r="C180" s="92">
        <f ca="1">VLOOKUP(B180,표4[#Data],3)</f>
        <v>1672.5106827944833</v>
      </c>
      <c r="D180" s="67">
        <f ca="1">IF(RAND()&gt;=D$15,C$15,C$16)</f>
        <v>0.15</v>
      </c>
      <c r="E180" s="93">
        <f ca="1">C180*D180</f>
        <v>250.87660241917249</v>
      </c>
      <c r="F180" s="70">
        <f t="shared" ca="1" si="20"/>
        <v>0.12</v>
      </c>
      <c r="G180" s="93">
        <f t="shared" ca="1" si="21"/>
        <v>2090.6383534931042</v>
      </c>
      <c r="H180" s="93">
        <f t="shared" ca="1" si="22"/>
        <v>2508.7660241917251</v>
      </c>
      <c r="I180" s="93">
        <f t="shared" ca="1" si="23"/>
        <v>3583.9514631310358</v>
      </c>
      <c r="J180" s="93">
        <f t="shared" ca="1" si="28"/>
        <v>24665</v>
      </c>
      <c r="K180" s="73">
        <f t="shared" ca="1" si="24"/>
        <v>1</v>
      </c>
      <c r="L180" s="73">
        <f ca="1">IF(K180=1, IF(_xlfn.BINOM.INV(1, C$22, RAND())&gt;0, K180*2, C$23), IF(_xlfn.BINOM.INV(1, C$21, RAND())&gt;0, K180, C$23))</f>
        <v>1</v>
      </c>
      <c r="M180" s="93">
        <f t="shared" ca="1" si="25"/>
        <v>24665</v>
      </c>
      <c r="N180" s="70">
        <f ca="1">IF(AND(K180=1, L180&gt;1), C$20, IF(AND(K180&gt;1, L180&gt;1), C$19, 0))</f>
        <v>0</v>
      </c>
      <c r="O180" s="67">
        <f ca="1">IF(D180=15%,C$18,C$17)</f>
        <v>0.05</v>
      </c>
      <c r="P180" s="93">
        <f t="shared" ca="1" si="26"/>
        <v>2215.6233975808277</v>
      </c>
      <c r="Q180" s="93">
        <f ca="1">J180*0.15 - C180*0.8 - C180*0.01</f>
        <v>2345.0163469364688</v>
      </c>
      <c r="R180" s="66"/>
      <c r="AF180" s="66"/>
    </row>
    <row r="181" spans="1:32" x14ac:dyDescent="0.3">
      <c r="A181" s="51">
        <v>140</v>
      </c>
      <c r="B181" s="91">
        <f t="shared" ca="1" si="27"/>
        <v>0.7976808804715233</v>
      </c>
      <c r="C181" s="92">
        <f ca="1">VLOOKUP(B181,표4[#Data],3)</f>
        <v>7164.2608066002549</v>
      </c>
      <c r="D181" s="67">
        <f ca="1">IF(RAND()&gt;=D$15,C$15,C$16)</f>
        <v>0.2</v>
      </c>
      <c r="E181" s="93">
        <f ca="1">C181*D181</f>
        <v>1432.852161320051</v>
      </c>
      <c r="F181" s="70">
        <f t="shared" ca="1" si="20"/>
        <v>0.13</v>
      </c>
      <c r="G181" s="93">
        <f t="shared" ca="1" si="21"/>
        <v>11021.93970246193</v>
      </c>
      <c r="H181" s="93">
        <f t="shared" ca="1" si="22"/>
        <v>13025.928739273191</v>
      </c>
      <c r="I181" s="93">
        <f t="shared" ca="1" si="23"/>
        <v>17910.652016500637</v>
      </c>
      <c r="J181" s="93">
        <f t="shared" ca="1" si="28"/>
        <v>4379</v>
      </c>
      <c r="K181" s="73">
        <f t="shared" ca="1" si="24"/>
        <v>4</v>
      </c>
      <c r="L181" s="73">
        <f ca="1">IF(K181=1, IF(_xlfn.BINOM.INV(1, C$22, RAND())&gt;0, K181*2, C$23), IF(_xlfn.BINOM.INV(1, C$21, RAND())&gt;0, K181, C$23))</f>
        <v>1</v>
      </c>
      <c r="M181" s="93">
        <f t="shared" ca="1" si="25"/>
        <v>4379</v>
      </c>
      <c r="N181" s="70">
        <f ca="1">IF(AND(K181=1, L181&gt;1), C$20, IF(AND(K181&gt;1, L181&gt;1), C$19, 0))</f>
        <v>0</v>
      </c>
      <c r="O181" s="67">
        <f ca="1">IF(D181=15%,C$18,C$17)</f>
        <v>0.03</v>
      </c>
      <c r="P181" s="93">
        <f t="shared" ca="1" si="26"/>
        <v>-907.37216132005096</v>
      </c>
      <c r="Q181" s="93">
        <f ca="1">J181*0.15 - C181*0.8 - C181*0.01</f>
        <v>-5146.2012533462057</v>
      </c>
      <c r="R181" s="66"/>
      <c r="AF181" s="66"/>
    </row>
    <row r="182" spans="1:32" x14ac:dyDescent="0.3">
      <c r="A182" s="51">
        <v>141</v>
      </c>
      <c r="B182" s="91">
        <f t="shared" ca="1" si="27"/>
        <v>0.90050021926510049</v>
      </c>
      <c r="C182" s="92">
        <f ca="1">VLOOKUP(B182,표4[#Data],3)</f>
        <v>17243.006404326479</v>
      </c>
      <c r="D182" s="67">
        <f ca="1">IF(RAND()&gt;=D$15,C$15,C$16)</f>
        <v>0.15</v>
      </c>
      <c r="E182" s="93">
        <f ca="1">C182*D182</f>
        <v>2586.4509606489719</v>
      </c>
      <c r="F182" s="70">
        <f t="shared" ca="1" si="20"/>
        <v>0.12</v>
      </c>
      <c r="G182" s="93">
        <f t="shared" ca="1" si="21"/>
        <v>21553.758005408101</v>
      </c>
      <c r="H182" s="93">
        <f t="shared" ca="1" si="22"/>
        <v>25864.509606489723</v>
      </c>
      <c r="I182" s="93">
        <f t="shared" ca="1" si="23"/>
        <v>36949.299437842463</v>
      </c>
      <c r="J182" s="93">
        <f t="shared" ca="1" si="28"/>
        <v>7748</v>
      </c>
      <c r="K182" s="73">
        <f t="shared" ca="1" si="24"/>
        <v>5</v>
      </c>
      <c r="L182" s="73">
        <f ca="1">IF(K182=1, IF(_xlfn.BINOM.INV(1, C$22, RAND())&gt;0, K182*2, C$23), IF(_xlfn.BINOM.INV(1, C$21, RAND())&gt;0, K182, C$23))</f>
        <v>1</v>
      </c>
      <c r="M182" s="93">
        <f t="shared" ca="1" si="25"/>
        <v>7748</v>
      </c>
      <c r="N182" s="70">
        <f ca="1">IF(AND(K182=1, L182&gt;1), C$20, IF(AND(K182&gt;1, L182&gt;1), C$19, 0))</f>
        <v>0</v>
      </c>
      <c r="O182" s="67">
        <f ca="1">IF(D182=15%,C$18,C$17)</f>
        <v>0.05</v>
      </c>
      <c r="P182" s="93">
        <f t="shared" ca="1" si="26"/>
        <v>-1811.6509606489719</v>
      </c>
      <c r="Q182" s="93">
        <f ca="1">J182*0.15 - C182*0.8 - C182*0.01</f>
        <v>-12804.635187504447</v>
      </c>
      <c r="R182" s="66"/>
      <c r="AF182" s="66"/>
    </row>
    <row r="183" spans="1:32" x14ac:dyDescent="0.3">
      <c r="A183" s="51">
        <v>142</v>
      </c>
      <c r="B183" s="91">
        <f t="shared" ca="1" si="27"/>
        <v>0.81798683234981218</v>
      </c>
      <c r="C183" s="92">
        <f ca="1">VLOOKUP(B183,표4[#Data],3)</f>
        <v>12285.574360263015</v>
      </c>
      <c r="D183" s="67">
        <f ca="1">IF(RAND()&gt;=D$15,C$15,C$16)</f>
        <v>0.2</v>
      </c>
      <c r="E183" s="93">
        <f ca="1">C183*D183</f>
        <v>2457.1148720526035</v>
      </c>
      <c r="F183" s="70">
        <f t="shared" ca="1" si="20"/>
        <v>0.13</v>
      </c>
      <c r="G183" s="93">
        <f t="shared" ca="1" si="21"/>
        <v>18900.883631173871</v>
      </c>
      <c r="H183" s="93">
        <f t="shared" ca="1" si="22"/>
        <v>22337.407927750941</v>
      </c>
      <c r="I183" s="93">
        <f t="shared" ca="1" si="23"/>
        <v>30713.935900657543</v>
      </c>
      <c r="J183" s="93">
        <f t="shared" ca="1" si="28"/>
        <v>39291</v>
      </c>
      <c r="K183" s="73">
        <f t="shared" ca="1" si="24"/>
        <v>1</v>
      </c>
      <c r="L183" s="73">
        <f ca="1">IF(K183=1, IF(_xlfn.BINOM.INV(1, C$22, RAND())&gt;0, K183*2, C$23), IF(_xlfn.BINOM.INV(1, C$21, RAND())&gt;0, K183, C$23))</f>
        <v>1</v>
      </c>
      <c r="M183" s="93">
        <f t="shared" ca="1" si="25"/>
        <v>39291</v>
      </c>
      <c r="N183" s="70">
        <f ca="1">IF(AND(K183=1, L183&gt;1), C$20, IF(AND(K183&gt;1, L183&gt;1), C$19, 0))</f>
        <v>0</v>
      </c>
      <c r="O183" s="67">
        <f ca="1">IF(D183=15%,C$18,C$17)</f>
        <v>0.03</v>
      </c>
      <c r="P183" s="93">
        <f t="shared" ca="1" si="26"/>
        <v>2257.8051279473962</v>
      </c>
      <c r="Q183" s="93">
        <f ca="1">J183*0.15 - C183*0.8 - C183*0.01</f>
        <v>-4057.6652318130446</v>
      </c>
      <c r="R183" s="66"/>
      <c r="AF183" s="66"/>
    </row>
    <row r="184" spans="1:32" x14ac:dyDescent="0.3">
      <c r="A184" s="51">
        <v>143</v>
      </c>
      <c r="B184" s="91">
        <f t="shared" ca="1" si="27"/>
        <v>0.82972730677063611</v>
      </c>
      <c r="C184" s="92">
        <f ca="1">VLOOKUP(B184,표4[#Data],3)</f>
        <v>12285.574360263015</v>
      </c>
      <c r="D184" s="67">
        <f ca="1">IF(RAND()&gt;=D$15,C$15,C$16)</f>
        <v>0.15</v>
      </c>
      <c r="E184" s="93">
        <f ca="1">C184*D184</f>
        <v>1842.8361540394521</v>
      </c>
      <c r="F184" s="70">
        <f t="shared" ca="1" si="20"/>
        <v>0.12</v>
      </c>
      <c r="G184" s="93">
        <f t="shared" ca="1" si="21"/>
        <v>15356.967950328768</v>
      </c>
      <c r="H184" s="93">
        <f t="shared" ca="1" si="22"/>
        <v>18428.361540394522</v>
      </c>
      <c r="I184" s="93">
        <f t="shared" ca="1" si="23"/>
        <v>26326.230771992177</v>
      </c>
      <c r="J184" s="93">
        <f t="shared" ca="1" si="28"/>
        <v>24457</v>
      </c>
      <c r="K184" s="73">
        <f t="shared" ca="1" si="24"/>
        <v>1</v>
      </c>
      <c r="L184" s="73">
        <f ca="1">IF(K184=1, IF(_xlfn.BINOM.INV(1, C$22, RAND())&gt;0, K184*2, C$23), IF(_xlfn.BINOM.INV(1, C$21, RAND())&gt;0, K184, C$23))</f>
        <v>2</v>
      </c>
      <c r="M184" s="93">
        <f t="shared" ca="1" si="25"/>
        <v>48914</v>
      </c>
      <c r="N184" s="70">
        <f ca="1">IF(AND(K184=1, L184&gt;1), C$20, IF(AND(K184&gt;1, L184&gt;1), C$19, 0))</f>
        <v>0.02</v>
      </c>
      <c r="O184" s="67">
        <f ca="1">IF(D184=15%,C$18,C$17)</f>
        <v>0.05</v>
      </c>
      <c r="P184" s="93">
        <f t="shared" ca="1" si="26"/>
        <v>2070.2838459605478</v>
      </c>
      <c r="Q184" s="93">
        <f ca="1">J184*0.15 - C184*0.8 - C184*0.01</f>
        <v>-6282.7652318130449</v>
      </c>
      <c r="R184" s="66"/>
      <c r="AF184" s="66"/>
    </row>
    <row r="185" spans="1:32" x14ac:dyDescent="0.3">
      <c r="A185" s="51">
        <v>144</v>
      </c>
      <c r="B185" s="91">
        <f t="shared" ca="1" si="27"/>
        <v>0.87846419003920284</v>
      </c>
      <c r="C185" s="92">
        <f ca="1">VLOOKUP(B185,표4[#Data],3)</f>
        <v>12285.574360263015</v>
      </c>
      <c r="D185" s="67">
        <f ca="1">IF(RAND()&gt;=D$15,C$15,C$16)</f>
        <v>0.15</v>
      </c>
      <c r="E185" s="93">
        <f ca="1">C185*D185</f>
        <v>1842.8361540394521</v>
      </c>
      <c r="F185" s="70">
        <f t="shared" ca="1" si="20"/>
        <v>0.12</v>
      </c>
      <c r="G185" s="93">
        <f t="shared" ca="1" si="21"/>
        <v>15356.967950328768</v>
      </c>
      <c r="H185" s="93">
        <f t="shared" ca="1" si="22"/>
        <v>18428.361540394522</v>
      </c>
      <c r="I185" s="93">
        <f t="shared" ca="1" si="23"/>
        <v>26326.230771992177</v>
      </c>
      <c r="J185" s="93">
        <f t="shared" ca="1" si="28"/>
        <v>6578</v>
      </c>
      <c r="K185" s="73">
        <f t="shared" ca="1" si="24"/>
        <v>4</v>
      </c>
      <c r="L185" s="73">
        <f ca="1">IF(K185=1, IF(_xlfn.BINOM.INV(1, C$22, RAND())&gt;0, K185*2, C$23), IF(_xlfn.BINOM.INV(1, C$21, RAND())&gt;0, K185, C$23))</f>
        <v>1</v>
      </c>
      <c r="M185" s="93">
        <f t="shared" ca="1" si="25"/>
        <v>6578</v>
      </c>
      <c r="N185" s="70">
        <f ca="1">IF(AND(K185=1, L185&gt;1), C$20, IF(AND(K185&gt;1, L185&gt;1), C$19, 0))</f>
        <v>0</v>
      </c>
      <c r="O185" s="67">
        <f ca="1">IF(D185=15%,C$18,C$17)</f>
        <v>0.05</v>
      </c>
      <c r="P185" s="93">
        <f t="shared" ca="1" si="26"/>
        <v>-1185.0361540394522</v>
      </c>
      <c r="Q185" s="93">
        <f ca="1">J185*0.15 - C185*0.8 - C185*0.01</f>
        <v>-8964.6152318130426</v>
      </c>
      <c r="R185" s="66"/>
    </row>
    <row r="186" spans="1:32" x14ac:dyDescent="0.3">
      <c r="A186" s="51">
        <v>145</v>
      </c>
      <c r="B186" s="91">
        <f t="shared" ca="1" si="27"/>
        <v>0.62688695551964391</v>
      </c>
      <c r="C186" s="92">
        <f ca="1">VLOOKUP(B186,표4[#Data],3)</f>
        <v>1672.5106827944833</v>
      </c>
      <c r="D186" s="67">
        <f ca="1">IF(RAND()&gt;=D$15,C$15,C$16)</f>
        <v>0.15</v>
      </c>
      <c r="E186" s="93">
        <f ca="1">C186*D186</f>
        <v>250.87660241917249</v>
      </c>
      <c r="F186" s="70">
        <f t="shared" ca="1" si="20"/>
        <v>0.12</v>
      </c>
      <c r="G186" s="93">
        <f t="shared" ca="1" si="21"/>
        <v>2090.6383534931042</v>
      </c>
      <c r="H186" s="93">
        <f t="shared" ca="1" si="22"/>
        <v>2508.7660241917251</v>
      </c>
      <c r="I186" s="93">
        <f t="shared" ca="1" si="23"/>
        <v>3583.9514631310358</v>
      </c>
      <c r="J186" s="93">
        <f t="shared" ca="1" si="28"/>
        <v>13219</v>
      </c>
      <c r="K186" s="73">
        <f t="shared" ca="1" si="24"/>
        <v>1</v>
      </c>
      <c r="L186" s="73">
        <f ca="1">IF(K186=1, IF(_xlfn.BINOM.INV(1, C$22, RAND())&gt;0, K186*2, C$23), IF(_xlfn.BINOM.INV(1, C$21, RAND())&gt;0, K186, C$23))</f>
        <v>1</v>
      </c>
      <c r="M186" s="93">
        <f t="shared" ca="1" si="25"/>
        <v>13219</v>
      </c>
      <c r="N186" s="70">
        <f ca="1">IF(AND(K186=1, L186&gt;1), C$20, IF(AND(K186&gt;1, L186&gt;1), C$19, 0))</f>
        <v>0</v>
      </c>
      <c r="O186" s="67">
        <f ca="1">IF(D186=15%,C$18,C$17)</f>
        <v>0.05</v>
      </c>
      <c r="P186" s="93">
        <f t="shared" ca="1" si="26"/>
        <v>1071.0233975808273</v>
      </c>
      <c r="Q186" s="93">
        <f ca="1">J186*0.15 - C186*0.8 - C186*0.01</f>
        <v>628.1163469364684</v>
      </c>
      <c r="R186" s="66"/>
    </row>
    <row r="187" spans="1:32" x14ac:dyDescent="0.3">
      <c r="A187" s="51">
        <v>146</v>
      </c>
      <c r="B187" s="91">
        <f t="shared" ca="1" si="27"/>
        <v>0.80720049718164555</v>
      </c>
      <c r="C187" s="92">
        <f ca="1">VLOOKUP(B187,표4[#Data],3)</f>
        <v>7164.2608066002549</v>
      </c>
      <c r="D187" s="67">
        <f ca="1">IF(RAND()&gt;=D$15,C$15,C$16)</f>
        <v>0.15</v>
      </c>
      <c r="E187" s="93">
        <f ca="1">C187*D187</f>
        <v>1074.6391209900382</v>
      </c>
      <c r="F187" s="70">
        <f t="shared" ca="1" si="20"/>
        <v>0.12</v>
      </c>
      <c r="G187" s="93">
        <f t="shared" ca="1" si="21"/>
        <v>8955.3260082503184</v>
      </c>
      <c r="H187" s="93">
        <f t="shared" ca="1" si="22"/>
        <v>10746.391209900383</v>
      </c>
      <c r="I187" s="93">
        <f t="shared" ca="1" si="23"/>
        <v>15351.987442714833</v>
      </c>
      <c r="J187" s="93">
        <f t="shared" ca="1" si="28"/>
        <v>21744</v>
      </c>
      <c r="K187" s="73">
        <f t="shared" ca="1" si="24"/>
        <v>1</v>
      </c>
      <c r="L187" s="73">
        <f ca="1">IF(K187=1, IF(_xlfn.BINOM.INV(1, C$22, RAND())&gt;0, K187*2, C$23), IF(_xlfn.BINOM.INV(1, C$21, RAND())&gt;0, K187, C$23))</f>
        <v>1</v>
      </c>
      <c r="M187" s="93">
        <f t="shared" ca="1" si="25"/>
        <v>21744</v>
      </c>
      <c r="N187" s="70">
        <f ca="1">IF(AND(K187=1, L187&gt;1), C$20, IF(AND(K187&gt;1, L187&gt;1), C$19, 0))</f>
        <v>0</v>
      </c>
      <c r="O187" s="67">
        <f ca="1">IF(D187=15%,C$18,C$17)</f>
        <v>0.05</v>
      </c>
      <c r="P187" s="93">
        <f t="shared" ca="1" si="26"/>
        <v>1099.7608790099619</v>
      </c>
      <c r="Q187" s="93">
        <f ca="1">J187*0.15 - C187*0.8 - C187*0.01</f>
        <v>-2541.4512533462066</v>
      </c>
      <c r="R187" s="66"/>
    </row>
    <row r="188" spans="1:32" x14ac:dyDescent="0.3">
      <c r="A188" s="51">
        <v>147</v>
      </c>
      <c r="B188" s="91">
        <f t="shared" ca="1" si="27"/>
        <v>0.59517342361106285</v>
      </c>
      <c r="C188" s="92">
        <f ca="1">VLOOKUP(B188,표4[#Data],3)</f>
        <v>1672.5106827944833</v>
      </c>
      <c r="D188" s="67">
        <f ca="1">IF(RAND()&gt;=D$15,C$15,C$16)</f>
        <v>0.15</v>
      </c>
      <c r="E188" s="93">
        <f ca="1">C188*D188</f>
        <v>250.87660241917249</v>
      </c>
      <c r="F188" s="70">
        <f t="shared" ca="1" si="20"/>
        <v>0.12</v>
      </c>
      <c r="G188" s="93">
        <f t="shared" ca="1" si="21"/>
        <v>2090.6383534931042</v>
      </c>
      <c r="H188" s="93">
        <f t="shared" ca="1" si="22"/>
        <v>2508.7660241917251</v>
      </c>
      <c r="I188" s="93">
        <f t="shared" ca="1" si="23"/>
        <v>3583.9514631310358</v>
      </c>
      <c r="J188" s="93">
        <f t="shared" ca="1" si="28"/>
        <v>25692</v>
      </c>
      <c r="K188" s="73">
        <f t="shared" ca="1" si="24"/>
        <v>1</v>
      </c>
      <c r="L188" s="73">
        <f ca="1">IF(K188=1, IF(_xlfn.BINOM.INV(1, C$22, RAND())&gt;0, K188*2, C$23), IF(_xlfn.BINOM.INV(1, C$21, RAND())&gt;0, K188, C$23))</f>
        <v>1</v>
      </c>
      <c r="M188" s="93">
        <f t="shared" ca="1" si="25"/>
        <v>25692</v>
      </c>
      <c r="N188" s="70">
        <f ca="1">IF(AND(K188=1, L188&gt;1), C$20, IF(AND(K188&gt;1, L188&gt;1), C$19, 0))</f>
        <v>0</v>
      </c>
      <c r="O188" s="67">
        <f ca="1">IF(D188=15%,C$18,C$17)</f>
        <v>0.05</v>
      </c>
      <c r="P188" s="93">
        <f t="shared" ca="1" si="26"/>
        <v>2318.3233975808271</v>
      </c>
      <c r="Q188" s="93">
        <f ca="1">J188*0.15 - C188*0.8 - C188*0.01</f>
        <v>2499.0663469364681</v>
      </c>
      <c r="R188" s="66"/>
    </row>
    <row r="189" spans="1:32" x14ac:dyDescent="0.3">
      <c r="A189" s="51">
        <v>148</v>
      </c>
      <c r="B189" s="91">
        <f t="shared" ca="1" si="27"/>
        <v>0.49966014936544034</v>
      </c>
      <c r="C189" s="92">
        <f ca="1">VLOOKUP(B189,표4[#Data],3)</f>
        <v>1672.5106827944833</v>
      </c>
      <c r="D189" s="67">
        <f ca="1">IF(RAND()&gt;=D$15,C$15,C$16)</f>
        <v>0.15</v>
      </c>
      <c r="E189" s="93">
        <f ca="1">C189*D189</f>
        <v>250.87660241917249</v>
      </c>
      <c r="F189" s="70">
        <f t="shared" ca="1" si="20"/>
        <v>0.12</v>
      </c>
      <c r="G189" s="93">
        <f t="shared" ca="1" si="21"/>
        <v>2090.6383534931042</v>
      </c>
      <c r="H189" s="93">
        <f t="shared" ca="1" si="22"/>
        <v>2508.7660241917251</v>
      </c>
      <c r="I189" s="93">
        <f t="shared" ca="1" si="23"/>
        <v>3583.9514631310358</v>
      </c>
      <c r="J189" s="93">
        <f t="shared" ca="1" si="28"/>
        <v>32080</v>
      </c>
      <c r="K189" s="73">
        <f t="shared" ca="1" si="24"/>
        <v>1</v>
      </c>
      <c r="L189" s="73">
        <f ca="1">IF(K189=1, IF(_xlfn.BINOM.INV(1, C$22, RAND())&gt;0, K189*2, C$23), IF(_xlfn.BINOM.INV(1, C$21, RAND())&gt;0, K189, C$23))</f>
        <v>1</v>
      </c>
      <c r="M189" s="93">
        <f t="shared" ca="1" si="25"/>
        <v>32080</v>
      </c>
      <c r="N189" s="70">
        <f ca="1">IF(AND(K189=1, L189&gt;1), C$20, IF(AND(K189&gt;1, L189&gt;1), C$19, 0))</f>
        <v>0</v>
      </c>
      <c r="O189" s="67">
        <f ca="1">IF(D189=15%,C$18,C$17)</f>
        <v>0.05</v>
      </c>
      <c r="P189" s="93">
        <f t="shared" ca="1" si="26"/>
        <v>2957.1233975808273</v>
      </c>
      <c r="Q189" s="93">
        <f ca="1">J189*0.15 - C189*0.8 - C189*0.01</f>
        <v>3457.2663469364688</v>
      </c>
      <c r="R189" s="66"/>
    </row>
    <row r="190" spans="1:32" x14ac:dyDescent="0.3">
      <c r="A190" s="51">
        <v>149</v>
      </c>
      <c r="B190" s="91">
        <f t="shared" ca="1" si="27"/>
        <v>0.52387678508004465</v>
      </c>
      <c r="C190" s="92">
        <f ca="1">VLOOKUP(B190,표4[#Data],3)</f>
        <v>1672.5106827944833</v>
      </c>
      <c r="D190" s="67">
        <f ca="1">IF(RAND()&gt;=D$15,C$15,C$16)</f>
        <v>0.15</v>
      </c>
      <c r="E190" s="93">
        <f ca="1">C190*D190</f>
        <v>250.87660241917249</v>
      </c>
      <c r="F190" s="70">
        <f t="shared" ref="F190:F232" ca="1" si="29">15%-(IF(D190=20%,2%,3%))</f>
        <v>0.12</v>
      </c>
      <c r="G190" s="93">
        <f t="shared" ref="G190:G232" ca="1" si="30">E190/F190</f>
        <v>2090.6383534931042</v>
      </c>
      <c r="H190" s="93">
        <f t="shared" ref="H190:H232" ca="1" si="31">E190/(F190-2%)</f>
        <v>2508.7660241917251</v>
      </c>
      <c r="I190" s="93">
        <f t="shared" ref="I190:I232" ca="1" si="32">E190/(F190-5%)</f>
        <v>3583.9514631310358</v>
      </c>
      <c r="J190" s="93">
        <f t="shared" ca="1" si="28"/>
        <v>4377</v>
      </c>
      <c r="K190" s="73">
        <f t="shared" ref="K190:K232" ca="1" si="33">IF( G190/J190 &lt; 1, 1, ROUND(I190/J190,0))</f>
        <v>1</v>
      </c>
      <c r="L190" s="73">
        <f ca="1">IF(K190=1, IF(_xlfn.BINOM.INV(1, C$22, RAND())&gt;0, K190*2, C$23), IF(_xlfn.BINOM.INV(1, C$21, RAND())&gt;0, K190, C$23))</f>
        <v>1</v>
      </c>
      <c r="M190" s="93">
        <f t="shared" ref="M190:M232" ca="1" si="34">J190*L190</f>
        <v>4377</v>
      </c>
      <c r="N190" s="70">
        <f ca="1">IF(AND(K190=1, L190&gt;1), C$20, IF(AND(K190&gt;1, L190&gt;1), C$19, 0))</f>
        <v>0</v>
      </c>
      <c r="O190" s="67">
        <f ca="1">IF(D190=15%,C$18,C$17)</f>
        <v>0.05</v>
      </c>
      <c r="P190" s="93">
        <f t="shared" ref="P190:P232" ca="1" si="35">M190*15%-E190 -M190*N190-M190*O190</f>
        <v>186.82339758082742</v>
      </c>
      <c r="Q190" s="93">
        <f ca="1">J190*0.15 - C190*0.8 - C190*0.01</f>
        <v>-698.18365306353155</v>
      </c>
      <c r="R190" s="66"/>
    </row>
    <row r="191" spans="1:32" x14ac:dyDescent="0.3">
      <c r="A191" s="51">
        <v>150</v>
      </c>
      <c r="B191" s="91">
        <f t="shared" ca="1" si="27"/>
        <v>0.69833008437742528</v>
      </c>
      <c r="C191" s="92">
        <f ca="1">VLOOKUP(B191,표4[#Data],3)</f>
        <v>7164.2608066002549</v>
      </c>
      <c r="D191" s="67">
        <f ca="1">IF(RAND()&gt;=D$15,C$15,C$16)</f>
        <v>0.15</v>
      </c>
      <c r="E191" s="93">
        <f ca="1">C191*D191</f>
        <v>1074.6391209900382</v>
      </c>
      <c r="F191" s="70">
        <f t="shared" ca="1" si="29"/>
        <v>0.12</v>
      </c>
      <c r="G191" s="93">
        <f t="shared" ca="1" si="30"/>
        <v>8955.3260082503184</v>
      </c>
      <c r="H191" s="93">
        <f t="shared" ca="1" si="31"/>
        <v>10746.391209900383</v>
      </c>
      <c r="I191" s="93">
        <f t="shared" ca="1" si="32"/>
        <v>15351.987442714833</v>
      </c>
      <c r="J191" s="93">
        <f t="shared" ca="1" si="28"/>
        <v>22214</v>
      </c>
      <c r="K191" s="73">
        <f t="shared" ca="1" si="33"/>
        <v>1</v>
      </c>
      <c r="L191" s="73">
        <f ca="1">IF(K191=1, IF(_xlfn.BINOM.INV(1, C$22, RAND())&gt;0, K191*2, C$23), IF(_xlfn.BINOM.INV(1, C$21, RAND())&gt;0, K191, C$23))</f>
        <v>1</v>
      </c>
      <c r="M191" s="93">
        <f t="shared" ca="1" si="34"/>
        <v>22214</v>
      </c>
      <c r="N191" s="70">
        <f ca="1">IF(AND(K191=1, L191&gt;1), C$20, IF(AND(K191&gt;1, L191&gt;1), C$19, 0))</f>
        <v>0</v>
      </c>
      <c r="O191" s="67">
        <f ca="1">IF(D191=15%,C$18,C$17)</f>
        <v>0.05</v>
      </c>
      <c r="P191" s="93">
        <f t="shared" ca="1" si="35"/>
        <v>1146.7608790099619</v>
      </c>
      <c r="Q191" s="93">
        <f ca="1">J191*0.15 - C191*0.8 - C191*0.01</f>
        <v>-2470.9512533462066</v>
      </c>
      <c r="R191" s="66"/>
    </row>
    <row r="192" spans="1:32" x14ac:dyDescent="0.3">
      <c r="A192" s="51">
        <v>151</v>
      </c>
      <c r="B192" s="91">
        <f t="shared" ca="1" si="27"/>
        <v>0.97423091284829466</v>
      </c>
      <c r="C192" s="92">
        <f ca="1">VLOOKUP(B192,표4[#Data],3)</f>
        <v>22192.796279313508</v>
      </c>
      <c r="D192" s="67">
        <f ca="1">IF(RAND()&gt;=D$15,C$15,C$16)</f>
        <v>0.15</v>
      </c>
      <c r="E192" s="93">
        <f ca="1">C192*D192</f>
        <v>3328.919441897026</v>
      </c>
      <c r="F192" s="70">
        <f t="shared" ca="1" si="29"/>
        <v>0.12</v>
      </c>
      <c r="G192" s="93">
        <f t="shared" ca="1" si="30"/>
        <v>27740.995349141886</v>
      </c>
      <c r="H192" s="93">
        <f t="shared" ca="1" si="31"/>
        <v>33289.194418970263</v>
      </c>
      <c r="I192" s="93">
        <f t="shared" ca="1" si="32"/>
        <v>47555.992027100379</v>
      </c>
      <c r="J192" s="93">
        <f t="shared" ca="1" si="28"/>
        <v>33575</v>
      </c>
      <c r="K192" s="73">
        <f t="shared" ca="1" si="33"/>
        <v>1</v>
      </c>
      <c r="L192" s="73">
        <f ca="1">IF(K192=1, IF(_xlfn.BINOM.INV(1, C$22, RAND())&gt;0, K192*2, C$23), IF(_xlfn.BINOM.INV(1, C$21, RAND())&gt;0, K192, C$23))</f>
        <v>1</v>
      </c>
      <c r="M192" s="93">
        <f t="shared" ca="1" si="34"/>
        <v>33575</v>
      </c>
      <c r="N192" s="70">
        <f ca="1">IF(AND(K192=1, L192&gt;1), C$20, IF(AND(K192&gt;1, L192&gt;1), C$19, 0))</f>
        <v>0</v>
      </c>
      <c r="O192" s="67">
        <f ca="1">IF(D192=15%,C$18,C$17)</f>
        <v>0.05</v>
      </c>
      <c r="P192" s="93">
        <f t="shared" ca="1" si="35"/>
        <v>28.58055810297401</v>
      </c>
      <c r="Q192" s="93">
        <f ca="1">J192*0.15 - C192*0.8 - C192*0.01</f>
        <v>-12939.914986243944</v>
      </c>
      <c r="R192" s="66"/>
    </row>
    <row r="193" spans="1:18" x14ac:dyDescent="0.3">
      <c r="A193" s="51">
        <v>152</v>
      </c>
      <c r="B193" s="91">
        <f t="shared" ca="1" si="27"/>
        <v>0.36917529853583342</v>
      </c>
      <c r="C193" s="92">
        <f ca="1">VLOOKUP(B193,표4[#Data],3)</f>
        <v>1672.5106827944833</v>
      </c>
      <c r="D193" s="67">
        <f ca="1">IF(RAND()&gt;=D$15,C$15,C$16)</f>
        <v>0.2</v>
      </c>
      <c r="E193" s="93">
        <f ca="1">C193*D193</f>
        <v>334.50213655889667</v>
      </c>
      <c r="F193" s="70">
        <f t="shared" ca="1" si="29"/>
        <v>0.13</v>
      </c>
      <c r="G193" s="93">
        <f t="shared" ca="1" si="30"/>
        <v>2573.0933581453587</v>
      </c>
      <c r="H193" s="93">
        <f t="shared" ca="1" si="31"/>
        <v>3040.9285141717878</v>
      </c>
      <c r="I193" s="93">
        <f t="shared" ca="1" si="32"/>
        <v>4181.2767069862084</v>
      </c>
      <c r="J193" s="93">
        <f t="shared" ca="1" si="28"/>
        <v>4407</v>
      </c>
      <c r="K193" s="73">
        <f t="shared" ca="1" si="33"/>
        <v>1</v>
      </c>
      <c r="L193" s="73">
        <f ca="1">IF(K193=1, IF(_xlfn.BINOM.INV(1, C$22, RAND())&gt;0, K193*2, C$23), IF(_xlfn.BINOM.INV(1, C$21, RAND())&gt;0, K193, C$23))</f>
        <v>1</v>
      </c>
      <c r="M193" s="93">
        <f t="shared" ca="1" si="34"/>
        <v>4407</v>
      </c>
      <c r="N193" s="70">
        <f ca="1">IF(AND(K193=1, L193&gt;1), C$20, IF(AND(K193&gt;1, L193&gt;1), C$19, 0))</f>
        <v>0</v>
      </c>
      <c r="O193" s="67">
        <f ca="1">IF(D193=15%,C$18,C$17)</f>
        <v>0.03</v>
      </c>
      <c r="P193" s="93">
        <f t="shared" ca="1" si="35"/>
        <v>194.33786344110328</v>
      </c>
      <c r="Q193" s="93">
        <f ca="1">J193*0.15 - C193*0.8 - C193*0.01</f>
        <v>-693.68365306353155</v>
      </c>
      <c r="R193" s="66"/>
    </row>
    <row r="194" spans="1:18" x14ac:dyDescent="0.3">
      <c r="A194" s="51">
        <v>153</v>
      </c>
      <c r="B194" s="91">
        <f t="shared" ca="1" si="27"/>
        <v>0.44481237041646438</v>
      </c>
      <c r="C194" s="92">
        <f ca="1">VLOOKUP(B194,표4[#Data],3)</f>
        <v>1672.5106827944833</v>
      </c>
      <c r="D194" s="67">
        <f ca="1">IF(RAND()&gt;=D$15,C$15,C$16)</f>
        <v>0.2</v>
      </c>
      <c r="E194" s="93">
        <f ca="1">C194*D194</f>
        <v>334.50213655889667</v>
      </c>
      <c r="F194" s="70">
        <f t="shared" ca="1" si="29"/>
        <v>0.13</v>
      </c>
      <c r="G194" s="93">
        <f t="shared" ca="1" si="30"/>
        <v>2573.0933581453587</v>
      </c>
      <c r="H194" s="93">
        <f t="shared" ca="1" si="31"/>
        <v>3040.9285141717878</v>
      </c>
      <c r="I194" s="93">
        <f t="shared" ca="1" si="32"/>
        <v>4181.2767069862084</v>
      </c>
      <c r="J194" s="93">
        <f t="shared" ca="1" si="28"/>
        <v>38445</v>
      </c>
      <c r="K194" s="73">
        <f t="shared" ca="1" si="33"/>
        <v>1</v>
      </c>
      <c r="L194" s="73">
        <f ca="1">IF(K194=1, IF(_xlfn.BINOM.INV(1, C$22, RAND())&gt;0, K194*2, C$23), IF(_xlfn.BINOM.INV(1, C$21, RAND())&gt;0, K194, C$23))</f>
        <v>1</v>
      </c>
      <c r="M194" s="93">
        <f t="shared" ca="1" si="34"/>
        <v>38445</v>
      </c>
      <c r="N194" s="70">
        <f ca="1">IF(AND(K194=1, L194&gt;1), C$20, IF(AND(K194&gt;1, L194&gt;1), C$19, 0))</f>
        <v>0</v>
      </c>
      <c r="O194" s="67">
        <f ca="1">IF(D194=15%,C$18,C$17)</f>
        <v>0.03</v>
      </c>
      <c r="P194" s="93">
        <f t="shared" ca="1" si="35"/>
        <v>4278.8978634411033</v>
      </c>
      <c r="Q194" s="93">
        <f ca="1">J194*0.15 - C194*0.8 - C194*0.01</f>
        <v>4412.0163469364688</v>
      </c>
      <c r="R194" s="66"/>
    </row>
    <row r="195" spans="1:18" x14ac:dyDescent="0.3">
      <c r="A195" s="51">
        <v>154</v>
      </c>
      <c r="B195" s="91">
        <f t="shared" ca="1" si="27"/>
        <v>0.78462041078424338</v>
      </c>
      <c r="C195" s="92">
        <f ca="1">VLOOKUP(B195,표4[#Data],3)</f>
        <v>7164.2608066002549</v>
      </c>
      <c r="D195" s="67">
        <f ca="1">IF(RAND()&gt;=D$15,C$15,C$16)</f>
        <v>0.2</v>
      </c>
      <c r="E195" s="93">
        <f ca="1">C195*D195</f>
        <v>1432.852161320051</v>
      </c>
      <c r="F195" s="70">
        <f t="shared" ca="1" si="29"/>
        <v>0.13</v>
      </c>
      <c r="G195" s="93">
        <f t="shared" ca="1" si="30"/>
        <v>11021.93970246193</v>
      </c>
      <c r="H195" s="93">
        <f t="shared" ca="1" si="31"/>
        <v>13025.928739273191</v>
      </c>
      <c r="I195" s="93">
        <f t="shared" ca="1" si="32"/>
        <v>17910.652016500637</v>
      </c>
      <c r="J195" s="93">
        <f t="shared" ca="1" si="28"/>
        <v>3408</v>
      </c>
      <c r="K195" s="73">
        <f t="shared" ca="1" si="33"/>
        <v>5</v>
      </c>
      <c r="L195" s="73">
        <f ca="1">IF(K195=1, IF(_xlfn.BINOM.INV(1, C$22, RAND())&gt;0, K195*2, C$23), IF(_xlfn.BINOM.INV(1, C$21, RAND())&gt;0, K195, C$23))</f>
        <v>5</v>
      </c>
      <c r="M195" s="93">
        <f t="shared" ca="1" si="34"/>
        <v>17040</v>
      </c>
      <c r="N195" s="70">
        <f ca="1">IF(AND(K195=1, L195&gt;1), C$20, IF(AND(K195&gt;1, L195&gt;1), C$19, 0))</f>
        <v>0.05</v>
      </c>
      <c r="O195" s="67">
        <f ca="1">IF(D195=15%,C$18,C$17)</f>
        <v>0.03</v>
      </c>
      <c r="P195" s="93">
        <f t="shared" ca="1" si="35"/>
        <v>-240.05216132005097</v>
      </c>
      <c r="Q195" s="93">
        <f ca="1">J195*0.15 - C195*0.8 - C195*0.01</f>
        <v>-5291.8512533462062</v>
      </c>
      <c r="R195" s="66"/>
    </row>
    <row r="196" spans="1:18" x14ac:dyDescent="0.3">
      <c r="A196" s="51">
        <v>155</v>
      </c>
      <c r="B196" s="91">
        <f t="shared" ca="1" si="27"/>
        <v>0.50661774866662157</v>
      </c>
      <c r="C196" s="92">
        <f ca="1">VLOOKUP(B196,표4[#Data],3)</f>
        <v>1672.5106827944833</v>
      </c>
      <c r="D196" s="67">
        <f ca="1">IF(RAND()&gt;=D$15,C$15,C$16)</f>
        <v>0.15</v>
      </c>
      <c r="E196" s="93">
        <f ca="1">C196*D196</f>
        <v>250.87660241917249</v>
      </c>
      <c r="F196" s="70">
        <f t="shared" ca="1" si="29"/>
        <v>0.12</v>
      </c>
      <c r="G196" s="93">
        <f t="shared" ca="1" si="30"/>
        <v>2090.6383534931042</v>
      </c>
      <c r="H196" s="93">
        <f t="shared" ca="1" si="31"/>
        <v>2508.7660241917251</v>
      </c>
      <c r="I196" s="93">
        <f t="shared" ca="1" si="32"/>
        <v>3583.9514631310358</v>
      </c>
      <c r="J196" s="93">
        <f t="shared" ca="1" si="28"/>
        <v>27979</v>
      </c>
      <c r="K196" s="73">
        <f t="shared" ca="1" si="33"/>
        <v>1</v>
      </c>
      <c r="L196" s="73">
        <f ca="1">IF(K196=1, IF(_xlfn.BINOM.INV(1, C$22, RAND())&gt;0, K196*2, C$23), IF(_xlfn.BINOM.INV(1, C$21, RAND())&gt;0, K196, C$23))</f>
        <v>1</v>
      </c>
      <c r="M196" s="93">
        <f t="shared" ca="1" si="34"/>
        <v>27979</v>
      </c>
      <c r="N196" s="70">
        <f ca="1">IF(AND(K196=1, L196&gt;1), C$20, IF(AND(K196&gt;1, L196&gt;1), C$19, 0))</f>
        <v>0</v>
      </c>
      <c r="O196" s="67">
        <f ca="1">IF(D196=15%,C$18,C$17)</f>
        <v>0.05</v>
      </c>
      <c r="P196" s="93">
        <f t="shared" ca="1" si="35"/>
        <v>2547.0233975808269</v>
      </c>
      <c r="Q196" s="93">
        <f ca="1">J196*0.15 - C196*0.8 - C196*0.01</f>
        <v>2842.1163469364683</v>
      </c>
      <c r="R196" s="66"/>
    </row>
    <row r="197" spans="1:18" x14ac:dyDescent="0.3">
      <c r="A197" s="51">
        <v>156</v>
      </c>
      <c r="B197" s="91">
        <f t="shared" ca="1" si="27"/>
        <v>0.72228135407235949</v>
      </c>
      <c r="C197" s="92">
        <f ca="1">VLOOKUP(B197,표4[#Data],3)</f>
        <v>7164.2608066002549</v>
      </c>
      <c r="D197" s="67">
        <f ca="1">IF(RAND()&gt;=D$15,C$15,C$16)</f>
        <v>0.2</v>
      </c>
      <c r="E197" s="93">
        <f ca="1">C197*D197</f>
        <v>1432.852161320051</v>
      </c>
      <c r="F197" s="70">
        <f t="shared" ca="1" si="29"/>
        <v>0.13</v>
      </c>
      <c r="G197" s="93">
        <f t="shared" ca="1" si="30"/>
        <v>11021.93970246193</v>
      </c>
      <c r="H197" s="93">
        <f t="shared" ca="1" si="31"/>
        <v>13025.928739273191</v>
      </c>
      <c r="I197" s="93">
        <f t="shared" ca="1" si="32"/>
        <v>17910.652016500637</v>
      </c>
      <c r="J197" s="93">
        <f t="shared" ca="1" si="28"/>
        <v>10344</v>
      </c>
      <c r="K197" s="73">
        <f t="shared" ca="1" si="33"/>
        <v>2</v>
      </c>
      <c r="L197" s="73">
        <f ca="1">IF(K197=1, IF(_xlfn.BINOM.INV(1, C$22, RAND())&gt;0, K197*2, C$23), IF(_xlfn.BINOM.INV(1, C$21, RAND())&gt;0, K197, C$23))</f>
        <v>1</v>
      </c>
      <c r="M197" s="93">
        <f t="shared" ca="1" si="34"/>
        <v>10344</v>
      </c>
      <c r="N197" s="70">
        <f ca="1">IF(AND(K197=1, L197&gt;1), C$20, IF(AND(K197&gt;1, L197&gt;1), C$19, 0))</f>
        <v>0</v>
      </c>
      <c r="O197" s="67">
        <f ca="1">IF(D197=15%,C$18,C$17)</f>
        <v>0.03</v>
      </c>
      <c r="P197" s="93">
        <f t="shared" ca="1" si="35"/>
        <v>-191.57216132005107</v>
      </c>
      <c r="Q197" s="93">
        <f ca="1">J197*0.15 - C197*0.8 - C197*0.01</f>
        <v>-4251.4512533462057</v>
      </c>
      <c r="R197" s="66"/>
    </row>
    <row r="198" spans="1:18" x14ac:dyDescent="0.3">
      <c r="A198" s="51">
        <v>157</v>
      </c>
      <c r="B198" s="91">
        <f t="shared" ca="1" si="27"/>
        <v>4.3420443370934536E-2</v>
      </c>
      <c r="C198" s="92">
        <f ca="1">VLOOKUP(B198,표4[#Data],3)</f>
        <v>1672.5106827944833</v>
      </c>
      <c r="D198" s="67">
        <f ca="1">IF(RAND()&gt;=D$15,C$15,C$16)</f>
        <v>0.2</v>
      </c>
      <c r="E198" s="93">
        <f ca="1">C198*D198</f>
        <v>334.50213655889667</v>
      </c>
      <c r="F198" s="70">
        <f t="shared" ca="1" si="29"/>
        <v>0.13</v>
      </c>
      <c r="G198" s="93">
        <f t="shared" ca="1" si="30"/>
        <v>2573.0933581453587</v>
      </c>
      <c r="H198" s="93">
        <f t="shared" ca="1" si="31"/>
        <v>3040.9285141717878</v>
      </c>
      <c r="I198" s="93">
        <f t="shared" ca="1" si="32"/>
        <v>4181.2767069862084</v>
      </c>
      <c r="J198" s="93">
        <f t="shared" ca="1" si="28"/>
        <v>28355</v>
      </c>
      <c r="K198" s="73">
        <f t="shared" ca="1" si="33"/>
        <v>1</v>
      </c>
      <c r="L198" s="73">
        <f ca="1">IF(K198=1, IF(_xlfn.BINOM.INV(1, C$22, RAND())&gt;0, K198*2, C$23), IF(_xlfn.BINOM.INV(1, C$21, RAND())&gt;0, K198, C$23))</f>
        <v>1</v>
      </c>
      <c r="M198" s="93">
        <f t="shared" ca="1" si="34"/>
        <v>28355</v>
      </c>
      <c r="N198" s="70">
        <f ca="1">IF(AND(K198=1, L198&gt;1), C$20, IF(AND(K198&gt;1, L198&gt;1), C$19, 0))</f>
        <v>0</v>
      </c>
      <c r="O198" s="67">
        <f ca="1">IF(D198=15%,C$18,C$17)</f>
        <v>0.03</v>
      </c>
      <c r="P198" s="93">
        <f t="shared" ca="1" si="35"/>
        <v>3068.0978634411031</v>
      </c>
      <c r="Q198" s="93">
        <f ca="1">J198*0.15 - C198*0.8 - C198*0.01</f>
        <v>2898.5163469364688</v>
      </c>
      <c r="R198" s="66"/>
    </row>
    <row r="199" spans="1:18" x14ac:dyDescent="0.3">
      <c r="A199" s="51">
        <v>158</v>
      </c>
      <c r="B199" s="91">
        <f t="shared" ca="1" si="27"/>
        <v>0.26666667293899549</v>
      </c>
      <c r="C199" s="92">
        <f ca="1">VLOOKUP(B199,표4[#Data],3)</f>
        <v>1672.5106827944833</v>
      </c>
      <c r="D199" s="67">
        <f ca="1">IF(RAND()&gt;=D$15,C$15,C$16)</f>
        <v>0.15</v>
      </c>
      <c r="E199" s="93">
        <f ca="1">C199*D199</f>
        <v>250.87660241917249</v>
      </c>
      <c r="F199" s="70">
        <f t="shared" ca="1" si="29"/>
        <v>0.12</v>
      </c>
      <c r="G199" s="93">
        <f t="shared" ca="1" si="30"/>
        <v>2090.6383534931042</v>
      </c>
      <c r="H199" s="93">
        <f t="shared" ca="1" si="31"/>
        <v>2508.7660241917251</v>
      </c>
      <c r="I199" s="93">
        <f t="shared" ca="1" si="32"/>
        <v>3583.9514631310358</v>
      </c>
      <c r="J199" s="93">
        <f t="shared" ca="1" si="28"/>
        <v>24616</v>
      </c>
      <c r="K199" s="73">
        <f t="shared" ca="1" si="33"/>
        <v>1</v>
      </c>
      <c r="L199" s="73">
        <f ca="1">IF(K199=1, IF(_xlfn.BINOM.INV(1, C$22, RAND())&gt;0, K199*2, C$23), IF(_xlfn.BINOM.INV(1, C$21, RAND())&gt;0, K199, C$23))</f>
        <v>1</v>
      </c>
      <c r="M199" s="93">
        <f t="shared" ca="1" si="34"/>
        <v>24616</v>
      </c>
      <c r="N199" s="70">
        <f ca="1">IF(AND(K199=1, L199&gt;1), C$20, IF(AND(K199&gt;1, L199&gt;1), C$19, 0))</f>
        <v>0</v>
      </c>
      <c r="O199" s="67">
        <f ca="1">IF(D199=15%,C$18,C$17)</f>
        <v>0.05</v>
      </c>
      <c r="P199" s="93">
        <f t="shared" ca="1" si="35"/>
        <v>2210.7233975808272</v>
      </c>
      <c r="Q199" s="93">
        <f ca="1">J199*0.15 - C199*0.8 - C199*0.01</f>
        <v>2337.6663469364685</v>
      </c>
      <c r="R199" s="66"/>
    </row>
    <row r="200" spans="1:18" x14ac:dyDescent="0.3">
      <c r="A200" s="51">
        <v>159</v>
      </c>
      <c r="B200" s="91">
        <f t="shared" ca="1" si="27"/>
        <v>0.65894338825399079</v>
      </c>
      <c r="C200" s="92">
        <f ca="1">VLOOKUP(B200,표4[#Data],3)</f>
        <v>7164.2608066002549</v>
      </c>
      <c r="D200" s="67">
        <f ca="1">IF(RAND()&gt;=D$15,C$15,C$16)</f>
        <v>0.2</v>
      </c>
      <c r="E200" s="93">
        <f ca="1">C200*D200</f>
        <v>1432.852161320051</v>
      </c>
      <c r="F200" s="70">
        <f t="shared" ca="1" si="29"/>
        <v>0.13</v>
      </c>
      <c r="G200" s="93">
        <f t="shared" ca="1" si="30"/>
        <v>11021.93970246193</v>
      </c>
      <c r="H200" s="93">
        <f t="shared" ca="1" si="31"/>
        <v>13025.928739273191</v>
      </c>
      <c r="I200" s="93">
        <f t="shared" ca="1" si="32"/>
        <v>17910.652016500637</v>
      </c>
      <c r="J200" s="93">
        <f t="shared" ca="1" si="28"/>
        <v>34261</v>
      </c>
      <c r="K200" s="73">
        <f t="shared" ca="1" si="33"/>
        <v>1</v>
      </c>
      <c r="L200" s="73">
        <f ca="1">IF(K200=1, IF(_xlfn.BINOM.INV(1, C$22, RAND())&gt;0, K200*2, C$23), IF(_xlfn.BINOM.INV(1, C$21, RAND())&gt;0, K200, C$23))</f>
        <v>1</v>
      </c>
      <c r="M200" s="93">
        <f t="shared" ca="1" si="34"/>
        <v>34261</v>
      </c>
      <c r="N200" s="70">
        <f ca="1">IF(AND(K200=1, L200&gt;1), C$20, IF(AND(K200&gt;1, L200&gt;1), C$19, 0))</f>
        <v>0</v>
      </c>
      <c r="O200" s="67">
        <f ca="1">IF(D200=15%,C$18,C$17)</f>
        <v>0.03</v>
      </c>
      <c r="P200" s="93">
        <f t="shared" ca="1" si="35"/>
        <v>2678.4678386799487</v>
      </c>
      <c r="Q200" s="93">
        <f ca="1">J200*0.15 - C200*0.8 - C200*0.01</f>
        <v>-663.90125334620689</v>
      </c>
      <c r="R200" s="66"/>
    </row>
    <row r="201" spans="1:18" x14ac:dyDescent="0.3">
      <c r="A201" s="51">
        <v>160</v>
      </c>
      <c r="B201" s="91">
        <f t="shared" ca="1" si="27"/>
        <v>0.88352164201631456</v>
      </c>
      <c r="C201" s="92">
        <f ca="1">VLOOKUP(B201,표4[#Data],3)</f>
        <v>12285.574360263015</v>
      </c>
      <c r="D201" s="67">
        <f ca="1">IF(RAND()&gt;=D$15,C$15,C$16)</f>
        <v>0.2</v>
      </c>
      <c r="E201" s="93">
        <f ca="1">C201*D201</f>
        <v>2457.1148720526035</v>
      </c>
      <c r="F201" s="70">
        <f t="shared" ca="1" si="29"/>
        <v>0.13</v>
      </c>
      <c r="G201" s="93">
        <f t="shared" ca="1" si="30"/>
        <v>18900.883631173871</v>
      </c>
      <c r="H201" s="93">
        <f t="shared" ca="1" si="31"/>
        <v>22337.407927750941</v>
      </c>
      <c r="I201" s="93">
        <f t="shared" ca="1" si="32"/>
        <v>30713.935900657543</v>
      </c>
      <c r="J201" s="93">
        <f t="shared" ca="1" si="28"/>
        <v>9396</v>
      </c>
      <c r="K201" s="73">
        <f t="shared" ca="1" si="33"/>
        <v>3</v>
      </c>
      <c r="L201" s="73">
        <f ca="1">IF(K201=1, IF(_xlfn.BINOM.INV(1, C$22, RAND())&gt;0, K201*2, C$23), IF(_xlfn.BINOM.INV(1, C$21, RAND())&gt;0, K201, C$23))</f>
        <v>1</v>
      </c>
      <c r="M201" s="93">
        <f t="shared" ca="1" si="34"/>
        <v>9396</v>
      </c>
      <c r="N201" s="70">
        <f ca="1">IF(AND(K201=1, L201&gt;1), C$20, IF(AND(K201&gt;1, L201&gt;1), C$19, 0))</f>
        <v>0</v>
      </c>
      <c r="O201" s="67">
        <f ca="1">IF(D201=15%,C$18,C$17)</f>
        <v>0.03</v>
      </c>
      <c r="P201" s="93">
        <f t="shared" ca="1" si="35"/>
        <v>-1329.5948720526035</v>
      </c>
      <c r="Q201" s="93">
        <f ca="1">J201*0.15 - C201*0.8 - C201*0.01</f>
        <v>-8541.9152318130436</v>
      </c>
      <c r="R201" s="66"/>
    </row>
    <row r="202" spans="1:18" x14ac:dyDescent="0.3">
      <c r="A202" s="51">
        <v>161</v>
      </c>
      <c r="B202" s="91">
        <f t="shared" ca="1" si="27"/>
        <v>0.30014396164098101</v>
      </c>
      <c r="C202" s="92">
        <f ca="1">VLOOKUP(B202,표4[#Data],3)</f>
        <v>1672.5106827944833</v>
      </c>
      <c r="D202" s="67">
        <f ca="1">IF(RAND()&gt;=D$15,C$15,C$16)</f>
        <v>0.15</v>
      </c>
      <c r="E202" s="93">
        <f ca="1">C202*D202</f>
        <v>250.87660241917249</v>
      </c>
      <c r="F202" s="70">
        <f t="shared" ca="1" si="29"/>
        <v>0.12</v>
      </c>
      <c r="G202" s="93">
        <f t="shared" ca="1" si="30"/>
        <v>2090.6383534931042</v>
      </c>
      <c r="H202" s="93">
        <f t="shared" ca="1" si="31"/>
        <v>2508.7660241917251</v>
      </c>
      <c r="I202" s="93">
        <f t="shared" ca="1" si="32"/>
        <v>3583.9514631310358</v>
      </c>
      <c r="J202" s="93">
        <f t="shared" ca="1" si="28"/>
        <v>8080</v>
      </c>
      <c r="K202" s="73">
        <f t="shared" ca="1" si="33"/>
        <v>1</v>
      </c>
      <c r="L202" s="73">
        <f ca="1">IF(K202=1, IF(_xlfn.BINOM.INV(1, C$22, RAND())&gt;0, K202*2, C$23), IF(_xlfn.BINOM.INV(1, C$21, RAND())&gt;0, K202, C$23))</f>
        <v>1</v>
      </c>
      <c r="M202" s="93">
        <f t="shared" ca="1" si="34"/>
        <v>8080</v>
      </c>
      <c r="N202" s="70">
        <f ca="1">IF(AND(K202=1, L202&gt;1), C$20, IF(AND(K202&gt;1, L202&gt;1), C$19, 0))</f>
        <v>0</v>
      </c>
      <c r="O202" s="67">
        <f ca="1">IF(D202=15%,C$18,C$17)</f>
        <v>0.05</v>
      </c>
      <c r="P202" s="93">
        <f t="shared" ca="1" si="35"/>
        <v>557.12339758082749</v>
      </c>
      <c r="Q202" s="93">
        <f ca="1">J202*0.15 - C202*0.8 - C202*0.01</f>
        <v>-142.73365306353151</v>
      </c>
      <c r="R202" s="66"/>
    </row>
    <row r="203" spans="1:18" x14ac:dyDescent="0.3">
      <c r="A203" s="51">
        <v>162</v>
      </c>
      <c r="B203" s="91">
        <f t="shared" ca="1" si="27"/>
        <v>0.73126066076914187</v>
      </c>
      <c r="C203" s="92">
        <f ca="1">VLOOKUP(B203,표4[#Data],3)</f>
        <v>7164.2608066002549</v>
      </c>
      <c r="D203" s="67">
        <f ca="1">IF(RAND()&gt;=D$15,C$15,C$16)</f>
        <v>0.2</v>
      </c>
      <c r="E203" s="93">
        <f ca="1">C203*D203</f>
        <v>1432.852161320051</v>
      </c>
      <c r="F203" s="70">
        <f t="shared" ca="1" si="29"/>
        <v>0.13</v>
      </c>
      <c r="G203" s="93">
        <f t="shared" ca="1" si="30"/>
        <v>11021.93970246193</v>
      </c>
      <c r="H203" s="93">
        <f t="shared" ca="1" si="31"/>
        <v>13025.928739273191</v>
      </c>
      <c r="I203" s="93">
        <f t="shared" ca="1" si="32"/>
        <v>17910.652016500637</v>
      </c>
      <c r="J203" s="93">
        <f t="shared" ca="1" si="28"/>
        <v>22845</v>
      </c>
      <c r="K203" s="73">
        <f t="shared" ca="1" si="33"/>
        <v>1</v>
      </c>
      <c r="L203" s="73">
        <f ca="1">IF(K203=1, IF(_xlfn.BINOM.INV(1, C$22, RAND())&gt;0, K203*2, C$23), IF(_xlfn.BINOM.INV(1, C$21, RAND())&gt;0, K203, C$23))</f>
        <v>1</v>
      </c>
      <c r="M203" s="93">
        <f t="shared" ca="1" si="34"/>
        <v>22845</v>
      </c>
      <c r="N203" s="70">
        <f ca="1">IF(AND(K203=1, L203&gt;1), C$20, IF(AND(K203&gt;1, L203&gt;1), C$19, 0))</f>
        <v>0</v>
      </c>
      <c r="O203" s="67">
        <f ca="1">IF(D203=15%,C$18,C$17)</f>
        <v>0.03</v>
      </c>
      <c r="P203" s="93">
        <f t="shared" ca="1" si="35"/>
        <v>1308.5478386799491</v>
      </c>
      <c r="Q203" s="93">
        <f ca="1">J203*0.15 - C203*0.8 - C203*0.01</f>
        <v>-2376.3012533462065</v>
      </c>
      <c r="R203" s="66"/>
    </row>
    <row r="204" spans="1:18" x14ac:dyDescent="0.3">
      <c r="A204" s="51">
        <v>163</v>
      </c>
      <c r="B204" s="91">
        <f t="shared" ca="1" si="27"/>
        <v>1.9177713842225663E-2</v>
      </c>
      <c r="C204" s="92">
        <f ca="1">VLOOKUP(B204,표4[#Data],3)</f>
        <v>1672.5106827944833</v>
      </c>
      <c r="D204" s="67">
        <f ca="1">IF(RAND()&gt;=D$15,C$15,C$16)</f>
        <v>0.2</v>
      </c>
      <c r="E204" s="93">
        <f ca="1">C204*D204</f>
        <v>334.50213655889667</v>
      </c>
      <c r="F204" s="70">
        <f t="shared" ca="1" si="29"/>
        <v>0.13</v>
      </c>
      <c r="G204" s="93">
        <f t="shared" ca="1" si="30"/>
        <v>2573.0933581453587</v>
      </c>
      <c r="H204" s="93">
        <f t="shared" ca="1" si="31"/>
        <v>3040.9285141717878</v>
      </c>
      <c r="I204" s="93">
        <f t="shared" ca="1" si="32"/>
        <v>4181.2767069862084</v>
      </c>
      <c r="J204" s="93">
        <f t="shared" ca="1" si="28"/>
        <v>5579</v>
      </c>
      <c r="K204" s="73">
        <f t="shared" ca="1" si="33"/>
        <v>1</v>
      </c>
      <c r="L204" s="73">
        <f ca="1">IF(K204=1, IF(_xlfn.BINOM.INV(1, C$22, RAND())&gt;0, K204*2, C$23), IF(_xlfn.BINOM.INV(1, C$21, RAND())&gt;0, K204, C$23))</f>
        <v>1</v>
      </c>
      <c r="M204" s="93">
        <f t="shared" ca="1" si="34"/>
        <v>5579</v>
      </c>
      <c r="N204" s="70">
        <f ca="1">IF(AND(K204=1, L204&gt;1), C$20, IF(AND(K204&gt;1, L204&gt;1), C$19, 0))</f>
        <v>0</v>
      </c>
      <c r="O204" s="67">
        <f ca="1">IF(D204=15%,C$18,C$17)</f>
        <v>0.03</v>
      </c>
      <c r="P204" s="93">
        <f t="shared" ca="1" si="35"/>
        <v>334.97786344110335</v>
      </c>
      <c r="Q204" s="93">
        <f ca="1">J204*0.15 - C204*0.8 - C204*0.01</f>
        <v>-517.88365306353148</v>
      </c>
      <c r="R204" s="66"/>
    </row>
    <row r="205" spans="1:18" x14ac:dyDescent="0.3">
      <c r="A205" s="51">
        <v>164</v>
      </c>
      <c r="B205" s="91">
        <f t="shared" ca="1" si="27"/>
        <v>0.18359489895093706</v>
      </c>
      <c r="C205" s="92">
        <f ca="1">VLOOKUP(B205,표4[#Data],3)</f>
        <v>1672.5106827944833</v>
      </c>
      <c r="D205" s="67">
        <f ca="1">IF(RAND()&gt;=D$15,C$15,C$16)</f>
        <v>0.15</v>
      </c>
      <c r="E205" s="93">
        <f ca="1">C205*D205</f>
        <v>250.87660241917249</v>
      </c>
      <c r="F205" s="70">
        <f t="shared" ca="1" si="29"/>
        <v>0.12</v>
      </c>
      <c r="G205" s="93">
        <f t="shared" ca="1" si="30"/>
        <v>2090.6383534931042</v>
      </c>
      <c r="H205" s="93">
        <f t="shared" ca="1" si="31"/>
        <v>2508.7660241917251</v>
      </c>
      <c r="I205" s="93">
        <f t="shared" ca="1" si="32"/>
        <v>3583.9514631310358</v>
      </c>
      <c r="J205" s="93">
        <f t="shared" ca="1" si="28"/>
        <v>17273</v>
      </c>
      <c r="K205" s="73">
        <f t="shared" ca="1" si="33"/>
        <v>1</v>
      </c>
      <c r="L205" s="73">
        <f ca="1">IF(K205=1, IF(_xlfn.BINOM.INV(1, C$22, RAND())&gt;0, K205*2, C$23), IF(_xlfn.BINOM.INV(1, C$21, RAND())&gt;0, K205, C$23))</f>
        <v>1</v>
      </c>
      <c r="M205" s="93">
        <f t="shared" ca="1" si="34"/>
        <v>17273</v>
      </c>
      <c r="N205" s="70">
        <f ca="1">IF(AND(K205=1, L205&gt;1), C$20, IF(AND(K205&gt;1, L205&gt;1), C$19, 0))</f>
        <v>0</v>
      </c>
      <c r="O205" s="67">
        <f ca="1">IF(D205=15%,C$18,C$17)</f>
        <v>0.05</v>
      </c>
      <c r="P205" s="93">
        <f t="shared" ca="1" si="35"/>
        <v>1476.4233975808274</v>
      </c>
      <c r="Q205" s="93">
        <f ca="1">J205*0.15 - C205*0.8 - C205*0.01</f>
        <v>1236.2163469364684</v>
      </c>
      <c r="R205" s="66"/>
    </row>
    <row r="206" spans="1:18" x14ac:dyDescent="0.3">
      <c r="A206" s="51">
        <v>165</v>
      </c>
      <c r="B206" s="91">
        <f t="shared" ca="1" si="27"/>
        <v>0.39044760166072745</v>
      </c>
      <c r="C206" s="92">
        <f ca="1">VLOOKUP(B206,표4[#Data],3)</f>
        <v>1672.5106827944833</v>
      </c>
      <c r="D206" s="67">
        <f ca="1">IF(RAND()&gt;=D$15,C$15,C$16)</f>
        <v>0.15</v>
      </c>
      <c r="E206" s="93">
        <f ca="1">C206*D206</f>
        <v>250.87660241917249</v>
      </c>
      <c r="F206" s="70">
        <f t="shared" ca="1" si="29"/>
        <v>0.12</v>
      </c>
      <c r="G206" s="93">
        <f t="shared" ca="1" si="30"/>
        <v>2090.6383534931042</v>
      </c>
      <c r="H206" s="93">
        <f t="shared" ca="1" si="31"/>
        <v>2508.7660241917251</v>
      </c>
      <c r="I206" s="93">
        <f t="shared" ca="1" si="32"/>
        <v>3583.9514631310358</v>
      </c>
      <c r="J206" s="93">
        <f t="shared" ca="1" si="28"/>
        <v>23481</v>
      </c>
      <c r="K206" s="73">
        <f t="shared" ca="1" si="33"/>
        <v>1</v>
      </c>
      <c r="L206" s="73">
        <f ca="1">IF(K206=1, IF(_xlfn.BINOM.INV(1, C$22, RAND())&gt;0, K206*2, C$23), IF(_xlfn.BINOM.INV(1, C$21, RAND())&gt;0, K206, C$23))</f>
        <v>1</v>
      </c>
      <c r="M206" s="93">
        <f t="shared" ca="1" si="34"/>
        <v>23481</v>
      </c>
      <c r="N206" s="70">
        <f ca="1">IF(AND(K206=1, L206&gt;1), C$20, IF(AND(K206&gt;1, L206&gt;1), C$19, 0))</f>
        <v>0</v>
      </c>
      <c r="O206" s="67">
        <f ca="1">IF(D206=15%,C$18,C$17)</f>
        <v>0.05</v>
      </c>
      <c r="P206" s="93">
        <f t="shared" ca="1" si="35"/>
        <v>2097.2233975808276</v>
      </c>
      <c r="Q206" s="93">
        <f ca="1">J206*0.15 - C206*0.8 - C206*0.01</f>
        <v>2167.4163469364685</v>
      </c>
      <c r="R206" s="66"/>
    </row>
    <row r="207" spans="1:18" x14ac:dyDescent="0.3">
      <c r="A207" s="51">
        <v>166</v>
      </c>
      <c r="B207" s="91">
        <f t="shared" ca="1" si="27"/>
        <v>0.99146268932840087</v>
      </c>
      <c r="C207" s="92">
        <f ca="1">VLOOKUP(B207,표4[#Data],3)</f>
        <v>32146.038888888888</v>
      </c>
      <c r="D207" s="67">
        <f ca="1">IF(RAND()&gt;=D$15,C$15,C$16)</f>
        <v>0.15</v>
      </c>
      <c r="E207" s="93">
        <f ca="1">C207*D207</f>
        <v>4821.9058333333332</v>
      </c>
      <c r="F207" s="70">
        <f t="shared" ca="1" si="29"/>
        <v>0.12</v>
      </c>
      <c r="G207" s="93">
        <f t="shared" ca="1" si="30"/>
        <v>40182.548611111109</v>
      </c>
      <c r="H207" s="93">
        <f t="shared" ca="1" si="31"/>
        <v>48219.058333333334</v>
      </c>
      <c r="I207" s="93">
        <f t="shared" ca="1" si="32"/>
        <v>68884.369047619053</v>
      </c>
      <c r="J207" s="93">
        <f t="shared" ca="1" si="28"/>
        <v>34720</v>
      </c>
      <c r="K207" s="73">
        <f t="shared" ca="1" si="33"/>
        <v>2</v>
      </c>
      <c r="L207" s="73">
        <f ca="1">IF(K207=1, IF(_xlfn.BINOM.INV(1, C$22, RAND())&gt;0, K207*2, C$23), IF(_xlfn.BINOM.INV(1, C$21, RAND())&gt;0, K207, C$23))</f>
        <v>1</v>
      </c>
      <c r="M207" s="93">
        <f t="shared" ca="1" si="34"/>
        <v>34720</v>
      </c>
      <c r="N207" s="70">
        <f ca="1">IF(AND(K207=1, L207&gt;1), C$20, IF(AND(K207&gt;1, L207&gt;1), C$19, 0))</f>
        <v>0</v>
      </c>
      <c r="O207" s="67">
        <f ca="1">IF(D207=15%,C$18,C$17)</f>
        <v>0.05</v>
      </c>
      <c r="P207" s="93">
        <f t="shared" ca="1" si="35"/>
        <v>-1349.9058333333332</v>
      </c>
      <c r="Q207" s="93">
        <f ca="1">J207*0.15 - C207*0.8 - C207*0.01</f>
        <v>-20830.291499999999</v>
      </c>
      <c r="R207" s="66"/>
    </row>
    <row r="208" spans="1:18" x14ac:dyDescent="0.3">
      <c r="A208" s="51">
        <v>167</v>
      </c>
      <c r="B208" s="91">
        <f t="shared" ca="1" si="27"/>
        <v>0.97815589334033959</v>
      </c>
      <c r="C208" s="92">
        <f ca="1">VLOOKUP(B208,표4[#Data],3)</f>
        <v>22192.796279313508</v>
      </c>
      <c r="D208" s="67">
        <f ca="1">IF(RAND()&gt;=D$15,C$15,C$16)</f>
        <v>0.15</v>
      </c>
      <c r="E208" s="93">
        <f ca="1">C208*D208</f>
        <v>3328.919441897026</v>
      </c>
      <c r="F208" s="70">
        <f t="shared" ca="1" si="29"/>
        <v>0.12</v>
      </c>
      <c r="G208" s="93">
        <f t="shared" ca="1" si="30"/>
        <v>27740.995349141886</v>
      </c>
      <c r="H208" s="93">
        <f t="shared" ca="1" si="31"/>
        <v>33289.194418970263</v>
      </c>
      <c r="I208" s="93">
        <f t="shared" ca="1" si="32"/>
        <v>47555.992027100379</v>
      </c>
      <c r="J208" s="93">
        <f t="shared" ca="1" si="28"/>
        <v>5811</v>
      </c>
      <c r="K208" s="73">
        <f t="shared" ca="1" si="33"/>
        <v>8</v>
      </c>
      <c r="L208" s="73">
        <f ca="1">IF(K208=1, IF(_xlfn.BINOM.INV(1, C$22, RAND())&gt;0, K208*2, C$23), IF(_xlfn.BINOM.INV(1, C$21, RAND())&gt;0, K208, C$23))</f>
        <v>1</v>
      </c>
      <c r="M208" s="93">
        <f t="shared" ca="1" si="34"/>
        <v>5811</v>
      </c>
      <c r="N208" s="70">
        <f ca="1">IF(AND(K208=1, L208&gt;1), C$20, IF(AND(K208&gt;1, L208&gt;1), C$19, 0))</f>
        <v>0</v>
      </c>
      <c r="O208" s="67">
        <f ca="1">IF(D208=15%,C$18,C$17)</f>
        <v>0.05</v>
      </c>
      <c r="P208" s="93">
        <f t="shared" ca="1" si="35"/>
        <v>-2747.8194418970261</v>
      </c>
      <c r="Q208" s="93">
        <f ca="1">J208*0.15 - C208*0.8 - C208*0.01</f>
        <v>-17104.514986243943</v>
      </c>
      <c r="R208" s="66"/>
    </row>
    <row r="209" spans="1:18" x14ac:dyDescent="0.3">
      <c r="A209" s="51">
        <v>168</v>
      </c>
      <c r="B209" s="91">
        <f t="shared" ca="1" si="27"/>
        <v>0.116983792292639</v>
      </c>
      <c r="C209" s="92">
        <f ca="1">VLOOKUP(B209,표4[#Data],3)</f>
        <v>1672.5106827944833</v>
      </c>
      <c r="D209" s="67">
        <f ca="1">IF(RAND()&gt;=D$15,C$15,C$16)</f>
        <v>0.2</v>
      </c>
      <c r="E209" s="93">
        <f ca="1">C209*D209</f>
        <v>334.50213655889667</v>
      </c>
      <c r="F209" s="70">
        <f t="shared" ca="1" si="29"/>
        <v>0.13</v>
      </c>
      <c r="G209" s="93">
        <f t="shared" ca="1" si="30"/>
        <v>2573.0933581453587</v>
      </c>
      <c r="H209" s="93">
        <f t="shared" ca="1" si="31"/>
        <v>3040.9285141717878</v>
      </c>
      <c r="I209" s="93">
        <f t="shared" ca="1" si="32"/>
        <v>4181.2767069862084</v>
      </c>
      <c r="J209" s="93">
        <f t="shared" ca="1" si="28"/>
        <v>20536</v>
      </c>
      <c r="K209" s="73">
        <f t="shared" ca="1" si="33"/>
        <v>1</v>
      </c>
      <c r="L209" s="73">
        <f ca="1">IF(K209=1, IF(_xlfn.BINOM.INV(1, C$22, RAND())&gt;0, K209*2, C$23), IF(_xlfn.BINOM.INV(1, C$21, RAND())&gt;0, K209, C$23))</f>
        <v>1</v>
      </c>
      <c r="M209" s="93">
        <f t="shared" ca="1" si="34"/>
        <v>20536</v>
      </c>
      <c r="N209" s="70">
        <f ca="1">IF(AND(K209=1, L209&gt;1), C$20, IF(AND(K209&gt;1, L209&gt;1), C$19, 0))</f>
        <v>0</v>
      </c>
      <c r="O209" s="67">
        <f ca="1">IF(D209=15%,C$18,C$17)</f>
        <v>0.03</v>
      </c>
      <c r="P209" s="93">
        <f t="shared" ca="1" si="35"/>
        <v>2129.8178634411033</v>
      </c>
      <c r="Q209" s="93">
        <f ca="1">J209*0.15 - C209*0.8 - C209*0.01</f>
        <v>1725.6663469364687</v>
      </c>
      <c r="R209" s="66"/>
    </row>
    <row r="210" spans="1:18" x14ac:dyDescent="0.3">
      <c r="A210" s="51">
        <v>169</v>
      </c>
      <c r="B210" s="91">
        <f t="shared" ca="1" si="27"/>
        <v>0.74543745990367183</v>
      </c>
      <c r="C210" s="92">
        <f ca="1">VLOOKUP(B210,표4[#Data],3)</f>
        <v>7164.2608066002549</v>
      </c>
      <c r="D210" s="67">
        <f ca="1">IF(RAND()&gt;=D$15,C$15,C$16)</f>
        <v>0.15</v>
      </c>
      <c r="E210" s="93">
        <f ca="1">C210*D210</f>
        <v>1074.6391209900382</v>
      </c>
      <c r="F210" s="70">
        <f t="shared" ca="1" si="29"/>
        <v>0.12</v>
      </c>
      <c r="G210" s="93">
        <f t="shared" ca="1" si="30"/>
        <v>8955.3260082503184</v>
      </c>
      <c r="H210" s="93">
        <f t="shared" ca="1" si="31"/>
        <v>10746.391209900383</v>
      </c>
      <c r="I210" s="93">
        <f t="shared" ca="1" si="32"/>
        <v>15351.987442714833</v>
      </c>
      <c r="J210" s="93">
        <f t="shared" ca="1" si="28"/>
        <v>23761</v>
      </c>
      <c r="K210" s="73">
        <f t="shared" ca="1" si="33"/>
        <v>1</v>
      </c>
      <c r="L210" s="73">
        <f ca="1">IF(K210=1, IF(_xlfn.BINOM.INV(1, C$22, RAND())&gt;0, K210*2, C$23), IF(_xlfn.BINOM.INV(1, C$21, RAND())&gt;0, K210, C$23))</f>
        <v>1</v>
      </c>
      <c r="M210" s="93">
        <f t="shared" ca="1" si="34"/>
        <v>23761</v>
      </c>
      <c r="N210" s="70">
        <f ca="1">IF(AND(K210=1, L210&gt;1), C$20, IF(AND(K210&gt;1, L210&gt;1), C$19, 0))</f>
        <v>0</v>
      </c>
      <c r="O210" s="67">
        <f ca="1">IF(D210=15%,C$18,C$17)</f>
        <v>0.05</v>
      </c>
      <c r="P210" s="93">
        <f t="shared" ca="1" si="35"/>
        <v>1301.4608790099621</v>
      </c>
      <c r="Q210" s="93">
        <f ca="1">J210*0.15 - C210*0.8 - C210*0.01</f>
        <v>-2238.9012533462064</v>
      </c>
      <c r="R210" s="66"/>
    </row>
    <row r="211" spans="1:18" x14ac:dyDescent="0.3">
      <c r="A211" s="51">
        <v>170</v>
      </c>
      <c r="B211" s="91">
        <f t="shared" ca="1" si="27"/>
        <v>1.9614450707747033E-2</v>
      </c>
      <c r="C211" s="92">
        <f ca="1">VLOOKUP(B211,표4[#Data],3)</f>
        <v>1672.5106827944833</v>
      </c>
      <c r="D211" s="67">
        <f ca="1">IF(RAND()&gt;=D$15,C$15,C$16)</f>
        <v>0.15</v>
      </c>
      <c r="E211" s="93">
        <f ca="1">C211*D211</f>
        <v>250.87660241917249</v>
      </c>
      <c r="F211" s="70">
        <f t="shared" ca="1" si="29"/>
        <v>0.12</v>
      </c>
      <c r="G211" s="93">
        <f t="shared" ca="1" si="30"/>
        <v>2090.6383534931042</v>
      </c>
      <c r="H211" s="93">
        <f t="shared" ca="1" si="31"/>
        <v>2508.7660241917251</v>
      </c>
      <c r="I211" s="93">
        <f t="shared" ca="1" si="32"/>
        <v>3583.9514631310358</v>
      </c>
      <c r="J211" s="93">
        <f t="shared" ca="1" si="28"/>
        <v>5548</v>
      </c>
      <c r="K211" s="73">
        <f t="shared" ca="1" si="33"/>
        <v>1</v>
      </c>
      <c r="L211" s="73">
        <f ca="1">IF(K211=1, IF(_xlfn.BINOM.INV(1, C$22, RAND())&gt;0, K211*2, C$23), IF(_xlfn.BINOM.INV(1, C$21, RAND())&gt;0, K211, C$23))</f>
        <v>1</v>
      </c>
      <c r="M211" s="93">
        <f t="shared" ca="1" si="34"/>
        <v>5548</v>
      </c>
      <c r="N211" s="70">
        <f ca="1">IF(AND(K211=1, L211&gt;1), C$20, IF(AND(K211&gt;1, L211&gt;1), C$19, 0))</f>
        <v>0</v>
      </c>
      <c r="O211" s="67">
        <f ca="1">IF(D211=15%,C$18,C$17)</f>
        <v>0.05</v>
      </c>
      <c r="P211" s="93">
        <f t="shared" ca="1" si="35"/>
        <v>303.92339758082738</v>
      </c>
      <c r="Q211" s="93">
        <f ca="1">J211*0.15 - C211*0.8 - C211*0.01</f>
        <v>-522.53365306353157</v>
      </c>
      <c r="R211" s="66"/>
    </row>
    <row r="212" spans="1:18" x14ac:dyDescent="0.3">
      <c r="A212" s="51">
        <v>171</v>
      </c>
      <c r="B212" s="91">
        <f t="shared" ca="1" si="27"/>
        <v>0.21002299164978844</v>
      </c>
      <c r="C212" s="92">
        <f ca="1">VLOOKUP(B212,표4[#Data],3)</f>
        <v>1672.5106827944833</v>
      </c>
      <c r="D212" s="67">
        <f ca="1">IF(RAND()&gt;=D$15,C$15,C$16)</f>
        <v>0.2</v>
      </c>
      <c r="E212" s="93">
        <f ca="1">C212*D212</f>
        <v>334.50213655889667</v>
      </c>
      <c r="F212" s="70">
        <f t="shared" ca="1" si="29"/>
        <v>0.13</v>
      </c>
      <c r="G212" s="93">
        <f t="shared" ca="1" si="30"/>
        <v>2573.0933581453587</v>
      </c>
      <c r="H212" s="93">
        <f t="shared" ca="1" si="31"/>
        <v>3040.9285141717878</v>
      </c>
      <c r="I212" s="93">
        <f t="shared" ca="1" si="32"/>
        <v>4181.2767069862084</v>
      </c>
      <c r="J212" s="93">
        <f t="shared" ca="1" si="28"/>
        <v>22471</v>
      </c>
      <c r="K212" s="73">
        <f t="shared" ca="1" si="33"/>
        <v>1</v>
      </c>
      <c r="L212" s="73">
        <f ca="1">IF(K212=1, IF(_xlfn.BINOM.INV(1, C$22, RAND())&gt;0, K212*2, C$23), IF(_xlfn.BINOM.INV(1, C$21, RAND())&gt;0, K212, C$23))</f>
        <v>1</v>
      </c>
      <c r="M212" s="93">
        <f t="shared" ca="1" si="34"/>
        <v>22471</v>
      </c>
      <c r="N212" s="70">
        <f ca="1">IF(AND(K212=1, L212&gt;1), C$20, IF(AND(K212&gt;1, L212&gt;1), C$19, 0))</f>
        <v>0</v>
      </c>
      <c r="O212" s="67">
        <f ca="1">IF(D212=15%,C$18,C$17)</f>
        <v>0.03</v>
      </c>
      <c r="P212" s="93">
        <f t="shared" ca="1" si="35"/>
        <v>2362.0178634411031</v>
      </c>
      <c r="Q212" s="93">
        <f ca="1">J212*0.15 - C212*0.8 - C212*0.01</f>
        <v>2015.9163469364687</v>
      </c>
      <c r="R212" s="66"/>
    </row>
    <row r="213" spans="1:18" x14ac:dyDescent="0.3">
      <c r="A213" s="51">
        <v>172</v>
      </c>
      <c r="B213" s="91">
        <f t="shared" ca="1" si="27"/>
        <v>8.1004209786806447E-2</v>
      </c>
      <c r="C213" s="92">
        <f ca="1">VLOOKUP(B213,표4[#Data],3)</f>
        <v>1672.5106827944833</v>
      </c>
      <c r="D213" s="67">
        <f ca="1">IF(RAND()&gt;=D$15,C$15,C$16)</f>
        <v>0.2</v>
      </c>
      <c r="E213" s="93">
        <f ca="1">C213*D213</f>
        <v>334.50213655889667</v>
      </c>
      <c r="F213" s="70">
        <f t="shared" ca="1" si="29"/>
        <v>0.13</v>
      </c>
      <c r="G213" s="93">
        <f t="shared" ca="1" si="30"/>
        <v>2573.0933581453587</v>
      </c>
      <c r="H213" s="93">
        <f t="shared" ca="1" si="31"/>
        <v>3040.9285141717878</v>
      </c>
      <c r="I213" s="93">
        <f t="shared" ca="1" si="32"/>
        <v>4181.2767069862084</v>
      </c>
      <c r="J213" s="93">
        <f t="shared" ca="1" si="28"/>
        <v>25720</v>
      </c>
      <c r="K213" s="73">
        <f t="shared" ca="1" si="33"/>
        <v>1</v>
      </c>
      <c r="L213" s="73">
        <f ca="1">IF(K213=1, IF(_xlfn.BINOM.INV(1, C$22, RAND())&gt;0, K213*2, C$23), IF(_xlfn.BINOM.INV(1, C$21, RAND())&gt;0, K213, C$23))</f>
        <v>1</v>
      </c>
      <c r="M213" s="93">
        <f t="shared" ca="1" si="34"/>
        <v>25720</v>
      </c>
      <c r="N213" s="70">
        <f ca="1">IF(AND(K213=1, L213&gt;1), C$20, IF(AND(K213&gt;1, L213&gt;1), C$19, 0))</f>
        <v>0</v>
      </c>
      <c r="O213" s="67">
        <f ca="1">IF(D213=15%,C$18,C$17)</f>
        <v>0.03</v>
      </c>
      <c r="P213" s="93">
        <f t="shared" ca="1" si="35"/>
        <v>2751.8978634411033</v>
      </c>
      <c r="Q213" s="93">
        <f ca="1">J213*0.15 - C213*0.8 - C213*0.01</f>
        <v>2503.2663469364688</v>
      </c>
      <c r="R213" s="66"/>
    </row>
    <row r="214" spans="1:18" x14ac:dyDescent="0.3">
      <c r="A214" s="51">
        <v>173</v>
      </c>
      <c r="B214" s="91">
        <f t="shared" ca="1" si="27"/>
        <v>0.10786987384392999</v>
      </c>
      <c r="C214" s="92">
        <f ca="1">VLOOKUP(B214,표4[#Data],3)</f>
        <v>1672.5106827944833</v>
      </c>
      <c r="D214" s="67">
        <f ca="1">IF(RAND()&gt;=D$15,C$15,C$16)</f>
        <v>0.2</v>
      </c>
      <c r="E214" s="93">
        <f ca="1">C214*D214</f>
        <v>334.50213655889667</v>
      </c>
      <c r="F214" s="70">
        <f t="shared" ca="1" si="29"/>
        <v>0.13</v>
      </c>
      <c r="G214" s="93">
        <f t="shared" ca="1" si="30"/>
        <v>2573.0933581453587</v>
      </c>
      <c r="H214" s="93">
        <f t="shared" ca="1" si="31"/>
        <v>3040.9285141717878</v>
      </c>
      <c r="I214" s="93">
        <f t="shared" ca="1" si="32"/>
        <v>4181.2767069862084</v>
      </c>
      <c r="J214" s="93">
        <f t="shared" ca="1" si="28"/>
        <v>4209</v>
      </c>
      <c r="K214" s="73">
        <f t="shared" ca="1" si="33"/>
        <v>1</v>
      </c>
      <c r="L214" s="73">
        <f ca="1">IF(K214=1, IF(_xlfn.BINOM.INV(1, C$22, RAND())&gt;0, K214*2, C$23), IF(_xlfn.BINOM.INV(1, C$21, RAND())&gt;0, K214, C$23))</f>
        <v>1</v>
      </c>
      <c r="M214" s="93">
        <f t="shared" ca="1" si="34"/>
        <v>4209</v>
      </c>
      <c r="N214" s="70">
        <f ca="1">IF(AND(K214=1, L214&gt;1), C$20, IF(AND(K214&gt;1, L214&gt;1), C$19, 0))</f>
        <v>0</v>
      </c>
      <c r="O214" s="67">
        <f ca="1">IF(D214=15%,C$18,C$17)</f>
        <v>0.03</v>
      </c>
      <c r="P214" s="93">
        <f t="shared" ca="1" si="35"/>
        <v>170.57786344110337</v>
      </c>
      <c r="Q214" s="93">
        <f ca="1">J214*0.15 - C214*0.8 - C214*0.01</f>
        <v>-723.38365306353148</v>
      </c>
      <c r="R214" s="66"/>
    </row>
    <row r="215" spans="1:18" x14ac:dyDescent="0.3">
      <c r="A215" s="51">
        <v>174</v>
      </c>
      <c r="B215" s="91">
        <f t="shared" ca="1" si="27"/>
        <v>0.60542058163088408</v>
      </c>
      <c r="C215" s="92">
        <f ca="1">VLOOKUP(B215,표4[#Data],3)</f>
        <v>1672.5106827944833</v>
      </c>
      <c r="D215" s="67">
        <f ca="1">IF(RAND()&gt;=D$15,C$15,C$16)</f>
        <v>0.2</v>
      </c>
      <c r="E215" s="93">
        <f ca="1">C215*D215</f>
        <v>334.50213655889667</v>
      </c>
      <c r="F215" s="70">
        <f t="shared" ca="1" si="29"/>
        <v>0.13</v>
      </c>
      <c r="G215" s="93">
        <f t="shared" ca="1" si="30"/>
        <v>2573.0933581453587</v>
      </c>
      <c r="H215" s="93">
        <f t="shared" ca="1" si="31"/>
        <v>3040.9285141717878</v>
      </c>
      <c r="I215" s="93">
        <f t="shared" ca="1" si="32"/>
        <v>4181.2767069862084</v>
      </c>
      <c r="J215" s="93">
        <f t="shared" ca="1" si="28"/>
        <v>5434</v>
      </c>
      <c r="K215" s="73">
        <f t="shared" ca="1" si="33"/>
        <v>1</v>
      </c>
      <c r="L215" s="73">
        <f ca="1">IF(K215=1, IF(_xlfn.BINOM.INV(1, C$22, RAND())&gt;0, K215*2, C$23), IF(_xlfn.BINOM.INV(1, C$21, RAND())&gt;0, K215, C$23))</f>
        <v>2</v>
      </c>
      <c r="M215" s="93">
        <f t="shared" ca="1" si="34"/>
        <v>10868</v>
      </c>
      <c r="N215" s="70">
        <f ca="1">IF(AND(K215=1, L215&gt;1), C$20, IF(AND(K215&gt;1, L215&gt;1), C$19, 0))</f>
        <v>0.02</v>
      </c>
      <c r="O215" s="67">
        <f ca="1">IF(D215=15%,C$18,C$17)</f>
        <v>0.03</v>
      </c>
      <c r="P215" s="93">
        <f t="shared" ca="1" si="35"/>
        <v>752.29786344110335</v>
      </c>
      <c r="Q215" s="93">
        <f ca="1">J215*0.15 - C215*0.8 - C215*0.01</f>
        <v>-539.63365306353148</v>
      </c>
      <c r="R215" s="66"/>
    </row>
    <row r="216" spans="1:18" x14ac:dyDescent="0.3">
      <c r="A216" s="51">
        <v>175</v>
      </c>
      <c r="B216" s="91">
        <f t="shared" ca="1" si="27"/>
        <v>0.72627947477100674</v>
      </c>
      <c r="C216" s="92">
        <f ca="1">VLOOKUP(B216,표4[#Data],3)</f>
        <v>7164.2608066002549</v>
      </c>
      <c r="D216" s="67">
        <f ca="1">IF(RAND()&gt;=D$15,C$15,C$16)</f>
        <v>0.15</v>
      </c>
      <c r="E216" s="93">
        <f ca="1">C216*D216</f>
        <v>1074.6391209900382</v>
      </c>
      <c r="F216" s="70">
        <f t="shared" ca="1" si="29"/>
        <v>0.12</v>
      </c>
      <c r="G216" s="93">
        <f t="shared" ca="1" si="30"/>
        <v>8955.3260082503184</v>
      </c>
      <c r="H216" s="93">
        <f t="shared" ca="1" si="31"/>
        <v>10746.391209900383</v>
      </c>
      <c r="I216" s="93">
        <f t="shared" ca="1" si="32"/>
        <v>15351.987442714833</v>
      </c>
      <c r="J216" s="93">
        <f t="shared" ca="1" si="28"/>
        <v>26974</v>
      </c>
      <c r="K216" s="73">
        <f t="shared" ca="1" si="33"/>
        <v>1</v>
      </c>
      <c r="L216" s="73">
        <f ca="1">IF(K216=1, IF(_xlfn.BINOM.INV(1, C$22, RAND())&gt;0, K216*2, C$23), IF(_xlfn.BINOM.INV(1, C$21, RAND())&gt;0, K216, C$23))</f>
        <v>1</v>
      </c>
      <c r="M216" s="93">
        <f t="shared" ca="1" si="34"/>
        <v>26974</v>
      </c>
      <c r="N216" s="70">
        <f ca="1">IF(AND(K216=1, L216&gt;1), C$20, IF(AND(K216&gt;1, L216&gt;1), C$19, 0))</f>
        <v>0</v>
      </c>
      <c r="O216" s="67">
        <f ca="1">IF(D216=15%,C$18,C$17)</f>
        <v>0.05</v>
      </c>
      <c r="P216" s="93">
        <f t="shared" ca="1" si="35"/>
        <v>1622.7608790099619</v>
      </c>
      <c r="Q216" s="93">
        <f ca="1">J216*0.15 - C216*0.8 - C216*0.01</f>
        <v>-1756.9512533462066</v>
      </c>
      <c r="R216" s="66"/>
    </row>
    <row r="217" spans="1:18" x14ac:dyDescent="0.3">
      <c r="A217" s="51">
        <v>176</v>
      </c>
      <c r="B217" s="91">
        <f t="shared" ca="1" si="27"/>
        <v>0.81652423547484554</v>
      </c>
      <c r="C217" s="92">
        <f ca="1">VLOOKUP(B217,표4[#Data],3)</f>
        <v>12285.574360263015</v>
      </c>
      <c r="D217" s="67">
        <f ca="1">IF(RAND()&gt;=D$15,C$15,C$16)</f>
        <v>0.2</v>
      </c>
      <c r="E217" s="93">
        <f ca="1">C217*D217</f>
        <v>2457.1148720526035</v>
      </c>
      <c r="F217" s="70">
        <f t="shared" ca="1" si="29"/>
        <v>0.13</v>
      </c>
      <c r="G217" s="93">
        <f t="shared" ca="1" si="30"/>
        <v>18900.883631173871</v>
      </c>
      <c r="H217" s="93">
        <f t="shared" ca="1" si="31"/>
        <v>22337.407927750941</v>
      </c>
      <c r="I217" s="93">
        <f t="shared" ca="1" si="32"/>
        <v>30713.935900657543</v>
      </c>
      <c r="J217" s="93">
        <f t="shared" ca="1" si="28"/>
        <v>5209</v>
      </c>
      <c r="K217" s="73">
        <f t="shared" ca="1" si="33"/>
        <v>6</v>
      </c>
      <c r="L217" s="73">
        <f ca="1">IF(K217=1, IF(_xlfn.BINOM.INV(1, C$22, RAND())&gt;0, K217*2, C$23), IF(_xlfn.BINOM.INV(1, C$21, RAND())&gt;0, K217, C$23))</f>
        <v>1</v>
      </c>
      <c r="M217" s="93">
        <f t="shared" ca="1" si="34"/>
        <v>5209</v>
      </c>
      <c r="N217" s="70">
        <f ca="1">IF(AND(K217=1, L217&gt;1), C$20, IF(AND(K217&gt;1, L217&gt;1), C$19, 0))</f>
        <v>0</v>
      </c>
      <c r="O217" s="67">
        <f ca="1">IF(D217=15%,C$18,C$17)</f>
        <v>0.03</v>
      </c>
      <c r="P217" s="93">
        <f t="shared" ca="1" si="35"/>
        <v>-1832.0348720526035</v>
      </c>
      <c r="Q217" s="93">
        <f ca="1">J217*0.15 - C217*0.8 - C217*0.01</f>
        <v>-9169.9652318130429</v>
      </c>
      <c r="R217" s="66"/>
    </row>
    <row r="218" spans="1:18" x14ac:dyDescent="0.3">
      <c r="A218" s="51">
        <v>177</v>
      </c>
      <c r="B218" s="91">
        <f t="shared" ca="1" si="27"/>
        <v>0.11331747254737423</v>
      </c>
      <c r="C218" s="92">
        <f ca="1">VLOOKUP(B218,표4[#Data],3)</f>
        <v>1672.5106827944833</v>
      </c>
      <c r="D218" s="67">
        <f ca="1">IF(RAND()&gt;=D$15,C$15,C$16)</f>
        <v>0.2</v>
      </c>
      <c r="E218" s="93">
        <f ca="1">C218*D218</f>
        <v>334.50213655889667</v>
      </c>
      <c r="F218" s="70">
        <f t="shared" ca="1" si="29"/>
        <v>0.13</v>
      </c>
      <c r="G218" s="93">
        <f t="shared" ca="1" si="30"/>
        <v>2573.0933581453587</v>
      </c>
      <c r="H218" s="93">
        <f t="shared" ca="1" si="31"/>
        <v>3040.9285141717878</v>
      </c>
      <c r="I218" s="93">
        <f t="shared" ca="1" si="32"/>
        <v>4181.2767069862084</v>
      </c>
      <c r="J218" s="93">
        <f t="shared" ca="1" si="28"/>
        <v>7441</v>
      </c>
      <c r="K218" s="73">
        <f t="shared" ca="1" si="33"/>
        <v>1</v>
      </c>
      <c r="L218" s="73">
        <f ca="1">IF(K218=1, IF(_xlfn.BINOM.INV(1, C$22, RAND())&gt;0, K218*2, C$23), IF(_xlfn.BINOM.INV(1, C$21, RAND())&gt;0, K218, C$23))</f>
        <v>1</v>
      </c>
      <c r="M218" s="93">
        <f t="shared" ca="1" si="34"/>
        <v>7441</v>
      </c>
      <c r="N218" s="70">
        <f ca="1">IF(AND(K218=1, L218&gt;1), C$20, IF(AND(K218&gt;1, L218&gt;1), C$19, 0))</f>
        <v>0</v>
      </c>
      <c r="O218" s="67">
        <f ca="1">IF(D218=15%,C$18,C$17)</f>
        <v>0.03</v>
      </c>
      <c r="P218" s="93">
        <f t="shared" ca="1" si="35"/>
        <v>558.41786344110324</v>
      </c>
      <c r="Q218" s="93">
        <f ca="1">J218*0.15 - C218*0.8 - C218*0.01</f>
        <v>-238.58365306353164</v>
      </c>
      <c r="R218" s="66"/>
    </row>
    <row r="219" spans="1:18" x14ac:dyDescent="0.3">
      <c r="A219" s="51">
        <v>178</v>
      </c>
      <c r="B219" s="91">
        <f t="shared" ca="1" si="27"/>
        <v>0.74197445384126548</v>
      </c>
      <c r="C219" s="92">
        <f ca="1">VLOOKUP(B219,표4[#Data],3)</f>
        <v>7164.2608066002549</v>
      </c>
      <c r="D219" s="67">
        <f ca="1">IF(RAND()&gt;=D$15,C$15,C$16)</f>
        <v>0.2</v>
      </c>
      <c r="E219" s="93">
        <f ca="1">C219*D219</f>
        <v>1432.852161320051</v>
      </c>
      <c r="F219" s="70">
        <f t="shared" ca="1" si="29"/>
        <v>0.13</v>
      </c>
      <c r="G219" s="93">
        <f t="shared" ca="1" si="30"/>
        <v>11021.93970246193</v>
      </c>
      <c r="H219" s="93">
        <f t="shared" ca="1" si="31"/>
        <v>13025.928739273191</v>
      </c>
      <c r="I219" s="93">
        <f t="shared" ca="1" si="32"/>
        <v>17910.652016500637</v>
      </c>
      <c r="J219" s="93">
        <f t="shared" ca="1" si="28"/>
        <v>6322</v>
      </c>
      <c r="K219" s="73">
        <f t="shared" ca="1" si="33"/>
        <v>3</v>
      </c>
      <c r="L219" s="73">
        <f ca="1">IF(K219=1, IF(_xlfn.BINOM.INV(1, C$22, RAND())&gt;0, K219*2, C$23), IF(_xlfn.BINOM.INV(1, C$21, RAND())&gt;0, K219, C$23))</f>
        <v>1</v>
      </c>
      <c r="M219" s="93">
        <f t="shared" ca="1" si="34"/>
        <v>6322</v>
      </c>
      <c r="N219" s="70">
        <f ca="1">IF(AND(K219=1, L219&gt;1), C$20, IF(AND(K219&gt;1, L219&gt;1), C$19, 0))</f>
        <v>0</v>
      </c>
      <c r="O219" s="67">
        <f ca="1">IF(D219=15%,C$18,C$17)</f>
        <v>0.03</v>
      </c>
      <c r="P219" s="93">
        <f t="shared" ca="1" si="35"/>
        <v>-674.212161320051</v>
      </c>
      <c r="Q219" s="93">
        <f ca="1">J219*0.15 - C219*0.8 - C219*0.01</f>
        <v>-4854.7512533462059</v>
      </c>
      <c r="R219" s="66"/>
    </row>
    <row r="220" spans="1:18" x14ac:dyDescent="0.3">
      <c r="A220" s="51">
        <v>179</v>
      </c>
      <c r="B220" s="91">
        <f t="shared" ca="1" si="27"/>
        <v>0.30553276320750189</v>
      </c>
      <c r="C220" s="92">
        <f ca="1">VLOOKUP(B220,표4[#Data],3)</f>
        <v>1672.5106827944833</v>
      </c>
      <c r="D220" s="67">
        <f ca="1">IF(RAND()&gt;=D$15,C$15,C$16)</f>
        <v>0.15</v>
      </c>
      <c r="E220" s="93">
        <f ca="1">C220*D220</f>
        <v>250.87660241917249</v>
      </c>
      <c r="F220" s="70">
        <f t="shared" ca="1" si="29"/>
        <v>0.12</v>
      </c>
      <c r="G220" s="93">
        <f t="shared" ca="1" si="30"/>
        <v>2090.6383534931042</v>
      </c>
      <c r="H220" s="93">
        <f t="shared" ca="1" si="31"/>
        <v>2508.7660241917251</v>
      </c>
      <c r="I220" s="93">
        <f t="shared" ca="1" si="32"/>
        <v>3583.9514631310358</v>
      </c>
      <c r="J220" s="93">
        <f t="shared" ca="1" si="28"/>
        <v>44830</v>
      </c>
      <c r="K220" s="73">
        <f t="shared" ca="1" si="33"/>
        <v>1</v>
      </c>
      <c r="L220" s="73">
        <f ca="1">IF(K220=1, IF(_xlfn.BINOM.INV(1, C$22, RAND())&gt;0, K220*2, C$23), IF(_xlfn.BINOM.INV(1, C$21, RAND())&gt;0, K220, C$23))</f>
        <v>1</v>
      </c>
      <c r="M220" s="93">
        <f t="shared" ca="1" si="34"/>
        <v>44830</v>
      </c>
      <c r="N220" s="70">
        <f ca="1">IF(AND(K220=1, L220&gt;1), C$20, IF(AND(K220&gt;1, L220&gt;1), C$19, 0))</f>
        <v>0</v>
      </c>
      <c r="O220" s="67">
        <f ca="1">IF(D220=15%,C$18,C$17)</f>
        <v>0.05</v>
      </c>
      <c r="P220" s="93">
        <f t="shared" ca="1" si="35"/>
        <v>4232.1233975808273</v>
      </c>
      <c r="Q220" s="93">
        <f ca="1">J220*0.15 - C220*0.8 - C220*0.01</f>
        <v>5369.7663469364688</v>
      </c>
      <c r="R220" s="66"/>
    </row>
    <row r="221" spans="1:18" x14ac:dyDescent="0.3">
      <c r="A221" s="51">
        <v>180</v>
      </c>
      <c r="B221" s="91">
        <f t="shared" ca="1" si="27"/>
        <v>0.11027923503616122</v>
      </c>
      <c r="C221" s="92">
        <f ca="1">VLOOKUP(B221,표4[#Data],3)</f>
        <v>1672.5106827944833</v>
      </c>
      <c r="D221" s="67">
        <f ca="1">IF(RAND()&gt;=D$15,C$15,C$16)</f>
        <v>0.15</v>
      </c>
      <c r="E221" s="93">
        <f ca="1">C221*D221</f>
        <v>250.87660241917249</v>
      </c>
      <c r="F221" s="70">
        <f t="shared" ca="1" si="29"/>
        <v>0.12</v>
      </c>
      <c r="G221" s="93">
        <f t="shared" ca="1" si="30"/>
        <v>2090.6383534931042</v>
      </c>
      <c r="H221" s="93">
        <f t="shared" ca="1" si="31"/>
        <v>2508.7660241917251</v>
      </c>
      <c r="I221" s="93">
        <f t="shared" ca="1" si="32"/>
        <v>3583.9514631310358</v>
      </c>
      <c r="J221" s="93">
        <f t="shared" ca="1" si="28"/>
        <v>21325</v>
      </c>
      <c r="K221" s="73">
        <f t="shared" ca="1" si="33"/>
        <v>1</v>
      </c>
      <c r="L221" s="73">
        <f ca="1">IF(K221=1, IF(_xlfn.BINOM.INV(1, C$22, RAND())&gt;0, K221*2, C$23), IF(_xlfn.BINOM.INV(1, C$21, RAND())&gt;0, K221, C$23))</f>
        <v>1</v>
      </c>
      <c r="M221" s="93">
        <f t="shared" ca="1" si="34"/>
        <v>21325</v>
      </c>
      <c r="N221" s="70">
        <f ca="1">IF(AND(K221=1, L221&gt;1), C$20, IF(AND(K221&gt;1, L221&gt;1), C$19, 0))</f>
        <v>0</v>
      </c>
      <c r="O221" s="67">
        <f ca="1">IF(D221=15%,C$18,C$17)</f>
        <v>0.05</v>
      </c>
      <c r="P221" s="93">
        <f t="shared" ca="1" si="35"/>
        <v>1881.6233975808277</v>
      </c>
      <c r="Q221" s="93">
        <f ca="1">J221*0.15 - C221*0.8 - C221*0.01</f>
        <v>1844.0163469364686</v>
      </c>
      <c r="R221" s="66"/>
    </row>
    <row r="222" spans="1:18" x14ac:dyDescent="0.3">
      <c r="A222" s="51">
        <v>181</v>
      </c>
      <c r="B222" s="91">
        <f t="shared" ca="1" si="27"/>
        <v>0.36424726600475577</v>
      </c>
      <c r="C222" s="92">
        <f ca="1">VLOOKUP(B222,표4[#Data],3)</f>
        <v>1672.5106827944833</v>
      </c>
      <c r="D222" s="67">
        <f ca="1">IF(RAND()&gt;=D$15,C$15,C$16)</f>
        <v>0.15</v>
      </c>
      <c r="E222" s="93">
        <f ca="1">C222*D222</f>
        <v>250.87660241917249</v>
      </c>
      <c r="F222" s="70">
        <f t="shared" ca="1" si="29"/>
        <v>0.12</v>
      </c>
      <c r="G222" s="93">
        <f t="shared" ca="1" si="30"/>
        <v>2090.6383534931042</v>
      </c>
      <c r="H222" s="93">
        <f t="shared" ca="1" si="31"/>
        <v>2508.7660241917251</v>
      </c>
      <c r="I222" s="93">
        <f t="shared" ca="1" si="32"/>
        <v>3583.9514631310358</v>
      </c>
      <c r="J222" s="93">
        <f t="shared" ca="1" si="28"/>
        <v>23922</v>
      </c>
      <c r="K222" s="73">
        <f t="shared" ca="1" si="33"/>
        <v>1</v>
      </c>
      <c r="L222" s="73">
        <f ca="1">IF(K222=1, IF(_xlfn.BINOM.INV(1, C$22, RAND())&gt;0, K222*2, C$23), IF(_xlfn.BINOM.INV(1, C$21, RAND())&gt;0, K222, C$23))</f>
        <v>1</v>
      </c>
      <c r="M222" s="93">
        <f t="shared" ca="1" si="34"/>
        <v>23922</v>
      </c>
      <c r="N222" s="70">
        <f ca="1">IF(AND(K222=1, L222&gt;1), C$20, IF(AND(K222&gt;1, L222&gt;1), C$19, 0))</f>
        <v>0</v>
      </c>
      <c r="O222" s="67">
        <f ca="1">IF(D222=15%,C$18,C$17)</f>
        <v>0.05</v>
      </c>
      <c r="P222" s="93">
        <f t="shared" ca="1" si="35"/>
        <v>2141.3233975808271</v>
      </c>
      <c r="Q222" s="93">
        <f ca="1">J222*0.15 - C222*0.8 - C222*0.01</f>
        <v>2233.5663469364681</v>
      </c>
      <c r="R222" s="66"/>
    </row>
    <row r="223" spans="1:18" x14ac:dyDescent="0.3">
      <c r="A223" s="51">
        <v>182</v>
      </c>
      <c r="B223" s="91">
        <f t="shared" ca="1" si="27"/>
        <v>0.19113140512317495</v>
      </c>
      <c r="C223" s="92">
        <f ca="1">VLOOKUP(B223,표4[#Data],3)</f>
        <v>1672.5106827944833</v>
      </c>
      <c r="D223" s="67">
        <f ca="1">IF(RAND()&gt;=D$15,C$15,C$16)</f>
        <v>0.15</v>
      </c>
      <c r="E223" s="93">
        <f ca="1">C223*D223</f>
        <v>250.87660241917249</v>
      </c>
      <c r="F223" s="70">
        <f t="shared" ca="1" si="29"/>
        <v>0.12</v>
      </c>
      <c r="G223" s="93">
        <f t="shared" ca="1" si="30"/>
        <v>2090.6383534931042</v>
      </c>
      <c r="H223" s="93">
        <f t="shared" ca="1" si="31"/>
        <v>2508.7660241917251</v>
      </c>
      <c r="I223" s="93">
        <f t="shared" ca="1" si="32"/>
        <v>3583.9514631310358</v>
      </c>
      <c r="J223" s="93">
        <f t="shared" ca="1" si="28"/>
        <v>22029</v>
      </c>
      <c r="K223" s="73">
        <f t="shared" ca="1" si="33"/>
        <v>1</v>
      </c>
      <c r="L223" s="73">
        <f ca="1">IF(K223=1, IF(_xlfn.BINOM.INV(1, C$22, RAND())&gt;0, K223*2, C$23), IF(_xlfn.BINOM.INV(1, C$21, RAND())&gt;0, K223, C$23))</f>
        <v>1</v>
      </c>
      <c r="M223" s="93">
        <f t="shared" ca="1" si="34"/>
        <v>22029</v>
      </c>
      <c r="N223" s="70">
        <f ca="1">IF(AND(K223=1, L223&gt;1), C$20, IF(AND(K223&gt;1, L223&gt;1), C$19, 0))</f>
        <v>0</v>
      </c>
      <c r="O223" s="67">
        <f ca="1">IF(D223=15%,C$18,C$17)</f>
        <v>0.05</v>
      </c>
      <c r="P223" s="93">
        <f t="shared" ca="1" si="35"/>
        <v>1952.0233975808276</v>
      </c>
      <c r="Q223" s="93">
        <f ca="1">J223*0.15 - C223*0.8 - C223*0.01</f>
        <v>1949.6163469364685</v>
      </c>
      <c r="R223" s="66"/>
    </row>
    <row r="224" spans="1:18" x14ac:dyDescent="0.3">
      <c r="A224" s="51">
        <v>183</v>
      </c>
      <c r="B224" s="91">
        <f t="shared" ca="1" si="27"/>
        <v>0.12846893359167244</v>
      </c>
      <c r="C224" s="92">
        <f ca="1">VLOOKUP(B224,표4[#Data],3)</f>
        <v>1672.5106827944833</v>
      </c>
      <c r="D224" s="67">
        <f ca="1">IF(RAND()&gt;=D$15,C$15,C$16)</f>
        <v>0.15</v>
      </c>
      <c r="E224" s="93">
        <f ca="1">C224*D224</f>
        <v>250.87660241917249</v>
      </c>
      <c r="F224" s="70">
        <f t="shared" ca="1" si="29"/>
        <v>0.12</v>
      </c>
      <c r="G224" s="93">
        <f t="shared" ca="1" si="30"/>
        <v>2090.6383534931042</v>
      </c>
      <c r="H224" s="93">
        <f t="shared" ca="1" si="31"/>
        <v>2508.7660241917251</v>
      </c>
      <c r="I224" s="93">
        <f t="shared" ca="1" si="32"/>
        <v>3583.9514631310358</v>
      </c>
      <c r="J224" s="93">
        <f t="shared" ca="1" si="28"/>
        <v>26862</v>
      </c>
      <c r="K224" s="73">
        <f t="shared" ca="1" si="33"/>
        <v>1</v>
      </c>
      <c r="L224" s="73">
        <f ca="1">IF(K224=1, IF(_xlfn.BINOM.INV(1, C$22, RAND())&gt;0, K224*2, C$23), IF(_xlfn.BINOM.INV(1, C$21, RAND())&gt;0, K224, C$23))</f>
        <v>1</v>
      </c>
      <c r="M224" s="93">
        <f t="shared" ca="1" si="34"/>
        <v>26862</v>
      </c>
      <c r="N224" s="70">
        <f ca="1">IF(AND(K224=1, L224&gt;1), C$20, IF(AND(K224&gt;1, L224&gt;1), C$19, 0))</f>
        <v>0</v>
      </c>
      <c r="O224" s="67">
        <f ca="1">IF(D224=15%,C$18,C$17)</f>
        <v>0.05</v>
      </c>
      <c r="P224" s="93">
        <f t="shared" ca="1" si="35"/>
        <v>2435.3233975808271</v>
      </c>
      <c r="Q224" s="93">
        <f ca="1">J224*0.15 - C224*0.8 - C224*0.01</f>
        <v>2674.5663469364681</v>
      </c>
      <c r="R224" s="66"/>
    </row>
    <row r="225" spans="1:18" x14ac:dyDescent="0.3">
      <c r="A225" s="51">
        <v>184</v>
      </c>
      <c r="B225" s="91">
        <f t="shared" ca="1" si="27"/>
        <v>0.80828604752925848</v>
      </c>
      <c r="C225" s="92">
        <f ca="1">VLOOKUP(B225,표4[#Data],3)</f>
        <v>7164.2608066002549</v>
      </c>
      <c r="D225" s="67">
        <f ca="1">IF(RAND()&gt;=D$15,C$15,C$16)</f>
        <v>0.15</v>
      </c>
      <c r="E225" s="93">
        <f ca="1">C225*D225</f>
        <v>1074.6391209900382</v>
      </c>
      <c r="F225" s="70">
        <f t="shared" ca="1" si="29"/>
        <v>0.12</v>
      </c>
      <c r="G225" s="93">
        <f t="shared" ca="1" si="30"/>
        <v>8955.3260082503184</v>
      </c>
      <c r="H225" s="93">
        <f t="shared" ca="1" si="31"/>
        <v>10746.391209900383</v>
      </c>
      <c r="I225" s="93">
        <f t="shared" ca="1" si="32"/>
        <v>15351.987442714833</v>
      </c>
      <c r="J225" s="93">
        <f t="shared" ca="1" si="28"/>
        <v>6354</v>
      </c>
      <c r="K225" s="73">
        <f t="shared" ca="1" si="33"/>
        <v>2</v>
      </c>
      <c r="L225" s="73">
        <f ca="1">IF(K225=1, IF(_xlfn.BINOM.INV(1, C$22, RAND())&gt;0, K225*2, C$23), IF(_xlfn.BINOM.INV(1, C$21, RAND())&gt;0, K225, C$23))</f>
        <v>1</v>
      </c>
      <c r="M225" s="93">
        <f t="shared" ca="1" si="34"/>
        <v>6354</v>
      </c>
      <c r="N225" s="70">
        <f ca="1">IF(AND(K225=1, L225&gt;1), C$20, IF(AND(K225&gt;1, L225&gt;1), C$19, 0))</f>
        <v>0</v>
      </c>
      <c r="O225" s="67">
        <f ca="1">IF(D225=15%,C$18,C$17)</f>
        <v>0.05</v>
      </c>
      <c r="P225" s="93">
        <f t="shared" ca="1" si="35"/>
        <v>-439.23912099003837</v>
      </c>
      <c r="Q225" s="93">
        <f ca="1">J225*0.15 - C225*0.8 - C225*0.01</f>
        <v>-4849.9512533462057</v>
      </c>
      <c r="R225" s="66"/>
    </row>
    <row r="226" spans="1:18" x14ac:dyDescent="0.3">
      <c r="A226" s="51">
        <v>185</v>
      </c>
      <c r="B226" s="91">
        <f t="shared" ca="1" si="27"/>
        <v>0.49427575778196775</v>
      </c>
      <c r="C226" s="92">
        <f ca="1">VLOOKUP(B226,표4[#Data],3)</f>
        <v>1672.5106827944833</v>
      </c>
      <c r="D226" s="67">
        <f ca="1">IF(RAND()&gt;=D$15,C$15,C$16)</f>
        <v>0.2</v>
      </c>
      <c r="E226" s="93">
        <f ca="1">C226*D226</f>
        <v>334.50213655889667</v>
      </c>
      <c r="F226" s="70">
        <f t="shared" ca="1" si="29"/>
        <v>0.13</v>
      </c>
      <c r="G226" s="93">
        <f t="shared" ca="1" si="30"/>
        <v>2573.0933581453587</v>
      </c>
      <c r="H226" s="93">
        <f t="shared" ca="1" si="31"/>
        <v>3040.9285141717878</v>
      </c>
      <c r="I226" s="93">
        <f t="shared" ca="1" si="32"/>
        <v>4181.2767069862084</v>
      </c>
      <c r="J226" s="93">
        <f t="shared" ca="1" si="28"/>
        <v>11665</v>
      </c>
      <c r="K226" s="73">
        <f t="shared" ca="1" si="33"/>
        <v>1</v>
      </c>
      <c r="L226" s="73">
        <f ca="1">IF(K226=1, IF(_xlfn.BINOM.INV(1, C$22, RAND())&gt;0, K226*2, C$23), IF(_xlfn.BINOM.INV(1, C$21, RAND())&gt;0, K226, C$23))</f>
        <v>1</v>
      </c>
      <c r="M226" s="93">
        <f t="shared" ca="1" si="34"/>
        <v>11665</v>
      </c>
      <c r="N226" s="70">
        <f ca="1">IF(AND(K226=1, L226&gt;1), C$20, IF(AND(K226&gt;1, L226&gt;1), C$19, 0))</f>
        <v>0</v>
      </c>
      <c r="O226" s="67">
        <f ca="1">IF(D226=15%,C$18,C$17)</f>
        <v>0.03</v>
      </c>
      <c r="P226" s="93">
        <f t="shared" ca="1" si="35"/>
        <v>1065.2978634411033</v>
      </c>
      <c r="Q226" s="93">
        <f ca="1">J226*0.15 - C226*0.8 - C226*0.01</f>
        <v>395.01634693646849</v>
      </c>
      <c r="R226" s="66"/>
    </row>
    <row r="227" spans="1:18" x14ac:dyDescent="0.3">
      <c r="A227" s="51">
        <v>186</v>
      </c>
      <c r="B227" s="91">
        <f t="shared" ca="1" si="27"/>
        <v>0.53706980048278286</v>
      </c>
      <c r="C227" s="92">
        <f ca="1">VLOOKUP(B227,표4[#Data],3)</f>
        <v>1672.5106827944833</v>
      </c>
      <c r="D227" s="67">
        <f ca="1">IF(RAND()&gt;=D$15,C$15,C$16)</f>
        <v>0.2</v>
      </c>
      <c r="E227" s="93">
        <f ca="1">C227*D227</f>
        <v>334.50213655889667</v>
      </c>
      <c r="F227" s="70">
        <f t="shared" ca="1" si="29"/>
        <v>0.13</v>
      </c>
      <c r="G227" s="93">
        <f t="shared" ca="1" si="30"/>
        <v>2573.0933581453587</v>
      </c>
      <c r="H227" s="93">
        <f t="shared" ca="1" si="31"/>
        <v>3040.9285141717878</v>
      </c>
      <c r="I227" s="93">
        <f t="shared" ca="1" si="32"/>
        <v>4181.2767069862084</v>
      </c>
      <c r="J227" s="93">
        <f t="shared" ca="1" si="28"/>
        <v>6262</v>
      </c>
      <c r="K227" s="73">
        <f t="shared" ca="1" si="33"/>
        <v>1</v>
      </c>
      <c r="L227" s="73">
        <f ca="1">IF(K227=1, IF(_xlfn.BINOM.INV(1, C$22, RAND())&gt;0, K227*2, C$23), IF(_xlfn.BINOM.INV(1, C$21, RAND())&gt;0, K227, C$23))</f>
        <v>2</v>
      </c>
      <c r="M227" s="93">
        <f t="shared" ca="1" si="34"/>
        <v>12524</v>
      </c>
      <c r="N227" s="70">
        <f ca="1">IF(AND(K227=1, L227&gt;1), C$20, IF(AND(K227&gt;1, L227&gt;1), C$19, 0))</f>
        <v>0.02</v>
      </c>
      <c r="O227" s="67">
        <f ca="1">IF(D227=15%,C$18,C$17)</f>
        <v>0.03</v>
      </c>
      <c r="P227" s="93">
        <f t="shared" ca="1" si="35"/>
        <v>917.89786344110325</v>
      </c>
      <c r="Q227" s="93">
        <f ca="1">J227*0.15 - C227*0.8 - C227*0.01</f>
        <v>-415.43365306353155</v>
      </c>
      <c r="R227" s="66"/>
    </row>
    <row r="228" spans="1:18" x14ac:dyDescent="0.3">
      <c r="A228" s="51">
        <v>187</v>
      </c>
      <c r="B228" s="91">
        <f t="shared" ca="1" si="27"/>
        <v>0.64153322791236655</v>
      </c>
      <c r="C228" s="92">
        <f ca="1">VLOOKUP(B228,표4[#Data],3)</f>
        <v>1672.5106827944833</v>
      </c>
      <c r="D228" s="67">
        <f ca="1">IF(RAND()&gt;=D$15,C$15,C$16)</f>
        <v>0.15</v>
      </c>
      <c r="E228" s="93">
        <f ca="1">C228*D228</f>
        <v>250.87660241917249</v>
      </c>
      <c r="F228" s="70">
        <f t="shared" ca="1" si="29"/>
        <v>0.12</v>
      </c>
      <c r="G228" s="93">
        <f t="shared" ca="1" si="30"/>
        <v>2090.6383534931042</v>
      </c>
      <c r="H228" s="93">
        <f t="shared" ca="1" si="31"/>
        <v>2508.7660241917251</v>
      </c>
      <c r="I228" s="93">
        <f t="shared" ca="1" si="32"/>
        <v>3583.9514631310358</v>
      </c>
      <c r="J228" s="93">
        <f t="shared" ca="1" si="28"/>
        <v>22816</v>
      </c>
      <c r="K228" s="73">
        <f t="shared" ca="1" si="33"/>
        <v>1</v>
      </c>
      <c r="L228" s="73">
        <f ca="1">IF(K228=1, IF(_xlfn.BINOM.INV(1, C$22, RAND())&gt;0, K228*2, C$23), IF(_xlfn.BINOM.INV(1, C$21, RAND())&gt;0, K228, C$23))</f>
        <v>1</v>
      </c>
      <c r="M228" s="93">
        <f t="shared" ca="1" si="34"/>
        <v>22816</v>
      </c>
      <c r="N228" s="70">
        <f ca="1">IF(AND(K228=1, L228&gt;1), C$20, IF(AND(K228&gt;1, L228&gt;1), C$19, 0))</f>
        <v>0</v>
      </c>
      <c r="O228" s="67">
        <f ca="1">IF(D228=15%,C$18,C$17)</f>
        <v>0.05</v>
      </c>
      <c r="P228" s="93">
        <f t="shared" ca="1" si="35"/>
        <v>2030.7233975808279</v>
      </c>
      <c r="Q228" s="93">
        <f ca="1">J228*0.15 - C228*0.8 - C228*0.01</f>
        <v>2067.6663469364685</v>
      </c>
      <c r="R228" s="66"/>
    </row>
    <row r="229" spans="1:18" x14ac:dyDescent="0.3">
      <c r="A229" s="51">
        <v>188</v>
      </c>
      <c r="B229" s="91">
        <f t="shared" ca="1" si="27"/>
        <v>0.90444275059733537</v>
      </c>
      <c r="C229" s="92">
        <f ca="1">VLOOKUP(B229,표4[#Data],3)</f>
        <v>17243.006404326479</v>
      </c>
      <c r="D229" s="67">
        <f ca="1">IF(RAND()&gt;=D$15,C$15,C$16)</f>
        <v>0.15</v>
      </c>
      <c r="E229" s="93">
        <f ca="1">C229*D229</f>
        <v>2586.4509606489719</v>
      </c>
      <c r="F229" s="70">
        <f t="shared" ca="1" si="29"/>
        <v>0.12</v>
      </c>
      <c r="G229" s="93">
        <f t="shared" ca="1" si="30"/>
        <v>21553.758005408101</v>
      </c>
      <c r="H229" s="93">
        <f t="shared" ca="1" si="31"/>
        <v>25864.509606489723</v>
      </c>
      <c r="I229" s="93">
        <f t="shared" ca="1" si="32"/>
        <v>36949.299437842463</v>
      </c>
      <c r="J229" s="93">
        <f t="shared" ca="1" si="28"/>
        <v>5555</v>
      </c>
      <c r="K229" s="73">
        <f t="shared" ca="1" si="33"/>
        <v>7</v>
      </c>
      <c r="L229" s="73">
        <f ca="1">IF(K229=1, IF(_xlfn.BINOM.INV(1, C$22, RAND())&gt;0, K229*2, C$23), IF(_xlfn.BINOM.INV(1, C$21, RAND())&gt;0, K229, C$23))</f>
        <v>1</v>
      </c>
      <c r="M229" s="93">
        <f t="shared" ca="1" si="34"/>
        <v>5555</v>
      </c>
      <c r="N229" s="70">
        <f ca="1">IF(AND(K229=1, L229&gt;1), C$20, IF(AND(K229&gt;1, L229&gt;1), C$19, 0))</f>
        <v>0</v>
      </c>
      <c r="O229" s="67">
        <f ca="1">IF(D229=15%,C$18,C$17)</f>
        <v>0.05</v>
      </c>
      <c r="P229" s="93">
        <f t="shared" ca="1" si="35"/>
        <v>-2030.9509606489719</v>
      </c>
      <c r="Q229" s="93">
        <f ca="1">J229*0.15 - C229*0.8 - C229*0.01</f>
        <v>-13133.585187504448</v>
      </c>
      <c r="R229" s="66"/>
    </row>
    <row r="230" spans="1:18" x14ac:dyDescent="0.3">
      <c r="A230" s="51">
        <v>189</v>
      </c>
      <c r="B230" s="91">
        <f t="shared" ca="1" si="27"/>
        <v>0.38161926387991341</v>
      </c>
      <c r="C230" s="92">
        <f ca="1">VLOOKUP(B230,표4[#Data],3)</f>
        <v>1672.5106827944833</v>
      </c>
      <c r="D230" s="67">
        <f ca="1">IF(RAND()&gt;=D$15,C$15,C$16)</f>
        <v>0.15</v>
      </c>
      <c r="E230" s="93">
        <f ca="1">C230*D230</f>
        <v>250.87660241917249</v>
      </c>
      <c r="F230" s="70">
        <f t="shared" ca="1" si="29"/>
        <v>0.12</v>
      </c>
      <c r="G230" s="93">
        <f t="shared" ca="1" si="30"/>
        <v>2090.6383534931042</v>
      </c>
      <c r="H230" s="93">
        <f t="shared" ca="1" si="31"/>
        <v>2508.7660241917251</v>
      </c>
      <c r="I230" s="93">
        <f t="shared" ca="1" si="32"/>
        <v>3583.9514631310358</v>
      </c>
      <c r="J230" s="93">
        <f t="shared" ca="1" si="28"/>
        <v>5773</v>
      </c>
      <c r="K230" s="73">
        <f t="shared" ca="1" si="33"/>
        <v>1</v>
      </c>
      <c r="L230" s="73">
        <f ca="1">IF(K230=1, IF(_xlfn.BINOM.INV(1, C$22, RAND())&gt;0, K230*2, C$23), IF(_xlfn.BINOM.INV(1, C$21, RAND())&gt;0, K230, C$23))</f>
        <v>1</v>
      </c>
      <c r="M230" s="93">
        <f t="shared" ca="1" si="34"/>
        <v>5773</v>
      </c>
      <c r="N230" s="70">
        <f ca="1">IF(AND(K230=1, L230&gt;1), C$20, IF(AND(K230&gt;1, L230&gt;1), C$19, 0))</f>
        <v>0</v>
      </c>
      <c r="O230" s="67">
        <f ca="1">IF(D230=15%,C$18,C$17)</f>
        <v>0.05</v>
      </c>
      <c r="P230" s="93">
        <f t="shared" ca="1" si="35"/>
        <v>326.42339758082738</v>
      </c>
      <c r="Q230" s="93">
        <f ca="1">J230*0.15 - C230*0.8 - C230*0.01</f>
        <v>-488.78365306353157</v>
      </c>
      <c r="R230" s="66"/>
    </row>
    <row r="231" spans="1:18" x14ac:dyDescent="0.3">
      <c r="A231" s="51">
        <v>190</v>
      </c>
      <c r="B231" s="91">
        <f t="shared" ca="1" si="27"/>
        <v>0.12352481073442512</v>
      </c>
      <c r="C231" s="92">
        <f ca="1">VLOOKUP(B231,표4[#Data],3)</f>
        <v>1672.5106827944833</v>
      </c>
      <c r="D231" s="67">
        <f ca="1">IF(RAND()&gt;=D$15,C$15,C$16)</f>
        <v>0.15</v>
      </c>
      <c r="E231" s="93">
        <f ca="1">C231*D231</f>
        <v>250.87660241917249</v>
      </c>
      <c r="F231" s="70">
        <f t="shared" ca="1" si="29"/>
        <v>0.12</v>
      </c>
      <c r="G231" s="93">
        <f t="shared" ca="1" si="30"/>
        <v>2090.6383534931042</v>
      </c>
      <c r="H231" s="93">
        <f t="shared" ca="1" si="31"/>
        <v>2508.7660241917251</v>
      </c>
      <c r="I231" s="93">
        <f t="shared" ca="1" si="32"/>
        <v>3583.9514631310358</v>
      </c>
      <c r="J231" s="93">
        <f t="shared" ca="1" si="28"/>
        <v>7934</v>
      </c>
      <c r="K231" s="73">
        <f t="shared" ca="1" si="33"/>
        <v>1</v>
      </c>
      <c r="L231" s="73">
        <f ca="1">IF(K231=1, IF(_xlfn.BINOM.INV(1, C$22, RAND())&gt;0, K231*2, C$23), IF(_xlfn.BINOM.INV(1, C$21, RAND())&gt;0, K231, C$23))</f>
        <v>1</v>
      </c>
      <c r="M231" s="93">
        <f t="shared" ca="1" si="34"/>
        <v>7934</v>
      </c>
      <c r="N231" s="70">
        <f ca="1">IF(AND(K231=1, L231&gt;1), C$20, IF(AND(K231&gt;1, L231&gt;1), C$19, 0))</f>
        <v>0</v>
      </c>
      <c r="O231" s="67">
        <f ca="1">IF(D231=15%,C$18,C$17)</f>
        <v>0.05</v>
      </c>
      <c r="P231" s="93">
        <f t="shared" ca="1" si="35"/>
        <v>542.52339758082735</v>
      </c>
      <c r="Q231" s="93">
        <f ca="1">J231*0.15 - C231*0.8 - C231*0.01</f>
        <v>-164.6336530635316</v>
      </c>
      <c r="R231" s="66"/>
    </row>
    <row r="232" spans="1:18" x14ac:dyDescent="0.3">
      <c r="A232" s="51">
        <v>191</v>
      </c>
      <c r="B232" s="91">
        <f t="shared" ca="1" si="27"/>
        <v>1.5393426552849698E-2</v>
      </c>
      <c r="C232" s="92">
        <f ca="1">VLOOKUP(B232,표4[#Data],3)</f>
        <v>1672.5106827944833</v>
      </c>
      <c r="D232" s="67">
        <f ca="1">IF(RAND()&gt;=D$15,C$15,C$16)</f>
        <v>0.15</v>
      </c>
      <c r="E232" s="93">
        <f ca="1">C232*D232</f>
        <v>250.87660241917249</v>
      </c>
      <c r="F232" s="70">
        <f t="shared" ca="1" si="29"/>
        <v>0.12</v>
      </c>
      <c r="G232" s="93">
        <f t="shared" ca="1" si="30"/>
        <v>2090.6383534931042</v>
      </c>
      <c r="H232" s="93">
        <f t="shared" ca="1" si="31"/>
        <v>2508.7660241917251</v>
      </c>
      <c r="I232" s="93">
        <f t="shared" ca="1" si="32"/>
        <v>3583.9514631310358</v>
      </c>
      <c r="J232" s="93">
        <f t="shared" ca="1" si="28"/>
        <v>4343</v>
      </c>
      <c r="K232" s="73">
        <f t="shared" ca="1" si="33"/>
        <v>1</v>
      </c>
      <c r="L232" s="73">
        <f ca="1">IF(K232=1, IF(_xlfn.BINOM.INV(1, C$22, RAND())&gt;0, K232*2, C$23), IF(_xlfn.BINOM.INV(1, C$21, RAND())&gt;0, K232, C$23))</f>
        <v>1</v>
      </c>
      <c r="M232" s="93">
        <f t="shared" ca="1" si="34"/>
        <v>4343</v>
      </c>
      <c r="N232" s="70">
        <f ca="1">IF(AND(K232=1, L232&gt;1), C$20, IF(AND(K232&gt;1, L232&gt;1), C$19, 0))</f>
        <v>0</v>
      </c>
      <c r="O232" s="67">
        <f ca="1">IF(D232=15%,C$18,C$17)</f>
        <v>0.05</v>
      </c>
      <c r="P232" s="93">
        <f t="shared" ca="1" si="35"/>
        <v>183.42339758082741</v>
      </c>
      <c r="Q232" s="93">
        <f ca="1">J232*0.15 - C232*0.8 - C232*0.01</f>
        <v>-703.28365306353157</v>
      </c>
      <c r="R232" s="66"/>
    </row>
    <row r="233" spans="1:18" x14ac:dyDescent="0.3">
      <c r="A233" s="51">
        <v>192</v>
      </c>
      <c r="B233" s="91">
        <f t="shared" ca="1" si="27"/>
        <v>0.84096840777481741</v>
      </c>
      <c r="C233" s="92">
        <f ca="1">VLOOKUP(B233,표4[#Data],3)</f>
        <v>12285.574360263015</v>
      </c>
      <c r="D233" s="67">
        <f ca="1">IF(RAND()&gt;=D$15,C$15,C$16)</f>
        <v>0.15</v>
      </c>
      <c r="E233" s="93">
        <f ca="1">C233*D233</f>
        <v>1842.8361540394521</v>
      </c>
      <c r="F233" s="70">
        <f t="shared" ref="F233:F239" ca="1" si="36">15%-(IF(D233=20%,2%,3%))</f>
        <v>0.12</v>
      </c>
      <c r="G233" s="93">
        <f t="shared" ref="G233:G239" ca="1" si="37">E233/F233</f>
        <v>15356.967950328768</v>
      </c>
      <c r="H233" s="93">
        <f t="shared" ref="H233:H239" ca="1" si="38">E233/(F233-2%)</f>
        <v>18428.361540394522</v>
      </c>
      <c r="I233" s="93">
        <f t="shared" ref="I233:I239" ca="1" si="39">E233/(F233-5%)</f>
        <v>26326.230771992177</v>
      </c>
      <c r="J233" s="93">
        <f t="shared" ca="1" si="28"/>
        <v>26928</v>
      </c>
      <c r="K233" s="73">
        <f t="shared" ref="K233:K239" ca="1" si="40">IF( G233/J233 &lt; 1, 1, ROUND(I233/J233,0))</f>
        <v>1</v>
      </c>
      <c r="L233" s="73">
        <f ca="1">IF(K233=1, IF(_xlfn.BINOM.INV(1, C$22, RAND())&gt;0, K233*2, C$23), IF(_xlfn.BINOM.INV(1, C$21, RAND())&gt;0, K233, C$23))</f>
        <v>1</v>
      </c>
      <c r="M233" s="93">
        <f t="shared" ref="M233:M239" ca="1" si="41">J233*L233</f>
        <v>26928</v>
      </c>
      <c r="N233" s="70">
        <f ca="1">IF(AND(K233=1, L233&gt;1), C$20, IF(AND(K233&gt;1, L233&gt;1), C$19, 0))</f>
        <v>0</v>
      </c>
      <c r="O233" s="67">
        <f ca="1">IF(D233=15%,C$18,C$17)</f>
        <v>0.05</v>
      </c>
      <c r="P233" s="93">
        <f t="shared" ref="P233:P239" ca="1" si="42">M233*15%-E233 -M233*N233-M233*O233</f>
        <v>849.96384596054759</v>
      </c>
      <c r="Q233" s="93">
        <f ca="1">J233*0.15 - C233*0.8 - C233*0.01</f>
        <v>-5912.1152318130444</v>
      </c>
      <c r="R233" s="66"/>
    </row>
    <row r="234" spans="1:18" x14ac:dyDescent="0.3">
      <c r="A234" s="51">
        <v>193</v>
      </c>
      <c r="B234" s="91">
        <f t="shared" ca="1" si="27"/>
        <v>0.16370489751681783</v>
      </c>
      <c r="C234" s="92">
        <f ca="1">VLOOKUP(B234,표4[#Data],3)</f>
        <v>1672.5106827944833</v>
      </c>
      <c r="D234" s="67">
        <f ca="1">IF(RAND()&gt;=D$15,C$15,C$16)</f>
        <v>0.2</v>
      </c>
      <c r="E234" s="93">
        <f ca="1">C234*D234</f>
        <v>334.50213655889667</v>
      </c>
      <c r="F234" s="70">
        <f t="shared" ca="1" si="36"/>
        <v>0.13</v>
      </c>
      <c r="G234" s="93">
        <f t="shared" ca="1" si="37"/>
        <v>2573.0933581453587</v>
      </c>
      <c r="H234" s="93">
        <f t="shared" ca="1" si="38"/>
        <v>3040.9285141717878</v>
      </c>
      <c r="I234" s="93">
        <f t="shared" ca="1" si="39"/>
        <v>4181.2767069862084</v>
      </c>
      <c r="J234" s="93">
        <f t="shared" ca="1" si="28"/>
        <v>3745</v>
      </c>
      <c r="K234" s="73">
        <f t="shared" ca="1" si="40"/>
        <v>1</v>
      </c>
      <c r="L234" s="73">
        <f ca="1">IF(K234=1, IF(_xlfn.BINOM.INV(1, C$22, RAND())&gt;0, K234*2, C$23), IF(_xlfn.BINOM.INV(1, C$21, RAND())&gt;0, K234, C$23))</f>
        <v>1</v>
      </c>
      <c r="M234" s="93">
        <f t="shared" ca="1" si="41"/>
        <v>3745</v>
      </c>
      <c r="N234" s="70">
        <f ca="1">IF(AND(K234=1, L234&gt;1), C$20, IF(AND(K234&gt;1, L234&gt;1), C$19, 0))</f>
        <v>0</v>
      </c>
      <c r="O234" s="67">
        <f ca="1">IF(D234=15%,C$18,C$17)</f>
        <v>0.03</v>
      </c>
      <c r="P234" s="93">
        <f t="shared" ca="1" si="42"/>
        <v>114.89786344110334</v>
      </c>
      <c r="Q234" s="93">
        <f ca="1">J234*0.15 - C234*0.8 - C234*0.01</f>
        <v>-792.98365306353151</v>
      </c>
      <c r="R234" s="66"/>
    </row>
    <row r="235" spans="1:18" x14ac:dyDescent="0.3">
      <c r="A235" s="51">
        <v>194</v>
      </c>
      <c r="B235" s="91">
        <f t="shared" ref="B235:B241" ca="1" si="43">RAND()</f>
        <v>0.1998891690395691</v>
      </c>
      <c r="C235" s="92">
        <f ca="1">VLOOKUP(B235,표4[#Data],3)</f>
        <v>1672.5106827944833</v>
      </c>
      <c r="D235" s="67">
        <f ca="1">IF(RAND()&gt;=D$15,C$15,C$16)</f>
        <v>0.15</v>
      </c>
      <c r="E235" s="93">
        <f ca="1">C235*D235</f>
        <v>250.87660241917249</v>
      </c>
      <c r="F235" s="70">
        <f t="shared" ca="1" si="36"/>
        <v>0.12</v>
      </c>
      <c r="G235" s="93">
        <f t="shared" ca="1" si="37"/>
        <v>2090.6383534931042</v>
      </c>
      <c r="H235" s="93">
        <f t="shared" ca="1" si="38"/>
        <v>2508.7660241917251</v>
      </c>
      <c r="I235" s="93">
        <f t="shared" ca="1" si="39"/>
        <v>3583.9514631310358</v>
      </c>
      <c r="J235" s="93">
        <f t="shared" ref="J235:J241" ca="1" si="44">ROUND(IF(RAND()&lt;0.7,
    3200+(-4000*LN(RAND())),
    20000+(-10000*LN(RAND()))), 0)</f>
        <v>20331</v>
      </c>
      <c r="K235" s="73">
        <f t="shared" ca="1" si="40"/>
        <v>1</v>
      </c>
      <c r="L235" s="73">
        <f ca="1">IF(K235=1, IF(_xlfn.BINOM.INV(1, C$22, RAND())&gt;0, K235*2, C$23), IF(_xlfn.BINOM.INV(1, C$21, RAND())&gt;0, K235, C$23))</f>
        <v>1</v>
      </c>
      <c r="M235" s="93">
        <f t="shared" ca="1" si="41"/>
        <v>20331</v>
      </c>
      <c r="N235" s="70">
        <f ca="1">IF(AND(K235=1, L235&gt;1), C$20, IF(AND(K235&gt;1, L235&gt;1), C$19, 0))</f>
        <v>0</v>
      </c>
      <c r="O235" s="67">
        <f ca="1">IF(D235=15%,C$18,C$17)</f>
        <v>0.05</v>
      </c>
      <c r="P235" s="93">
        <f t="shared" ca="1" si="42"/>
        <v>1782.2233975808276</v>
      </c>
      <c r="Q235" s="93">
        <f ca="1">J235*0.15 - C235*0.8 - C235*0.01</f>
        <v>1694.9163469364687</v>
      </c>
      <c r="R235" s="66"/>
    </row>
    <row r="236" spans="1:18" x14ac:dyDescent="0.3">
      <c r="A236" s="51">
        <v>195</v>
      </c>
      <c r="B236" s="91">
        <f t="shared" ca="1" si="43"/>
        <v>4.4228342922937647E-2</v>
      </c>
      <c r="C236" s="92">
        <f ca="1">VLOOKUP(B236,표4[#Data],3)</f>
        <v>1672.5106827944833</v>
      </c>
      <c r="D236" s="67">
        <f ca="1">IF(RAND()&gt;=D$15,C$15,C$16)</f>
        <v>0.2</v>
      </c>
      <c r="E236" s="93">
        <f ca="1">C236*D236</f>
        <v>334.50213655889667</v>
      </c>
      <c r="F236" s="70">
        <f t="shared" ca="1" si="36"/>
        <v>0.13</v>
      </c>
      <c r="G236" s="93">
        <f t="shared" ca="1" si="37"/>
        <v>2573.0933581453587</v>
      </c>
      <c r="H236" s="93">
        <f t="shared" ca="1" si="38"/>
        <v>3040.9285141717878</v>
      </c>
      <c r="I236" s="93">
        <f t="shared" ca="1" si="39"/>
        <v>4181.2767069862084</v>
      </c>
      <c r="J236" s="93">
        <f t="shared" ca="1" si="44"/>
        <v>8635</v>
      </c>
      <c r="K236" s="73">
        <f t="shared" ca="1" si="40"/>
        <v>1</v>
      </c>
      <c r="L236" s="73">
        <f ca="1">IF(K236=1, IF(_xlfn.BINOM.INV(1, C$22, RAND())&gt;0, K236*2, C$23), IF(_xlfn.BINOM.INV(1, C$21, RAND())&gt;0, K236, C$23))</f>
        <v>1</v>
      </c>
      <c r="M236" s="93">
        <f t="shared" ca="1" si="41"/>
        <v>8635</v>
      </c>
      <c r="N236" s="70">
        <f ca="1">IF(AND(K236=1, L236&gt;1), C$20, IF(AND(K236&gt;1, L236&gt;1), C$19, 0))</f>
        <v>0</v>
      </c>
      <c r="O236" s="67">
        <f ca="1">IF(D236=15%,C$18,C$17)</f>
        <v>0.03</v>
      </c>
      <c r="P236" s="93">
        <f t="shared" ca="1" si="42"/>
        <v>701.69786344110344</v>
      </c>
      <c r="Q236" s="93">
        <f ca="1">J236*0.15 - C236*0.8 - C236*0.01</f>
        <v>-59.483653063531499</v>
      </c>
      <c r="R236" s="66"/>
    </row>
    <row r="237" spans="1:18" x14ac:dyDescent="0.3">
      <c r="A237" s="51">
        <v>196</v>
      </c>
      <c r="B237" s="91">
        <f t="shared" ca="1" si="43"/>
        <v>0.95995696662271912</v>
      </c>
      <c r="C237" s="92">
        <f ca="1">VLOOKUP(B237,표4[#Data],3)</f>
        <v>22192.796279313508</v>
      </c>
      <c r="D237" s="67">
        <f ca="1">IF(RAND()&gt;=D$15,C$15,C$16)</f>
        <v>0.2</v>
      </c>
      <c r="E237" s="93">
        <f ca="1">C237*D237</f>
        <v>4438.5592558627022</v>
      </c>
      <c r="F237" s="70">
        <f t="shared" ca="1" si="36"/>
        <v>0.13</v>
      </c>
      <c r="G237" s="93">
        <f t="shared" ca="1" si="37"/>
        <v>34142.763506636169</v>
      </c>
      <c r="H237" s="93">
        <f t="shared" ca="1" si="38"/>
        <v>40350.538689660927</v>
      </c>
      <c r="I237" s="93">
        <f t="shared" ca="1" si="39"/>
        <v>55481.990698283778</v>
      </c>
      <c r="J237" s="93">
        <f t="shared" ca="1" si="44"/>
        <v>6286</v>
      </c>
      <c r="K237" s="73">
        <f t="shared" ca="1" si="40"/>
        <v>9</v>
      </c>
      <c r="L237" s="73">
        <f ca="1">IF(K237=1, IF(_xlfn.BINOM.INV(1, C$22, RAND())&gt;0, K237*2, C$23), IF(_xlfn.BINOM.INV(1, C$21, RAND())&gt;0, K237, C$23))</f>
        <v>1</v>
      </c>
      <c r="M237" s="93">
        <f t="shared" ca="1" si="41"/>
        <v>6286</v>
      </c>
      <c r="N237" s="70">
        <f ca="1">IF(AND(K237=1, L237&gt;1), C$20, IF(AND(K237&gt;1, L237&gt;1), C$19, 0))</f>
        <v>0</v>
      </c>
      <c r="O237" s="67">
        <f ca="1">IF(D237=15%,C$18,C$17)</f>
        <v>0.03</v>
      </c>
      <c r="P237" s="93">
        <f t="shared" ca="1" si="42"/>
        <v>-3684.2392558627021</v>
      </c>
      <c r="Q237" s="93">
        <f ca="1">J237*0.15 - C237*0.8 - C237*0.01</f>
        <v>-17033.264986243943</v>
      </c>
      <c r="R237" s="66"/>
    </row>
    <row r="238" spans="1:18" x14ac:dyDescent="0.3">
      <c r="A238" s="51">
        <v>197</v>
      </c>
      <c r="B238" s="91">
        <f t="shared" ca="1" si="43"/>
        <v>0.37593457868417868</v>
      </c>
      <c r="C238" s="92">
        <f ca="1">VLOOKUP(B238,표4[#Data],3)</f>
        <v>1672.5106827944833</v>
      </c>
      <c r="D238" s="67">
        <f ca="1">IF(RAND()&gt;=D$15,C$15,C$16)</f>
        <v>0.2</v>
      </c>
      <c r="E238" s="93">
        <f ca="1">C238*D238</f>
        <v>334.50213655889667</v>
      </c>
      <c r="F238" s="70">
        <f t="shared" ca="1" si="36"/>
        <v>0.13</v>
      </c>
      <c r="G238" s="93">
        <f t="shared" ca="1" si="37"/>
        <v>2573.0933581453587</v>
      </c>
      <c r="H238" s="93">
        <f t="shared" ca="1" si="38"/>
        <v>3040.9285141717878</v>
      </c>
      <c r="I238" s="93">
        <f t="shared" ca="1" si="39"/>
        <v>4181.2767069862084</v>
      </c>
      <c r="J238" s="93">
        <f t="shared" ca="1" si="44"/>
        <v>5397</v>
      </c>
      <c r="K238" s="73">
        <f t="shared" ca="1" si="40"/>
        <v>1</v>
      </c>
      <c r="L238" s="73">
        <f ca="1">IF(K238=1, IF(_xlfn.BINOM.INV(1, C$22, RAND())&gt;0, K238*2, C$23), IF(_xlfn.BINOM.INV(1, C$21, RAND())&gt;0, K238, C$23))</f>
        <v>1</v>
      </c>
      <c r="M238" s="93">
        <f t="shared" ca="1" si="41"/>
        <v>5397</v>
      </c>
      <c r="N238" s="70">
        <f ca="1">IF(AND(K238=1, L238&gt;1), C$20, IF(AND(K238&gt;1, L238&gt;1), C$19, 0))</f>
        <v>0</v>
      </c>
      <c r="O238" s="67">
        <f ca="1">IF(D238=15%,C$18,C$17)</f>
        <v>0.03</v>
      </c>
      <c r="P238" s="93">
        <f t="shared" ca="1" si="42"/>
        <v>313.13786344110326</v>
      </c>
      <c r="Q238" s="93">
        <f ca="1">J238*0.15 - C238*0.8 - C238*0.01</f>
        <v>-545.18365306353155</v>
      </c>
      <c r="R238" s="66"/>
    </row>
    <row r="239" spans="1:18" x14ac:dyDescent="0.3">
      <c r="A239" s="51">
        <v>198</v>
      </c>
      <c r="B239" s="91">
        <f t="shared" ca="1" si="43"/>
        <v>0.57872287376494891</v>
      </c>
      <c r="C239" s="92">
        <f ca="1">VLOOKUP(B239,표4[#Data],3)</f>
        <v>1672.5106827944833</v>
      </c>
      <c r="D239" s="67">
        <f ca="1">IF(RAND()&gt;=D$15,C$15,C$16)</f>
        <v>0.2</v>
      </c>
      <c r="E239" s="93">
        <f ca="1">C239*D239</f>
        <v>334.50213655889667</v>
      </c>
      <c r="F239" s="70">
        <f t="shared" ca="1" si="36"/>
        <v>0.13</v>
      </c>
      <c r="G239" s="93">
        <f t="shared" ca="1" si="37"/>
        <v>2573.0933581453587</v>
      </c>
      <c r="H239" s="93">
        <f t="shared" ca="1" si="38"/>
        <v>3040.9285141717878</v>
      </c>
      <c r="I239" s="93">
        <f t="shared" ca="1" si="39"/>
        <v>4181.2767069862084</v>
      </c>
      <c r="J239" s="93">
        <f t="shared" ca="1" si="44"/>
        <v>26188</v>
      </c>
      <c r="K239" s="73">
        <f t="shared" ca="1" si="40"/>
        <v>1</v>
      </c>
      <c r="L239" s="73">
        <f ca="1">IF(K239=1, IF(_xlfn.BINOM.INV(1, C$22, RAND())&gt;0, K239*2, C$23), IF(_xlfn.BINOM.INV(1, C$21, RAND())&gt;0, K239, C$23))</f>
        <v>1</v>
      </c>
      <c r="M239" s="93">
        <f t="shared" ca="1" si="41"/>
        <v>26188</v>
      </c>
      <c r="N239" s="70">
        <f ca="1">IF(AND(K239=1, L239&gt;1), C$20, IF(AND(K239&gt;1, L239&gt;1), C$19, 0))</f>
        <v>0</v>
      </c>
      <c r="O239" s="67">
        <f ca="1">IF(D239=15%,C$18,C$17)</f>
        <v>0.03</v>
      </c>
      <c r="P239" s="93">
        <f t="shared" ca="1" si="42"/>
        <v>2808.0578634411031</v>
      </c>
      <c r="Q239" s="93">
        <f ca="1">J239*0.15 - C239*0.8 - C239*0.01</f>
        <v>2573.4663469364687</v>
      </c>
      <c r="R239" s="66"/>
    </row>
    <row r="240" spans="1:18" x14ac:dyDescent="0.3">
      <c r="A240" s="51">
        <v>199</v>
      </c>
      <c r="B240" s="91">
        <f t="shared" ca="1" si="43"/>
        <v>0.29244045037642719</v>
      </c>
      <c r="C240" s="92">
        <f ca="1">VLOOKUP(B240,표4[#Data],3)</f>
        <v>1672.5106827944833</v>
      </c>
      <c r="D240" s="67">
        <f ca="1">IF(RAND()&gt;=D$15,C$15,C$16)</f>
        <v>0.2</v>
      </c>
      <c r="E240" s="93">
        <f ca="1">C240*D240</f>
        <v>334.50213655889667</v>
      </c>
      <c r="F240" s="70">
        <f t="shared" ref="F240:F241" ca="1" si="45">15%-(IF(D240=20%,2%,3%))</f>
        <v>0.13</v>
      </c>
      <c r="G240" s="93">
        <f t="shared" ref="G240:G241" ca="1" si="46">E240/F240</f>
        <v>2573.0933581453587</v>
      </c>
      <c r="H240" s="93">
        <f t="shared" ref="H240:H241" ca="1" si="47">E240/(F240-2%)</f>
        <v>3040.9285141717878</v>
      </c>
      <c r="I240" s="93">
        <f t="shared" ref="I240:I241" ca="1" si="48">E240/(F240-5%)</f>
        <v>4181.2767069862084</v>
      </c>
      <c r="J240" s="93">
        <f t="shared" ca="1" si="44"/>
        <v>10803</v>
      </c>
      <c r="K240" s="73">
        <f t="shared" ref="K240:K241" ca="1" si="49">IF( G240/J240 &lt; 1, 1, ROUND(I240/J240,0))</f>
        <v>1</v>
      </c>
      <c r="L240" s="73">
        <f ca="1">IF(K240=1, IF(_xlfn.BINOM.INV(1, C$22, RAND())&gt;0, K240*2, C$23), IF(_xlfn.BINOM.INV(1, C$21, RAND())&gt;0, K240, C$23))</f>
        <v>1</v>
      </c>
      <c r="M240" s="93">
        <f t="shared" ref="M240:M241" ca="1" si="50">J240*L240</f>
        <v>10803</v>
      </c>
      <c r="N240" s="70">
        <f ca="1">IF(AND(K240=1, L240&gt;1), C$20, IF(AND(K240&gt;1, L240&gt;1), C$19, 0))</f>
        <v>0</v>
      </c>
      <c r="O240" s="67">
        <f ca="1">IF(D240=15%,C$18,C$17)</f>
        <v>0.03</v>
      </c>
      <c r="P240" s="93">
        <f t="shared" ref="P240:P241" ca="1" si="51">M240*15%-E240 -M240*N240-M240*O240</f>
        <v>961.85786344110352</v>
      </c>
      <c r="Q240" s="93">
        <f ca="1">J240*0.15 - C240*0.8 - C240*0.01</f>
        <v>265.71634693646854</v>
      </c>
      <c r="R240" s="66"/>
    </row>
    <row r="241" spans="1:18" x14ac:dyDescent="0.3">
      <c r="A241" s="51">
        <v>200</v>
      </c>
      <c r="B241" s="91">
        <f t="shared" ca="1" si="43"/>
        <v>0.3527587033012396</v>
      </c>
      <c r="C241" s="92">
        <f ca="1">VLOOKUP(B241,표4[#Data],3)</f>
        <v>1672.5106827944833</v>
      </c>
      <c r="D241" s="67">
        <f ca="1">IF(RAND()&gt;=D$15,C$15,C$16)</f>
        <v>0.2</v>
      </c>
      <c r="E241" s="93">
        <f ca="1">C241*D241</f>
        <v>334.50213655889667</v>
      </c>
      <c r="F241" s="70">
        <f t="shared" ca="1" si="45"/>
        <v>0.13</v>
      </c>
      <c r="G241" s="93">
        <f t="shared" ca="1" si="46"/>
        <v>2573.0933581453587</v>
      </c>
      <c r="H241" s="93">
        <f t="shared" ca="1" si="47"/>
        <v>3040.9285141717878</v>
      </c>
      <c r="I241" s="93">
        <f t="shared" ca="1" si="48"/>
        <v>4181.2767069862084</v>
      </c>
      <c r="J241" s="93">
        <f t="shared" ca="1" si="44"/>
        <v>31752</v>
      </c>
      <c r="K241" s="73">
        <f t="shared" ca="1" si="49"/>
        <v>1</v>
      </c>
      <c r="L241" s="73">
        <f ca="1">IF(K241=1, IF(_xlfn.BINOM.INV(1, C$22, RAND())&gt;0, K241*2, C$23), IF(_xlfn.BINOM.INV(1, C$21, RAND())&gt;0, K241, C$23))</f>
        <v>1</v>
      </c>
      <c r="M241" s="93">
        <f t="shared" ca="1" si="50"/>
        <v>31752</v>
      </c>
      <c r="N241" s="70">
        <f ca="1">IF(AND(K241=1, L241&gt;1), C$20, IF(AND(K241&gt;1, L241&gt;1), C$19, 0))</f>
        <v>0</v>
      </c>
      <c r="O241" s="67">
        <f ca="1">IF(D241=15%,C$18,C$17)</f>
        <v>0.03</v>
      </c>
      <c r="P241" s="93">
        <f t="shared" ca="1" si="51"/>
        <v>3475.7378634411039</v>
      </c>
      <c r="Q241" s="93">
        <f ca="1">J241*0.15 - C241*0.8 - C241*0.01</f>
        <v>3408.066346936469</v>
      </c>
      <c r="R241" s="66"/>
    </row>
    <row r="242" spans="1:18" x14ac:dyDescent="0.3">
      <c r="C242" s="65"/>
      <c r="D242" s="77"/>
      <c r="E242" s="66"/>
      <c r="F242" s="78"/>
      <c r="G242" s="66"/>
      <c r="H242" s="66"/>
      <c r="I242" s="66"/>
      <c r="J242" s="66"/>
      <c r="K242" s="65"/>
      <c r="L242" s="65"/>
      <c r="M242" s="66"/>
      <c r="N242" s="78"/>
      <c r="O242" s="77" t="s">
        <v>248</v>
      </c>
      <c r="P242" s="66">
        <f ca="1">SUM(P42:P241)</f>
        <v>137725.92831222154</v>
      </c>
      <c r="Q242" s="66">
        <f ca="1">SUM(Q42:Q241)</f>
        <v>-486873.86127047683</v>
      </c>
      <c r="R242" s="66"/>
    </row>
    <row r="243" spans="1:18" x14ac:dyDescent="0.3">
      <c r="O243" s="50" t="s">
        <v>249</v>
      </c>
      <c r="P243" s="61">
        <f ca="1">AVERAGE(P42:P241)</f>
        <v>688.62964156110775</v>
      </c>
      <c r="Q243" s="61">
        <f ca="1">AVERAGE(Q42:Q241)</f>
        <v>-2434.3693063523842</v>
      </c>
      <c r="R243" s="61"/>
    </row>
    <row r="244" spans="1:18" x14ac:dyDescent="0.3">
      <c r="O244" s="50" t="s">
        <v>250</v>
      </c>
      <c r="P244" s="64">
        <f ca="1">_xlfn.STDEV.S(P42:P241)</f>
        <v>1831.477153202309</v>
      </c>
      <c r="Q244" s="64">
        <f ca="1">_xlfn.STDEV.S(Q42:Q241)</f>
        <v>5777.1316316789143</v>
      </c>
    </row>
    <row r="245" spans="1:18" x14ac:dyDescent="0.3">
      <c r="O245" s="50" t="s">
        <v>305</v>
      </c>
      <c r="P245" s="74">
        <f ca="1">P$243+_xlfn.NORM.S.INV(0.975)*P$244/SQRT(200)</f>
        <v>942.45476064432182</v>
      </c>
      <c r="Q245" s="74">
        <f ca="1">Q$243+_xlfn.NORM.S.INV(0.975)*Q$244/SQRT(200)</f>
        <v>-1633.7144241408544</v>
      </c>
    </row>
    <row r="246" spans="1:18" x14ac:dyDescent="0.3">
      <c r="O246" s="50" t="s">
        <v>289</v>
      </c>
      <c r="P246" s="74">
        <f ca="1">P$243-_xlfn.NORM.S.INV(0.975)*P$244/SQRT(200)</f>
        <v>434.80452247789373</v>
      </c>
      <c r="Q246" s="74">
        <f ca="1">Q$243-_xlfn.NORM.S.INV(0.975)*Q$244/SQRT(200)</f>
        <v>-3235.0241885639143</v>
      </c>
    </row>
  </sheetData>
  <mergeCells count="4">
    <mergeCell ref="A15:A16"/>
    <mergeCell ref="A17:A18"/>
    <mergeCell ref="A19:A20"/>
    <mergeCell ref="A21:A22"/>
  </mergeCells>
  <phoneticPr fontId="2" type="noConversion"/>
  <conditionalFormatting sqref="M42:M241">
    <cfRule type="colorScale" priority="3">
      <colorScale>
        <cfvo type="min"/>
        <cfvo type="max"/>
        <color rgb="FFFCFCFF"/>
        <color rgb="FF63BE7B"/>
      </colorScale>
    </cfRule>
  </conditionalFormatting>
  <conditionalFormatting sqref="L15:N23">
    <cfRule type="cellIs" dxfId="1" priority="2" operator="lessThan">
      <formula>0</formula>
    </cfRule>
  </conditionalFormatting>
  <conditionalFormatting sqref="G15:I23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FA65A-7806-4700-AE9E-BD60607380AB}">
  <dimension ref="A2:AA52"/>
  <sheetViews>
    <sheetView topLeftCell="B1" workbookViewId="0">
      <selection activeCell="S13" sqref="S13"/>
    </sheetView>
  </sheetViews>
  <sheetFormatPr defaultRowHeight="16.5" x14ac:dyDescent="0.3"/>
  <cols>
    <col min="1" max="9" width="9" style="12"/>
    <col min="10" max="10" width="8.375" style="12" bestFit="1" customWidth="1"/>
    <col min="11" max="11" width="9" style="12"/>
    <col min="12" max="13" width="9" style="2"/>
    <col min="14" max="14" width="9" style="12"/>
    <col min="15" max="15" width="9" style="2"/>
    <col min="16" max="19" width="9" style="12"/>
    <col min="20" max="20" width="9" style="2"/>
    <col min="21" max="16384" width="9" style="12"/>
  </cols>
  <sheetData>
    <row r="2" spans="1:27" ht="40.5" x14ac:dyDescent="0.3">
      <c r="A2" s="7">
        <f>SUMPRODUCT(I4:I52,Q4:Q52)/SUM(I4:I52)</f>
        <v>9341.950141275669</v>
      </c>
      <c r="B2" s="11"/>
      <c r="C2" s="11" t="s">
        <v>19</v>
      </c>
      <c r="D2" s="11" t="s">
        <v>17</v>
      </c>
      <c r="E2" s="40" t="s">
        <v>56</v>
      </c>
      <c r="F2" s="41"/>
      <c r="G2" s="41"/>
      <c r="H2" s="42"/>
      <c r="I2" s="11" t="s">
        <v>5</v>
      </c>
      <c r="J2" s="11" t="s">
        <v>59</v>
      </c>
      <c r="K2" s="11" t="s">
        <v>6</v>
      </c>
      <c r="L2" s="6" t="s">
        <v>21</v>
      </c>
      <c r="M2" s="6" t="s">
        <v>60</v>
      </c>
      <c r="N2" s="11" t="s">
        <v>55</v>
      </c>
      <c r="O2" s="6" t="s">
        <v>58</v>
      </c>
      <c r="P2" s="11" t="s">
        <v>7</v>
      </c>
      <c r="Q2" s="11" t="s">
        <v>20</v>
      </c>
      <c r="R2" s="11" t="s">
        <v>8</v>
      </c>
      <c r="S2" s="11" t="s">
        <v>9</v>
      </c>
      <c r="T2" s="6" t="s">
        <v>10</v>
      </c>
      <c r="U2" s="11" t="s">
        <v>11</v>
      </c>
      <c r="V2" s="11" t="s">
        <v>12</v>
      </c>
      <c r="W2" s="40" t="s">
        <v>13</v>
      </c>
      <c r="X2" s="41"/>
      <c r="Y2" s="42"/>
    </row>
    <row r="3" spans="1:27" x14ac:dyDescent="0.3">
      <c r="B3" s="11"/>
      <c r="C3" s="11"/>
      <c r="D3" s="11"/>
      <c r="E3" s="11" t="s">
        <v>16</v>
      </c>
      <c r="F3" s="11" t="s">
        <v>15</v>
      </c>
      <c r="G3" s="11" t="s">
        <v>57</v>
      </c>
      <c r="H3" s="11" t="s">
        <v>29</v>
      </c>
      <c r="I3" s="11" t="s">
        <v>14</v>
      </c>
      <c r="J3" s="11" t="s">
        <v>32</v>
      </c>
      <c r="K3" s="11" t="s">
        <v>32</v>
      </c>
      <c r="L3" s="6"/>
      <c r="M3" s="6"/>
      <c r="N3" s="11" t="s">
        <v>14</v>
      </c>
      <c r="O3" s="6"/>
      <c r="P3" s="11" t="s">
        <v>15</v>
      </c>
      <c r="Q3" s="11" t="s">
        <v>15</v>
      </c>
      <c r="R3" s="11" t="s">
        <v>15</v>
      </c>
      <c r="S3" s="11" t="s">
        <v>15</v>
      </c>
      <c r="T3" s="6" t="s">
        <v>15</v>
      </c>
      <c r="U3" s="11" t="s">
        <v>15</v>
      </c>
      <c r="V3" s="11" t="s">
        <v>15</v>
      </c>
      <c r="W3" s="11" t="s">
        <v>16</v>
      </c>
      <c r="X3" s="11" t="s">
        <v>15</v>
      </c>
      <c r="Y3" s="11" t="s">
        <v>29</v>
      </c>
      <c r="AA3" s="12">
        <f>SUMPRODUCT(I4:I52,R4:R52)/SUM(I4:I52)</f>
        <v>14405.657257902139</v>
      </c>
    </row>
    <row r="4" spans="1:27" x14ac:dyDescent="0.3">
      <c r="A4" s="12">
        <f>SUMPRODUCT(I4:I10,Q4:Q10)/SUM(I4:I10)</f>
        <v>2035.5460382765289</v>
      </c>
      <c r="B4" s="11">
        <v>0</v>
      </c>
      <c r="C4" s="10" t="s">
        <v>22</v>
      </c>
      <c r="D4" s="10" t="s">
        <v>22</v>
      </c>
      <c r="E4" s="10">
        <v>565</v>
      </c>
      <c r="F4" s="10">
        <v>551.00192600000003</v>
      </c>
      <c r="G4" s="10">
        <v>106</v>
      </c>
      <c r="H4" s="10">
        <v>839</v>
      </c>
      <c r="I4" s="10">
        <v>4674</v>
      </c>
      <c r="J4" s="10">
        <v>2074</v>
      </c>
      <c r="K4" s="10">
        <v>2467</v>
      </c>
      <c r="L4" s="5">
        <f>K4/I4</f>
        <v>0.52781343602909714</v>
      </c>
      <c r="M4" s="5">
        <f>MIN( K4/J4,1)</f>
        <v>1</v>
      </c>
      <c r="N4" s="10">
        <v>1008</v>
      </c>
      <c r="O4" s="5">
        <f>N4/I4</f>
        <v>0.21566110397946084</v>
      </c>
      <c r="P4" s="10">
        <v>1781.7152329999999</v>
      </c>
      <c r="Q4" s="10">
        <v>2169.4180569999999</v>
      </c>
      <c r="R4" s="10">
        <v>10803.185708000001</v>
      </c>
      <c r="S4" s="10">
        <v>2635.0881469999999</v>
      </c>
      <c r="T4" s="5">
        <v>0.430676</v>
      </c>
      <c r="U4" s="10">
        <v>1619.308301</v>
      </c>
      <c r="V4" s="10">
        <v>1312.6444160000001</v>
      </c>
      <c r="W4" s="10">
        <v>24</v>
      </c>
      <c r="X4" s="10">
        <v>24.057766000000001</v>
      </c>
      <c r="Y4" s="10">
        <v>74</v>
      </c>
    </row>
    <row r="5" spans="1:27" x14ac:dyDescent="0.3">
      <c r="B5" s="11">
        <v>1</v>
      </c>
      <c r="C5" s="10" t="s">
        <v>22</v>
      </c>
      <c r="D5" s="10" t="s">
        <v>23</v>
      </c>
      <c r="E5" s="10">
        <v>570.5</v>
      </c>
      <c r="F5" s="10">
        <v>567.03270999999995</v>
      </c>
      <c r="G5" s="10">
        <v>149</v>
      </c>
      <c r="H5" s="10">
        <v>823</v>
      </c>
      <c r="I5" s="10">
        <v>2782</v>
      </c>
      <c r="J5" s="10">
        <v>1056</v>
      </c>
      <c r="K5" s="10">
        <v>1076</v>
      </c>
      <c r="L5" s="5">
        <f t="shared" ref="L5:L11" si="0">K5/I5</f>
        <v>0.38677210639827464</v>
      </c>
      <c r="M5" s="5">
        <f t="shared" ref="M5:M11" si="1">MIN( K5/J5,1)</f>
        <v>1</v>
      </c>
      <c r="N5" s="10">
        <v>1037</v>
      </c>
      <c r="O5" s="5">
        <f t="shared" ref="O5:O52" si="2">N5/I5</f>
        <v>0.37275341480948959</v>
      </c>
      <c r="P5" s="10">
        <v>7224.1010059999999</v>
      </c>
      <c r="Q5" s="10">
        <v>1697.3526240000001</v>
      </c>
      <c r="R5" s="10">
        <v>12415.463695</v>
      </c>
      <c r="S5" s="10">
        <v>2924.0158160000001</v>
      </c>
      <c r="T5" s="5">
        <v>0.39945700000000001</v>
      </c>
      <c r="U5" s="10">
        <v>1551.300144</v>
      </c>
      <c r="V5" s="10">
        <v>1441.3281810000001</v>
      </c>
      <c r="W5" s="10">
        <v>25</v>
      </c>
      <c r="X5" s="10">
        <v>24.558949999999999</v>
      </c>
      <c r="Y5" s="10">
        <v>74</v>
      </c>
    </row>
    <row r="6" spans="1:27" ht="27" x14ac:dyDescent="0.3">
      <c r="B6" s="11">
        <v>2</v>
      </c>
      <c r="C6" s="10" t="s">
        <v>22</v>
      </c>
      <c r="D6" s="10" t="s">
        <v>24</v>
      </c>
      <c r="E6" s="10">
        <v>576</v>
      </c>
      <c r="F6" s="10">
        <v>577.942723</v>
      </c>
      <c r="G6" s="10">
        <v>171</v>
      </c>
      <c r="H6" s="10">
        <v>837</v>
      </c>
      <c r="I6" s="10">
        <v>2549</v>
      </c>
      <c r="J6" s="10">
        <v>957</v>
      </c>
      <c r="K6" s="10">
        <v>832</v>
      </c>
      <c r="L6" s="5">
        <f t="shared" si="0"/>
        <v>0.32640251078854454</v>
      </c>
      <c r="M6" s="5">
        <f t="shared" si="1"/>
        <v>0.86938349007314519</v>
      </c>
      <c r="N6" s="10">
        <v>972</v>
      </c>
      <c r="O6" s="5">
        <f t="shared" si="2"/>
        <v>0.38132601020007845</v>
      </c>
      <c r="P6" s="10">
        <v>12252.675166999999</v>
      </c>
      <c r="Q6" s="10">
        <v>1946.738329</v>
      </c>
      <c r="R6" s="10">
        <v>13579.348764</v>
      </c>
      <c r="S6" s="10">
        <v>4899.4244799999997</v>
      </c>
      <c r="T6" s="5">
        <v>0.48633599999999999</v>
      </c>
      <c r="U6" s="10">
        <v>3241.065908</v>
      </c>
      <c r="V6" s="10">
        <v>1662.269125</v>
      </c>
      <c r="W6" s="10">
        <v>27</v>
      </c>
      <c r="X6" s="10">
        <v>26.420556999999999</v>
      </c>
      <c r="Y6" s="10">
        <v>73</v>
      </c>
    </row>
    <row r="7" spans="1:27" ht="27" customHeight="1" x14ac:dyDescent="0.3">
      <c r="B7" s="11">
        <v>3</v>
      </c>
      <c r="C7" s="10" t="s">
        <v>22</v>
      </c>
      <c r="D7" s="10" t="s">
        <v>25</v>
      </c>
      <c r="E7" s="10">
        <v>580</v>
      </c>
      <c r="F7" s="10">
        <v>584.04595700000004</v>
      </c>
      <c r="G7" s="10">
        <v>252</v>
      </c>
      <c r="H7" s="10">
        <v>818</v>
      </c>
      <c r="I7" s="10">
        <v>1719</v>
      </c>
      <c r="J7" s="10">
        <v>573</v>
      </c>
      <c r="K7" s="10">
        <v>411</v>
      </c>
      <c r="L7" s="5">
        <f t="shared" si="0"/>
        <v>0.23909249563699825</v>
      </c>
      <c r="M7" s="5">
        <f t="shared" si="1"/>
        <v>0.7172774869109948</v>
      </c>
      <c r="N7" s="10">
        <v>898</v>
      </c>
      <c r="O7" s="5">
        <f t="shared" si="2"/>
        <v>0.52239674229203026</v>
      </c>
      <c r="P7" s="10">
        <v>17294.845840999998</v>
      </c>
      <c r="Q7" s="10">
        <v>2177.645724</v>
      </c>
      <c r="R7" s="10">
        <v>14356.102385</v>
      </c>
      <c r="S7" s="10">
        <v>4245.5002910000003</v>
      </c>
      <c r="T7" s="5">
        <v>0.44022099999999997</v>
      </c>
      <c r="U7" s="10">
        <v>2665.9063409999999</v>
      </c>
      <c r="V7" s="10">
        <v>1868.282723</v>
      </c>
      <c r="W7" s="10">
        <v>28</v>
      </c>
      <c r="X7" s="10">
        <v>27.827224999999999</v>
      </c>
      <c r="Y7" s="10">
        <v>74</v>
      </c>
    </row>
    <row r="8" spans="1:27" ht="27" customHeight="1" x14ac:dyDescent="0.3">
      <c r="B8" s="11">
        <v>4</v>
      </c>
      <c r="C8" s="10" t="s">
        <v>22</v>
      </c>
      <c r="D8" s="10" t="s">
        <v>26</v>
      </c>
      <c r="E8" s="10">
        <v>582.5</v>
      </c>
      <c r="F8" s="10">
        <v>586.85668099999998</v>
      </c>
      <c r="G8" s="10">
        <v>291</v>
      </c>
      <c r="H8" s="10">
        <v>820</v>
      </c>
      <c r="I8" s="10">
        <v>928</v>
      </c>
      <c r="J8" s="10">
        <v>301</v>
      </c>
      <c r="K8" s="10">
        <v>247</v>
      </c>
      <c r="L8" s="5">
        <f t="shared" si="0"/>
        <v>0.26616379310344829</v>
      </c>
      <c r="M8" s="5">
        <f t="shared" si="1"/>
        <v>0.82059800664451832</v>
      </c>
      <c r="N8" s="10">
        <v>533</v>
      </c>
      <c r="O8" s="5">
        <f t="shared" si="2"/>
        <v>0.5743534482758621</v>
      </c>
      <c r="P8" s="10">
        <v>22116.33944</v>
      </c>
      <c r="Q8" s="10">
        <v>2158.5528020000002</v>
      </c>
      <c r="R8" s="10">
        <v>15964.536638</v>
      </c>
      <c r="S8" s="10">
        <v>4293.8976290000001</v>
      </c>
      <c r="T8" s="5">
        <v>0.42097000000000001</v>
      </c>
      <c r="U8" s="10">
        <v>2645.0344829999999</v>
      </c>
      <c r="V8" s="10">
        <v>1892.2790950000001</v>
      </c>
      <c r="W8" s="10">
        <v>28</v>
      </c>
      <c r="X8" s="10">
        <v>27.252154999999998</v>
      </c>
      <c r="Y8" s="10">
        <v>74</v>
      </c>
    </row>
    <row r="9" spans="1:27" ht="27" customHeight="1" x14ac:dyDescent="0.3">
      <c r="B9" s="11">
        <v>5</v>
      </c>
      <c r="C9" s="10" t="s">
        <v>22</v>
      </c>
      <c r="D9" s="10" t="s">
        <v>27</v>
      </c>
      <c r="E9" s="10">
        <v>591.5</v>
      </c>
      <c r="F9" s="10">
        <v>597.69675900000004</v>
      </c>
      <c r="G9" s="10">
        <v>309</v>
      </c>
      <c r="H9" s="10">
        <v>809</v>
      </c>
      <c r="I9" s="10">
        <v>432</v>
      </c>
      <c r="J9" s="10">
        <v>117</v>
      </c>
      <c r="K9" s="10">
        <v>99</v>
      </c>
      <c r="L9" s="5">
        <f t="shared" si="0"/>
        <v>0.22916666666666666</v>
      </c>
      <c r="M9" s="5">
        <f t="shared" si="1"/>
        <v>0.84615384615384615</v>
      </c>
      <c r="N9" s="10">
        <v>278</v>
      </c>
      <c r="O9" s="5">
        <f t="shared" si="2"/>
        <v>0.64351851851851849</v>
      </c>
      <c r="P9" s="10">
        <v>27153.708332999999</v>
      </c>
      <c r="Q9" s="10">
        <v>2248.4444440000002</v>
      </c>
      <c r="R9" s="10">
        <v>17988.935184999998</v>
      </c>
      <c r="S9" s="10">
        <v>3766.6018519999998</v>
      </c>
      <c r="T9" s="5">
        <v>0.39266200000000001</v>
      </c>
      <c r="U9" s="10">
        <v>2173.020833</v>
      </c>
      <c r="V9" s="10">
        <v>1908.7175930000001</v>
      </c>
      <c r="W9" s="10">
        <v>28</v>
      </c>
      <c r="X9" s="10">
        <v>24.685185000000001</v>
      </c>
      <c r="Y9" s="10">
        <v>67</v>
      </c>
    </row>
    <row r="10" spans="1:27" ht="27" customHeight="1" x14ac:dyDescent="0.3">
      <c r="B10" s="11">
        <v>6</v>
      </c>
      <c r="C10" s="10" t="s">
        <v>22</v>
      </c>
      <c r="D10" s="10" t="s">
        <v>18</v>
      </c>
      <c r="E10" s="10">
        <v>588</v>
      </c>
      <c r="F10" s="10">
        <v>595.90553699999998</v>
      </c>
      <c r="G10" s="10">
        <v>257</v>
      </c>
      <c r="H10" s="10">
        <v>838</v>
      </c>
      <c r="I10" s="10">
        <v>307</v>
      </c>
      <c r="J10" s="10">
        <v>88</v>
      </c>
      <c r="K10" s="10">
        <v>55</v>
      </c>
      <c r="L10" s="5">
        <f t="shared" si="0"/>
        <v>0.17915309446254071</v>
      </c>
      <c r="M10" s="5">
        <f t="shared" si="1"/>
        <v>0.625</v>
      </c>
      <c r="N10" s="10">
        <v>218</v>
      </c>
      <c r="O10" s="5">
        <f t="shared" si="2"/>
        <v>0.71009771986970682</v>
      </c>
      <c r="P10" s="10">
        <v>35440.644951000002</v>
      </c>
      <c r="Q10" s="10">
        <v>2332.3387619999999</v>
      </c>
      <c r="R10" s="10">
        <v>20663.550489000001</v>
      </c>
      <c r="S10" s="10">
        <v>3801.876221</v>
      </c>
      <c r="T10" s="5">
        <v>0.37504900000000002</v>
      </c>
      <c r="U10" s="10">
        <v>1909.5342020000001</v>
      </c>
      <c r="V10" s="10">
        <v>2061.7263840000001</v>
      </c>
      <c r="W10" s="10">
        <v>27</v>
      </c>
      <c r="X10" s="10">
        <v>23.713355</v>
      </c>
      <c r="Y10" s="10">
        <v>68</v>
      </c>
    </row>
    <row r="11" spans="1:27" x14ac:dyDescent="0.3">
      <c r="A11" s="12">
        <f>SUMPRODUCT(I11:I17,Q11:Q17)/SUM(I11:I17)</f>
        <v>7167.0656469396918</v>
      </c>
      <c r="B11" s="11">
        <v>7</v>
      </c>
      <c r="C11" s="10" t="s">
        <v>23</v>
      </c>
      <c r="D11" s="10" t="s">
        <v>22</v>
      </c>
      <c r="E11" s="10">
        <v>574</v>
      </c>
      <c r="F11" s="10">
        <v>560.39068099999997</v>
      </c>
      <c r="G11" s="10">
        <v>107</v>
      </c>
      <c r="H11" s="10">
        <v>821</v>
      </c>
      <c r="I11" s="10">
        <v>3906</v>
      </c>
      <c r="J11" s="10">
        <v>1821</v>
      </c>
      <c r="K11" s="10">
        <v>2098</v>
      </c>
      <c r="L11" s="5">
        <f t="shared" si="0"/>
        <v>0.53712237583205324</v>
      </c>
      <c r="M11" s="5">
        <f t="shared" si="1"/>
        <v>1</v>
      </c>
      <c r="N11" s="10">
        <v>508</v>
      </c>
      <c r="O11" s="5">
        <f t="shared" si="2"/>
        <v>0.1300563236047107</v>
      </c>
      <c r="P11" s="10">
        <v>859.71991800000001</v>
      </c>
      <c r="Q11" s="10">
        <v>7316.3223250000001</v>
      </c>
      <c r="R11" s="10">
        <v>10411.323605</v>
      </c>
      <c r="S11" s="10">
        <v>7133.6958530000002</v>
      </c>
      <c r="T11" s="5">
        <v>0.78632400000000002</v>
      </c>
      <c r="U11" s="10">
        <v>5970.4649259999997</v>
      </c>
      <c r="V11" s="10">
        <v>1861.7724009999999</v>
      </c>
      <c r="W11" s="10">
        <v>31</v>
      </c>
      <c r="X11" s="10">
        <v>32.695596999999999</v>
      </c>
      <c r="Y11" s="10">
        <v>74</v>
      </c>
    </row>
    <row r="12" spans="1:27" x14ac:dyDescent="0.3">
      <c r="B12" s="11">
        <v>8</v>
      </c>
      <c r="C12" s="10" t="s">
        <v>23</v>
      </c>
      <c r="D12" s="10" t="s">
        <v>23</v>
      </c>
      <c r="E12" s="10">
        <v>573</v>
      </c>
      <c r="F12" s="10">
        <v>560.52826500000003</v>
      </c>
      <c r="G12" s="10">
        <v>191</v>
      </c>
      <c r="H12" s="10">
        <v>805</v>
      </c>
      <c r="I12" s="10">
        <v>513</v>
      </c>
      <c r="J12" s="10">
        <v>179</v>
      </c>
      <c r="K12" s="10">
        <v>179</v>
      </c>
      <c r="L12" s="5">
        <f t="shared" ref="L12:L52" si="3">K12/I12</f>
        <v>0.3489278752436647</v>
      </c>
      <c r="M12" s="5">
        <f t="shared" ref="M12:M52" si="4">MIN( K12/J12,1)</f>
        <v>1</v>
      </c>
      <c r="N12" s="10">
        <v>280</v>
      </c>
      <c r="O12" s="5">
        <f t="shared" si="2"/>
        <v>0.54580896686159841</v>
      </c>
      <c r="P12" s="10">
        <v>7341.3567249999996</v>
      </c>
      <c r="Q12" s="10">
        <v>6725.692008</v>
      </c>
      <c r="R12" s="10">
        <v>9955.6335280000003</v>
      </c>
      <c r="S12" s="10">
        <v>6816.5536060000004</v>
      </c>
      <c r="T12" s="5">
        <v>0.78945399999999999</v>
      </c>
      <c r="U12" s="10">
        <v>5932.0019490000004</v>
      </c>
      <c r="V12" s="10">
        <v>2080.321637</v>
      </c>
      <c r="W12" s="10">
        <v>28</v>
      </c>
      <c r="X12" s="10">
        <v>28.452241999999998</v>
      </c>
      <c r="Y12" s="10">
        <v>72</v>
      </c>
    </row>
    <row r="13" spans="1:27" ht="27" x14ac:dyDescent="0.3">
      <c r="B13" s="11">
        <v>9</v>
      </c>
      <c r="C13" s="10" t="s">
        <v>23</v>
      </c>
      <c r="D13" s="10" t="s">
        <v>24</v>
      </c>
      <c r="E13" s="10">
        <v>569.5</v>
      </c>
      <c r="F13" s="10">
        <v>570.6</v>
      </c>
      <c r="G13" s="10">
        <v>217</v>
      </c>
      <c r="H13" s="10">
        <v>824</v>
      </c>
      <c r="I13" s="10">
        <v>460</v>
      </c>
      <c r="J13" s="10">
        <v>138</v>
      </c>
      <c r="K13" s="10">
        <v>111</v>
      </c>
      <c r="L13" s="5">
        <f t="shared" si="3"/>
        <v>0.24130434782608695</v>
      </c>
      <c r="M13" s="5">
        <f t="shared" si="4"/>
        <v>0.80434782608695654</v>
      </c>
      <c r="N13" s="10">
        <v>264</v>
      </c>
      <c r="O13" s="5">
        <f t="shared" si="2"/>
        <v>0.57391304347826089</v>
      </c>
      <c r="P13" s="10">
        <v>12307.960870000001</v>
      </c>
      <c r="Q13" s="10">
        <v>6856.2195650000003</v>
      </c>
      <c r="R13" s="10">
        <v>11316.565216999999</v>
      </c>
      <c r="S13" s="10">
        <v>7942.8</v>
      </c>
      <c r="T13" s="5">
        <v>0.79104300000000005</v>
      </c>
      <c r="U13" s="10">
        <v>6923.65</v>
      </c>
      <c r="V13" s="10">
        <v>2431.4304350000002</v>
      </c>
      <c r="W13" s="10">
        <v>30</v>
      </c>
      <c r="X13" s="10">
        <v>32.634782999999999</v>
      </c>
      <c r="Y13" s="10">
        <v>74</v>
      </c>
    </row>
    <row r="14" spans="1:27" ht="27" customHeight="1" x14ac:dyDescent="0.3">
      <c r="B14" s="11">
        <v>10</v>
      </c>
      <c r="C14" s="10" t="s">
        <v>23</v>
      </c>
      <c r="D14" s="10" t="s">
        <v>25</v>
      </c>
      <c r="E14" s="10">
        <v>582.5</v>
      </c>
      <c r="F14" s="10">
        <v>591.87349400000005</v>
      </c>
      <c r="G14" s="10">
        <v>245</v>
      </c>
      <c r="H14" s="10">
        <v>815</v>
      </c>
      <c r="I14" s="10">
        <v>332</v>
      </c>
      <c r="J14" s="10">
        <v>104</v>
      </c>
      <c r="K14" s="10">
        <v>63</v>
      </c>
      <c r="L14" s="5">
        <f t="shared" si="3"/>
        <v>0.18975903614457831</v>
      </c>
      <c r="M14" s="5">
        <f t="shared" si="4"/>
        <v>0.60576923076923073</v>
      </c>
      <c r="N14" s="10">
        <v>200</v>
      </c>
      <c r="O14" s="5">
        <f t="shared" si="2"/>
        <v>0.60240963855421692</v>
      </c>
      <c r="P14" s="10">
        <v>17313.891565999998</v>
      </c>
      <c r="Q14" s="10">
        <v>6874.6807230000004</v>
      </c>
      <c r="R14" s="10">
        <v>10774.307229</v>
      </c>
      <c r="S14" s="10">
        <v>7329.307229</v>
      </c>
      <c r="T14" s="5">
        <v>0.79635500000000004</v>
      </c>
      <c r="U14" s="10">
        <v>6194.9939759999997</v>
      </c>
      <c r="V14" s="10">
        <v>2589.7831329999999</v>
      </c>
      <c r="W14" s="10">
        <v>30</v>
      </c>
      <c r="X14" s="10">
        <v>33.120482000000003</v>
      </c>
      <c r="Y14" s="10">
        <v>74</v>
      </c>
    </row>
    <row r="15" spans="1:27" ht="27" customHeight="1" x14ac:dyDescent="0.3">
      <c r="B15" s="11">
        <v>11</v>
      </c>
      <c r="C15" s="10" t="s">
        <v>23</v>
      </c>
      <c r="D15" s="10" t="s">
        <v>26</v>
      </c>
      <c r="E15" s="10">
        <v>565</v>
      </c>
      <c r="F15" s="10">
        <v>582.85990300000003</v>
      </c>
      <c r="G15" s="10">
        <v>349</v>
      </c>
      <c r="H15" s="10">
        <v>811</v>
      </c>
      <c r="I15" s="10">
        <v>207</v>
      </c>
      <c r="J15" s="10">
        <v>56</v>
      </c>
      <c r="K15" s="10">
        <v>29</v>
      </c>
      <c r="L15" s="5">
        <f t="shared" si="3"/>
        <v>0.14009661835748793</v>
      </c>
      <c r="M15" s="5">
        <f t="shared" si="4"/>
        <v>0.5178571428571429</v>
      </c>
      <c r="N15" s="10">
        <v>135</v>
      </c>
      <c r="O15" s="5">
        <f t="shared" si="2"/>
        <v>0.65217391304347827</v>
      </c>
      <c r="P15" s="10">
        <v>22282.318841</v>
      </c>
      <c r="Q15" s="10">
        <v>6888.6376810000002</v>
      </c>
      <c r="R15" s="10">
        <v>10267.536232</v>
      </c>
      <c r="S15" s="10">
        <v>7480.1545889999998</v>
      </c>
      <c r="T15" s="5">
        <v>0.82483099999999998</v>
      </c>
      <c r="U15" s="10">
        <v>6187.2077289999997</v>
      </c>
      <c r="V15" s="10">
        <v>2639.4685989999998</v>
      </c>
      <c r="W15" s="10">
        <v>30</v>
      </c>
      <c r="X15" s="10">
        <v>32.198067999999999</v>
      </c>
      <c r="Y15" s="10">
        <v>74</v>
      </c>
    </row>
    <row r="16" spans="1:27" ht="27" customHeight="1" x14ac:dyDescent="0.3">
      <c r="B16" s="11">
        <v>12</v>
      </c>
      <c r="C16" s="10" t="s">
        <v>23</v>
      </c>
      <c r="D16" s="10" t="s">
        <v>27</v>
      </c>
      <c r="E16" s="10">
        <v>612</v>
      </c>
      <c r="F16" s="10">
        <v>606.68103399999995</v>
      </c>
      <c r="G16" s="10">
        <v>402</v>
      </c>
      <c r="H16" s="10">
        <v>809</v>
      </c>
      <c r="I16" s="10">
        <v>116</v>
      </c>
      <c r="J16" s="10">
        <v>32</v>
      </c>
      <c r="K16" s="10">
        <v>9</v>
      </c>
      <c r="L16" s="5">
        <f t="shared" si="3"/>
        <v>7.7586206896551727E-2</v>
      </c>
      <c r="M16" s="5">
        <f t="shared" si="4"/>
        <v>0.28125</v>
      </c>
      <c r="N16" s="10">
        <v>74</v>
      </c>
      <c r="O16" s="5">
        <f t="shared" si="2"/>
        <v>0.63793103448275867</v>
      </c>
      <c r="P16" s="10">
        <v>27216.474138000001</v>
      </c>
      <c r="Q16" s="10">
        <v>6824.7413790000001</v>
      </c>
      <c r="R16" s="10">
        <v>10381.551724000001</v>
      </c>
      <c r="S16" s="10">
        <v>7180.2241379999996</v>
      </c>
      <c r="T16" s="5">
        <v>0.79327599999999998</v>
      </c>
      <c r="U16" s="10">
        <v>5384.456897</v>
      </c>
      <c r="V16" s="10">
        <v>2800.3362069999998</v>
      </c>
      <c r="W16" s="10">
        <v>30</v>
      </c>
      <c r="X16" s="10">
        <v>32.698276</v>
      </c>
      <c r="Y16" s="10">
        <v>73</v>
      </c>
    </row>
    <row r="17" spans="1:25" ht="27" customHeight="1" x14ac:dyDescent="0.3">
      <c r="B17" s="11">
        <v>13</v>
      </c>
      <c r="C17" s="10" t="s">
        <v>23</v>
      </c>
      <c r="D17" s="10" t="s">
        <v>18</v>
      </c>
      <c r="E17" s="10">
        <v>594</v>
      </c>
      <c r="F17" s="10">
        <v>588.41379300000006</v>
      </c>
      <c r="G17" s="10">
        <v>334</v>
      </c>
      <c r="H17" s="10">
        <v>777</v>
      </c>
      <c r="I17" s="10">
        <v>87</v>
      </c>
      <c r="J17" s="10">
        <v>20</v>
      </c>
      <c r="K17" s="10">
        <v>11</v>
      </c>
      <c r="L17" s="5">
        <f t="shared" si="3"/>
        <v>0.12643678160919541</v>
      </c>
      <c r="M17" s="5">
        <f t="shared" si="4"/>
        <v>0.55000000000000004</v>
      </c>
      <c r="N17" s="10">
        <v>61</v>
      </c>
      <c r="O17" s="5">
        <f t="shared" si="2"/>
        <v>0.70114942528735635</v>
      </c>
      <c r="P17" s="10">
        <v>37507.678161000003</v>
      </c>
      <c r="Q17" s="10">
        <v>6946.7586209999999</v>
      </c>
      <c r="R17" s="10">
        <v>14370</v>
      </c>
      <c r="S17" s="10">
        <v>6546.7011490000004</v>
      </c>
      <c r="T17" s="5">
        <v>0.80080499999999999</v>
      </c>
      <c r="U17" s="10">
        <v>5229.0114940000003</v>
      </c>
      <c r="V17" s="10">
        <v>2928.816092</v>
      </c>
      <c r="W17" s="10">
        <v>29</v>
      </c>
      <c r="X17" s="10">
        <v>30.057471</v>
      </c>
      <c r="Y17" s="10">
        <v>73</v>
      </c>
    </row>
    <row r="18" spans="1:25" ht="27" x14ac:dyDescent="0.3">
      <c r="A18" s="12">
        <f>SUMPRODUCT(I18:I24,Q18:Q24)/SUM(I18:I24)</f>
        <v>12280.850832186356</v>
      </c>
      <c r="B18" s="11">
        <v>14</v>
      </c>
      <c r="C18" s="10" t="s">
        <v>24</v>
      </c>
      <c r="D18" s="10" t="s">
        <v>22</v>
      </c>
      <c r="E18" s="10">
        <v>574</v>
      </c>
      <c r="F18" s="10">
        <v>567.80534399999999</v>
      </c>
      <c r="G18" s="10">
        <v>121</v>
      </c>
      <c r="H18" s="10">
        <v>839</v>
      </c>
      <c r="I18" s="10">
        <v>3668</v>
      </c>
      <c r="J18" s="10">
        <v>1423</v>
      </c>
      <c r="K18" s="10">
        <v>1742</v>
      </c>
      <c r="L18" s="5">
        <f t="shared" si="3"/>
        <v>0.47491821155943292</v>
      </c>
      <c r="M18" s="5">
        <f t="shared" si="4"/>
        <v>1</v>
      </c>
      <c r="N18" s="10">
        <v>403</v>
      </c>
      <c r="O18" s="5">
        <f t="shared" si="2"/>
        <v>0.10986913849509269</v>
      </c>
      <c r="P18" s="10">
        <v>705.21892000000003</v>
      </c>
      <c r="Q18" s="10">
        <v>12295.623228</v>
      </c>
      <c r="R18" s="10">
        <v>14011.731189</v>
      </c>
      <c r="S18" s="10">
        <v>11541.711014</v>
      </c>
      <c r="T18" s="5">
        <v>0.87807800000000003</v>
      </c>
      <c r="U18" s="10">
        <v>10816.166031000001</v>
      </c>
      <c r="V18" s="10">
        <v>2087.1175029999999</v>
      </c>
      <c r="W18" s="10">
        <v>38</v>
      </c>
      <c r="X18" s="10">
        <v>35.514448999999999</v>
      </c>
      <c r="Y18" s="10">
        <v>74</v>
      </c>
    </row>
    <row r="19" spans="1:25" ht="27" customHeight="1" x14ac:dyDescent="0.3">
      <c r="B19" s="11">
        <v>15</v>
      </c>
      <c r="C19" s="10" t="s">
        <v>24</v>
      </c>
      <c r="D19" s="10" t="s">
        <v>23</v>
      </c>
      <c r="E19" s="10">
        <v>580.5</v>
      </c>
      <c r="F19" s="10">
        <v>579.59019599999999</v>
      </c>
      <c r="G19" s="10">
        <v>173</v>
      </c>
      <c r="H19" s="10">
        <v>838</v>
      </c>
      <c r="I19" s="10">
        <v>510</v>
      </c>
      <c r="J19" s="10">
        <v>135</v>
      </c>
      <c r="K19" s="10">
        <v>153</v>
      </c>
      <c r="L19" s="5">
        <f t="shared" si="3"/>
        <v>0.3</v>
      </c>
      <c r="M19" s="5">
        <f t="shared" si="4"/>
        <v>1</v>
      </c>
      <c r="N19" s="10">
        <v>156</v>
      </c>
      <c r="O19" s="5">
        <f t="shared" si="2"/>
        <v>0.30588235294117649</v>
      </c>
      <c r="P19" s="10">
        <v>6979.2921569999999</v>
      </c>
      <c r="Q19" s="10">
        <v>12197.9</v>
      </c>
      <c r="R19" s="10">
        <v>15867.313725</v>
      </c>
      <c r="S19" s="10">
        <v>13334.109804</v>
      </c>
      <c r="T19" s="5">
        <v>0.89219599999999999</v>
      </c>
      <c r="U19" s="10">
        <v>13383.492157000001</v>
      </c>
      <c r="V19" s="10">
        <v>2045.7333329999999</v>
      </c>
      <c r="W19" s="10">
        <v>35</v>
      </c>
      <c r="X19" s="10">
        <v>33.156863000000001</v>
      </c>
      <c r="Y19" s="10">
        <v>73</v>
      </c>
    </row>
    <row r="20" spans="1:25" ht="27" customHeight="1" x14ac:dyDescent="0.3">
      <c r="B20" s="11">
        <v>16</v>
      </c>
      <c r="C20" s="10" t="s">
        <v>24</v>
      </c>
      <c r="D20" s="10" t="s">
        <v>24</v>
      </c>
      <c r="E20" s="10">
        <v>582.5</v>
      </c>
      <c r="F20" s="10">
        <v>585.24641099999997</v>
      </c>
      <c r="G20" s="10">
        <v>288</v>
      </c>
      <c r="H20" s="10">
        <v>817</v>
      </c>
      <c r="I20" s="10">
        <v>418</v>
      </c>
      <c r="J20" s="10">
        <v>68</v>
      </c>
      <c r="K20" s="10">
        <v>108</v>
      </c>
      <c r="L20" s="5">
        <f t="shared" si="3"/>
        <v>0.25837320574162681</v>
      </c>
      <c r="M20" s="5">
        <f t="shared" si="4"/>
        <v>1</v>
      </c>
      <c r="N20" s="10">
        <v>144</v>
      </c>
      <c r="O20" s="5">
        <f t="shared" si="2"/>
        <v>0.34449760765550241</v>
      </c>
      <c r="P20" s="10">
        <v>11988.229665000001</v>
      </c>
      <c r="Q20" s="10">
        <v>12314.784689</v>
      </c>
      <c r="R20" s="10">
        <v>17258.421052999998</v>
      </c>
      <c r="S20" s="10">
        <v>15291.344498</v>
      </c>
      <c r="T20" s="5">
        <v>0.93696199999999996</v>
      </c>
      <c r="U20" s="10">
        <v>16498.421052999998</v>
      </c>
      <c r="V20" s="10">
        <v>2195.6124399999999</v>
      </c>
      <c r="W20" s="10">
        <v>37.5</v>
      </c>
      <c r="X20" s="10">
        <v>34.507176999999999</v>
      </c>
      <c r="Y20" s="10">
        <v>73</v>
      </c>
    </row>
    <row r="21" spans="1:25" ht="27" customHeight="1" x14ac:dyDescent="0.3">
      <c r="B21" s="11">
        <v>17</v>
      </c>
      <c r="C21" s="10" t="s">
        <v>24</v>
      </c>
      <c r="D21" s="10" t="s">
        <v>25</v>
      </c>
      <c r="E21" s="10">
        <v>581</v>
      </c>
      <c r="F21" s="10">
        <v>586.68666700000006</v>
      </c>
      <c r="G21" s="10">
        <v>294</v>
      </c>
      <c r="H21" s="10">
        <v>793</v>
      </c>
      <c r="I21" s="10">
        <v>150</v>
      </c>
      <c r="J21" s="10">
        <v>27</v>
      </c>
      <c r="K21" s="10">
        <v>27</v>
      </c>
      <c r="L21" s="5">
        <f t="shared" si="3"/>
        <v>0.18</v>
      </c>
      <c r="M21" s="5">
        <f t="shared" si="4"/>
        <v>1</v>
      </c>
      <c r="N21" s="10">
        <v>91</v>
      </c>
      <c r="O21" s="5">
        <f t="shared" si="2"/>
        <v>0.60666666666666669</v>
      </c>
      <c r="P21" s="10">
        <v>17186.993332999999</v>
      </c>
      <c r="Q21" s="10">
        <v>12288.913333</v>
      </c>
      <c r="R21" s="10">
        <v>15143.733333</v>
      </c>
      <c r="S21" s="10">
        <v>13097.546667000001</v>
      </c>
      <c r="T21" s="5">
        <v>0.894733</v>
      </c>
      <c r="U21" s="10">
        <v>15434.086667</v>
      </c>
      <c r="V21" s="10">
        <v>2360.8133330000001</v>
      </c>
      <c r="W21" s="10">
        <v>31.5</v>
      </c>
      <c r="X21" s="10">
        <v>32.693333000000003</v>
      </c>
      <c r="Y21" s="10">
        <v>72</v>
      </c>
    </row>
    <row r="22" spans="1:25" ht="27" customHeight="1" x14ac:dyDescent="0.3">
      <c r="B22" s="11">
        <v>18</v>
      </c>
      <c r="C22" s="10" t="s">
        <v>24</v>
      </c>
      <c r="D22" s="10" t="s">
        <v>26</v>
      </c>
      <c r="E22" s="10">
        <v>587</v>
      </c>
      <c r="F22" s="10">
        <v>589.17948699999999</v>
      </c>
      <c r="G22" s="10">
        <v>389</v>
      </c>
      <c r="H22" s="10">
        <v>805</v>
      </c>
      <c r="I22" s="10">
        <v>78</v>
      </c>
      <c r="J22" s="10">
        <v>16</v>
      </c>
      <c r="K22" s="10">
        <v>11</v>
      </c>
      <c r="L22" s="5">
        <f t="shared" si="3"/>
        <v>0.14102564102564102</v>
      </c>
      <c r="M22" s="5">
        <f t="shared" si="4"/>
        <v>0.6875</v>
      </c>
      <c r="N22" s="10">
        <v>41</v>
      </c>
      <c r="O22" s="5">
        <f t="shared" si="2"/>
        <v>0.52564102564102566</v>
      </c>
      <c r="P22" s="10">
        <v>22035.230769000002</v>
      </c>
      <c r="Q22" s="10">
        <v>12020.948718</v>
      </c>
      <c r="R22" s="10">
        <v>14270.897435999999</v>
      </c>
      <c r="S22" s="10">
        <v>12544.858974000001</v>
      </c>
      <c r="T22" s="5">
        <v>0.91089699999999996</v>
      </c>
      <c r="U22" s="10">
        <v>14501.102564000001</v>
      </c>
      <c r="V22" s="10">
        <v>2540.3589740000002</v>
      </c>
      <c r="W22" s="10">
        <v>30</v>
      </c>
      <c r="X22" s="10">
        <v>31.653846000000001</v>
      </c>
      <c r="Y22" s="10">
        <v>69</v>
      </c>
    </row>
    <row r="23" spans="1:25" ht="27" customHeight="1" x14ac:dyDescent="0.3">
      <c r="B23" s="11">
        <v>19</v>
      </c>
      <c r="C23" s="10" t="s">
        <v>24</v>
      </c>
      <c r="D23" s="10" t="s">
        <v>27</v>
      </c>
      <c r="E23" s="10">
        <v>586</v>
      </c>
      <c r="F23" s="10">
        <v>584.42857100000003</v>
      </c>
      <c r="G23" s="10">
        <v>407</v>
      </c>
      <c r="H23" s="10">
        <v>771</v>
      </c>
      <c r="I23" s="10">
        <v>28</v>
      </c>
      <c r="J23" s="10">
        <v>5</v>
      </c>
      <c r="K23" s="10">
        <v>3</v>
      </c>
      <c r="L23" s="5">
        <f t="shared" si="3"/>
        <v>0.10714285714285714</v>
      </c>
      <c r="M23" s="5">
        <f t="shared" si="4"/>
        <v>0.6</v>
      </c>
      <c r="N23" s="10">
        <v>21</v>
      </c>
      <c r="O23" s="5">
        <f t="shared" si="2"/>
        <v>0.75</v>
      </c>
      <c r="P23" s="10">
        <v>26784.678571</v>
      </c>
      <c r="Q23" s="10">
        <v>12116.892857000001</v>
      </c>
      <c r="R23" s="10">
        <v>13378.571429</v>
      </c>
      <c r="S23" s="10">
        <v>11264.178571</v>
      </c>
      <c r="T23" s="5">
        <v>0.91749999999999998</v>
      </c>
      <c r="U23" s="10">
        <v>13846.392857000001</v>
      </c>
      <c r="V23" s="10">
        <v>2445.7857140000001</v>
      </c>
      <c r="W23" s="10">
        <v>28.5</v>
      </c>
      <c r="X23" s="10">
        <v>26.857143000000001</v>
      </c>
      <c r="Y23" s="10">
        <v>68</v>
      </c>
    </row>
    <row r="24" spans="1:25" ht="27" customHeight="1" x14ac:dyDescent="0.3">
      <c r="B24" s="11">
        <v>20</v>
      </c>
      <c r="C24" s="10" t="s">
        <v>24</v>
      </c>
      <c r="D24" s="10" t="s">
        <v>18</v>
      </c>
      <c r="E24" s="10">
        <v>611</v>
      </c>
      <c r="F24" s="10">
        <v>618.66666699999996</v>
      </c>
      <c r="G24" s="10">
        <v>400</v>
      </c>
      <c r="H24" s="10">
        <v>757</v>
      </c>
      <c r="I24" s="10">
        <v>15</v>
      </c>
      <c r="J24" s="10">
        <v>3</v>
      </c>
      <c r="K24" s="10">
        <v>2</v>
      </c>
      <c r="L24" s="5">
        <f t="shared" si="3"/>
        <v>0.13333333333333333</v>
      </c>
      <c r="M24" s="5">
        <f t="shared" si="4"/>
        <v>0.66666666666666663</v>
      </c>
      <c r="N24" s="10">
        <v>12</v>
      </c>
      <c r="O24" s="5">
        <f t="shared" si="2"/>
        <v>0.8</v>
      </c>
      <c r="P24" s="10">
        <v>34380.199999999997</v>
      </c>
      <c r="Q24" s="10">
        <v>12120.133333</v>
      </c>
      <c r="R24" s="10">
        <v>12113.333333</v>
      </c>
      <c r="S24" s="10">
        <v>11546.533332999999</v>
      </c>
      <c r="T24" s="5">
        <v>0.96266700000000005</v>
      </c>
      <c r="U24" s="10">
        <v>13230.466667000001</v>
      </c>
      <c r="V24" s="10">
        <v>2990.333333</v>
      </c>
      <c r="W24" s="10">
        <v>30</v>
      </c>
      <c r="X24" s="10">
        <v>31.266667000000002</v>
      </c>
      <c r="Y24" s="10">
        <v>50</v>
      </c>
    </row>
    <row r="25" spans="1:25" ht="27" customHeight="1" x14ac:dyDescent="0.3">
      <c r="A25" s="12">
        <f>SUMPRODUCT(I25:I31,Q25:Q31)/SUM(I25:I31)</f>
        <v>17247.849796738497</v>
      </c>
      <c r="B25" s="11">
        <v>21</v>
      </c>
      <c r="C25" s="10" t="s">
        <v>25</v>
      </c>
      <c r="D25" s="10" t="s">
        <v>22</v>
      </c>
      <c r="E25" s="10">
        <v>572</v>
      </c>
      <c r="F25" s="10">
        <v>573.12333000000001</v>
      </c>
      <c r="G25" s="10">
        <v>212</v>
      </c>
      <c r="H25" s="10">
        <v>822</v>
      </c>
      <c r="I25" s="10">
        <v>2619</v>
      </c>
      <c r="J25" s="10">
        <v>739</v>
      </c>
      <c r="K25" s="10">
        <v>990</v>
      </c>
      <c r="L25" s="5">
        <f t="shared" si="3"/>
        <v>0.37800687285223367</v>
      </c>
      <c r="M25" s="5">
        <f t="shared" si="4"/>
        <v>1</v>
      </c>
      <c r="N25" s="10">
        <v>410</v>
      </c>
      <c r="O25" s="5">
        <f t="shared" si="2"/>
        <v>0.15654830087819779</v>
      </c>
      <c r="P25" s="10">
        <v>641.52921000000003</v>
      </c>
      <c r="Q25" s="10">
        <v>17283.518899999999</v>
      </c>
      <c r="R25" s="10">
        <v>17207.250859</v>
      </c>
      <c r="S25" s="10">
        <v>15174.826650999999</v>
      </c>
      <c r="T25" s="5">
        <v>0.92053099999999999</v>
      </c>
      <c r="U25" s="10">
        <v>15481.491027</v>
      </c>
      <c r="V25" s="10">
        <v>2499.0519279999999</v>
      </c>
      <c r="W25" s="10">
        <v>45</v>
      </c>
      <c r="X25" s="10">
        <v>40.156165999999999</v>
      </c>
      <c r="Y25" s="10">
        <v>74</v>
      </c>
    </row>
    <row r="26" spans="1:25" ht="27" customHeight="1" x14ac:dyDescent="0.3">
      <c r="B26" s="11">
        <v>22</v>
      </c>
      <c r="C26" s="10" t="s">
        <v>25</v>
      </c>
      <c r="D26" s="10" t="s">
        <v>23</v>
      </c>
      <c r="E26" s="10">
        <v>562</v>
      </c>
      <c r="F26" s="10">
        <v>564.72262799999999</v>
      </c>
      <c r="G26" s="10">
        <v>310</v>
      </c>
      <c r="H26" s="10">
        <v>805</v>
      </c>
      <c r="I26" s="10">
        <v>137</v>
      </c>
      <c r="J26" s="10">
        <v>11</v>
      </c>
      <c r="K26" s="10">
        <v>23</v>
      </c>
      <c r="L26" s="5">
        <f t="shared" si="3"/>
        <v>0.16788321167883211</v>
      </c>
      <c r="M26" s="5">
        <f t="shared" si="4"/>
        <v>1</v>
      </c>
      <c r="N26" s="10">
        <v>58</v>
      </c>
      <c r="O26" s="5">
        <f t="shared" si="2"/>
        <v>0.42335766423357662</v>
      </c>
      <c r="P26" s="10">
        <v>7190.4817519999997</v>
      </c>
      <c r="Q26" s="10">
        <v>17059.751824999999</v>
      </c>
      <c r="R26" s="10">
        <v>17000.656933999999</v>
      </c>
      <c r="S26" s="10">
        <v>15552.138686</v>
      </c>
      <c r="T26" s="5">
        <v>0.94839399999999996</v>
      </c>
      <c r="U26" s="10">
        <v>20397.635036</v>
      </c>
      <c r="V26" s="10">
        <v>2509.423358</v>
      </c>
      <c r="W26" s="10">
        <v>40</v>
      </c>
      <c r="X26" s="10">
        <v>32.912408999999997</v>
      </c>
      <c r="Y26" s="10">
        <v>73</v>
      </c>
    </row>
    <row r="27" spans="1:25" ht="27" customHeight="1" x14ac:dyDescent="0.3">
      <c r="B27" s="11">
        <v>23</v>
      </c>
      <c r="C27" s="10" t="s">
        <v>25</v>
      </c>
      <c r="D27" s="10" t="s">
        <v>24</v>
      </c>
      <c r="E27" s="10">
        <v>562</v>
      </c>
      <c r="F27" s="10">
        <v>576.82105300000001</v>
      </c>
      <c r="G27" s="10">
        <v>324</v>
      </c>
      <c r="H27" s="10">
        <v>820</v>
      </c>
      <c r="I27" s="10">
        <v>95</v>
      </c>
      <c r="J27" s="10">
        <v>10</v>
      </c>
      <c r="K27" s="10">
        <v>18</v>
      </c>
      <c r="L27" s="5">
        <f t="shared" si="3"/>
        <v>0.18947368421052632</v>
      </c>
      <c r="M27" s="5">
        <f t="shared" si="4"/>
        <v>1</v>
      </c>
      <c r="N27" s="10">
        <v>38</v>
      </c>
      <c r="O27" s="5">
        <f t="shared" si="2"/>
        <v>0.4</v>
      </c>
      <c r="P27" s="10">
        <v>12236.378946999999</v>
      </c>
      <c r="Q27" s="10">
        <v>16988.852631999998</v>
      </c>
      <c r="R27" s="10">
        <v>17640</v>
      </c>
      <c r="S27" s="10">
        <v>16825.747368</v>
      </c>
      <c r="T27" s="5">
        <v>0.96263200000000004</v>
      </c>
      <c r="U27" s="10">
        <v>22921.536842000001</v>
      </c>
      <c r="V27" s="10">
        <v>2853.421053</v>
      </c>
      <c r="W27" s="10">
        <v>46</v>
      </c>
      <c r="X27" s="10">
        <v>36.568421000000001</v>
      </c>
      <c r="Y27" s="10">
        <v>73</v>
      </c>
    </row>
    <row r="28" spans="1:25" ht="27" customHeight="1" x14ac:dyDescent="0.3">
      <c r="B28" s="11">
        <v>24</v>
      </c>
      <c r="C28" s="10" t="s">
        <v>25</v>
      </c>
      <c r="D28" s="10" t="s">
        <v>25</v>
      </c>
      <c r="E28" s="10">
        <v>619</v>
      </c>
      <c r="F28" s="10">
        <v>607.15686300000004</v>
      </c>
      <c r="G28" s="10">
        <v>344</v>
      </c>
      <c r="H28" s="10">
        <v>805</v>
      </c>
      <c r="I28" s="10">
        <v>51</v>
      </c>
      <c r="J28" s="10">
        <v>7</v>
      </c>
      <c r="K28" s="10">
        <v>5</v>
      </c>
      <c r="L28" s="5">
        <f t="shared" si="3"/>
        <v>9.8039215686274508E-2</v>
      </c>
      <c r="M28" s="5">
        <f t="shared" si="4"/>
        <v>0.7142857142857143</v>
      </c>
      <c r="N28" s="10">
        <v>26</v>
      </c>
      <c r="O28" s="5">
        <f t="shared" si="2"/>
        <v>0.50980392156862742</v>
      </c>
      <c r="P28" s="10">
        <v>17107.764706000002</v>
      </c>
      <c r="Q28" s="10">
        <v>16653.490195999999</v>
      </c>
      <c r="R28" s="10">
        <v>19556.470588</v>
      </c>
      <c r="S28" s="10">
        <v>15856.843137</v>
      </c>
      <c r="T28" s="5">
        <v>0.9</v>
      </c>
      <c r="U28" s="10">
        <v>19719.431372999999</v>
      </c>
      <c r="V28" s="10">
        <v>2844.666667</v>
      </c>
      <c r="W28" s="10">
        <v>38</v>
      </c>
      <c r="X28" s="10">
        <v>35.588234999999997</v>
      </c>
      <c r="Y28" s="10">
        <v>69</v>
      </c>
    </row>
    <row r="29" spans="1:25" ht="27" customHeight="1" x14ac:dyDescent="0.3">
      <c r="B29" s="11">
        <v>25</v>
      </c>
      <c r="C29" s="10" t="s">
        <v>25</v>
      </c>
      <c r="D29" s="10" t="s">
        <v>26</v>
      </c>
      <c r="E29" s="10">
        <v>634</v>
      </c>
      <c r="F29" s="10">
        <v>621.42424200000005</v>
      </c>
      <c r="G29" s="10">
        <v>456</v>
      </c>
      <c r="H29" s="10">
        <v>799</v>
      </c>
      <c r="I29" s="10">
        <v>33</v>
      </c>
      <c r="J29" s="10">
        <v>2</v>
      </c>
      <c r="K29" s="10">
        <v>7</v>
      </c>
      <c r="L29" s="5">
        <f t="shared" si="3"/>
        <v>0.21212121212121213</v>
      </c>
      <c r="M29" s="5">
        <f t="shared" si="4"/>
        <v>1</v>
      </c>
      <c r="N29" s="10">
        <v>18</v>
      </c>
      <c r="O29" s="5">
        <f t="shared" si="2"/>
        <v>0.54545454545454541</v>
      </c>
      <c r="P29" s="10">
        <v>22255.818181999999</v>
      </c>
      <c r="Q29" s="10">
        <v>16914.848484999999</v>
      </c>
      <c r="R29" s="10">
        <v>15900</v>
      </c>
      <c r="S29" s="10">
        <v>14955.030303</v>
      </c>
      <c r="T29" s="5">
        <v>0.96878799999999998</v>
      </c>
      <c r="U29" s="10">
        <v>20936.545454999999</v>
      </c>
      <c r="V29" s="10">
        <v>2974.727273</v>
      </c>
      <c r="W29" s="10">
        <v>31</v>
      </c>
      <c r="X29" s="10">
        <v>34.878788</v>
      </c>
      <c r="Y29" s="10">
        <v>73</v>
      </c>
    </row>
    <row r="30" spans="1:25" ht="27" customHeight="1" x14ac:dyDescent="0.3">
      <c r="B30" s="11">
        <v>26</v>
      </c>
      <c r="C30" s="10" t="s">
        <v>25</v>
      </c>
      <c r="D30" s="10" t="s">
        <v>27</v>
      </c>
      <c r="E30" s="10">
        <v>617</v>
      </c>
      <c r="F30" s="10">
        <v>568.66666699999996</v>
      </c>
      <c r="G30" s="10">
        <v>205</v>
      </c>
      <c r="H30" s="10">
        <v>778</v>
      </c>
      <c r="I30" s="10">
        <v>12</v>
      </c>
      <c r="J30" s="10">
        <v>1</v>
      </c>
      <c r="K30" s="10">
        <v>0</v>
      </c>
      <c r="L30" s="5">
        <f t="shared" si="3"/>
        <v>0</v>
      </c>
      <c r="M30" s="5">
        <f t="shared" si="4"/>
        <v>0</v>
      </c>
      <c r="N30" s="10">
        <v>8</v>
      </c>
      <c r="O30" s="5">
        <f t="shared" si="2"/>
        <v>0.66666666666666663</v>
      </c>
      <c r="P30" s="10">
        <v>27326.916667000001</v>
      </c>
      <c r="Q30" s="10">
        <v>17667.833332999999</v>
      </c>
      <c r="R30" s="10">
        <v>17216.666667000001</v>
      </c>
      <c r="S30" s="10">
        <v>14889.833333</v>
      </c>
      <c r="T30" s="5">
        <v>0.89</v>
      </c>
      <c r="U30" s="10">
        <v>25271</v>
      </c>
      <c r="V30" s="10">
        <v>3623.166667</v>
      </c>
      <c r="W30" s="10">
        <v>31</v>
      </c>
      <c r="X30" s="10">
        <v>34.333333000000003</v>
      </c>
      <c r="Y30" s="10">
        <v>74</v>
      </c>
    </row>
    <row r="31" spans="1:25" ht="27" customHeight="1" x14ac:dyDescent="0.3">
      <c r="B31" s="11">
        <v>27</v>
      </c>
      <c r="C31" s="10" t="s">
        <v>25</v>
      </c>
      <c r="D31" s="10" t="s">
        <v>18</v>
      </c>
      <c r="E31" s="10">
        <v>578</v>
      </c>
      <c r="F31" s="10">
        <v>622.44444399999998</v>
      </c>
      <c r="G31" s="10">
        <v>443</v>
      </c>
      <c r="H31" s="10">
        <v>794</v>
      </c>
      <c r="I31" s="10">
        <v>9</v>
      </c>
      <c r="J31" s="10">
        <v>0</v>
      </c>
      <c r="K31" s="10">
        <v>0</v>
      </c>
      <c r="L31" s="5">
        <f t="shared" si="3"/>
        <v>0</v>
      </c>
      <c r="M31" s="5" t="e">
        <f t="shared" si="4"/>
        <v>#DIV/0!</v>
      </c>
      <c r="N31" s="10">
        <v>8</v>
      </c>
      <c r="O31" s="5">
        <f t="shared" si="2"/>
        <v>0.88888888888888884</v>
      </c>
      <c r="P31" s="10">
        <v>42182.555555999999</v>
      </c>
      <c r="Q31" s="10">
        <v>16494.333332999999</v>
      </c>
      <c r="R31" s="10">
        <v>16700</v>
      </c>
      <c r="S31" s="10">
        <v>15985.777778</v>
      </c>
      <c r="T31" s="5">
        <v>0.96444399999999997</v>
      </c>
      <c r="U31" s="10">
        <v>23952.111110999998</v>
      </c>
      <c r="V31" s="10">
        <v>2532.5555559999998</v>
      </c>
      <c r="W31" s="10">
        <v>12</v>
      </c>
      <c r="X31" s="10">
        <v>27.666667</v>
      </c>
      <c r="Y31" s="10">
        <v>74</v>
      </c>
    </row>
    <row r="32" spans="1:25" ht="27" customHeight="1" x14ac:dyDescent="0.3">
      <c r="A32" s="12">
        <f>SUMPRODUCT(I32:I38,Q32:Q38)/SUM(I32:I38)</f>
        <v>22218.921376866903</v>
      </c>
      <c r="B32" s="11">
        <v>28</v>
      </c>
      <c r="C32" s="10" t="s">
        <v>26</v>
      </c>
      <c r="D32" s="10" t="s">
        <v>22</v>
      </c>
      <c r="E32" s="10">
        <v>574.5</v>
      </c>
      <c r="F32" s="10">
        <v>573.75470600000006</v>
      </c>
      <c r="G32" s="10">
        <v>270</v>
      </c>
      <c r="H32" s="10">
        <v>820</v>
      </c>
      <c r="I32" s="10">
        <v>1700</v>
      </c>
      <c r="J32" s="10">
        <v>349</v>
      </c>
      <c r="K32" s="10">
        <v>493</v>
      </c>
      <c r="L32" s="5">
        <f t="shared" si="3"/>
        <v>0.28999999999999998</v>
      </c>
      <c r="M32" s="5">
        <f t="shared" si="4"/>
        <v>1</v>
      </c>
      <c r="N32" s="10">
        <v>369</v>
      </c>
      <c r="O32" s="5">
        <f t="shared" si="2"/>
        <v>0.21705882352941178</v>
      </c>
      <c r="P32" s="10">
        <v>668.56294100000002</v>
      </c>
      <c r="Q32" s="10">
        <v>22213.945882</v>
      </c>
      <c r="R32" s="10">
        <v>20251.205881999998</v>
      </c>
      <c r="S32" s="10">
        <v>18113.217058999999</v>
      </c>
      <c r="T32" s="5">
        <v>0.93137599999999998</v>
      </c>
      <c r="U32" s="10">
        <v>20449.711176000001</v>
      </c>
      <c r="V32" s="10">
        <v>2903.7276470000002</v>
      </c>
      <c r="W32" s="10">
        <v>49</v>
      </c>
      <c r="X32" s="10">
        <v>43.248235000000001</v>
      </c>
      <c r="Y32" s="10">
        <v>74</v>
      </c>
    </row>
    <row r="33" spans="1:25" ht="27" customHeight="1" x14ac:dyDescent="0.3">
      <c r="B33" s="11">
        <v>29</v>
      </c>
      <c r="C33" s="10" t="s">
        <v>26</v>
      </c>
      <c r="D33" s="10" t="s">
        <v>23</v>
      </c>
      <c r="E33" s="10">
        <v>589</v>
      </c>
      <c r="F33" s="10">
        <v>598.72592599999996</v>
      </c>
      <c r="G33" s="10">
        <v>321</v>
      </c>
      <c r="H33" s="10">
        <v>785</v>
      </c>
      <c r="I33" s="10">
        <v>135</v>
      </c>
      <c r="J33" s="10">
        <v>12</v>
      </c>
      <c r="K33" s="10">
        <v>25</v>
      </c>
      <c r="L33" s="5">
        <f t="shared" si="3"/>
        <v>0.18518518518518517</v>
      </c>
      <c r="M33" s="5">
        <f t="shared" si="4"/>
        <v>1</v>
      </c>
      <c r="N33" s="10">
        <v>59</v>
      </c>
      <c r="O33" s="5">
        <f t="shared" si="2"/>
        <v>0.43703703703703706</v>
      </c>
      <c r="P33" s="10">
        <v>6895.6148149999999</v>
      </c>
      <c r="Q33" s="10">
        <v>22242.548148000002</v>
      </c>
      <c r="R33" s="10">
        <v>20316.296296</v>
      </c>
      <c r="S33" s="10">
        <v>18454.281481000002</v>
      </c>
      <c r="T33" s="5">
        <v>0.95066700000000004</v>
      </c>
      <c r="U33" s="10">
        <v>26628.607407</v>
      </c>
      <c r="V33" s="10">
        <v>2238.0888890000001</v>
      </c>
      <c r="W33" s="10">
        <v>38</v>
      </c>
      <c r="X33" s="10">
        <v>32.814815000000003</v>
      </c>
      <c r="Y33" s="10">
        <v>69</v>
      </c>
    </row>
    <row r="34" spans="1:25" ht="27" customHeight="1" x14ac:dyDescent="0.3">
      <c r="B34" s="11">
        <v>30</v>
      </c>
      <c r="C34" s="10" t="s">
        <v>26</v>
      </c>
      <c r="D34" s="10" t="s">
        <v>24</v>
      </c>
      <c r="E34" s="10">
        <v>613.5</v>
      </c>
      <c r="F34" s="10">
        <v>612.74193500000001</v>
      </c>
      <c r="G34" s="10">
        <v>380</v>
      </c>
      <c r="H34" s="10">
        <v>811</v>
      </c>
      <c r="I34" s="10">
        <v>62</v>
      </c>
      <c r="J34" s="10">
        <v>5</v>
      </c>
      <c r="K34" s="10">
        <v>5</v>
      </c>
      <c r="L34" s="5">
        <f t="shared" si="3"/>
        <v>8.0645161290322578E-2</v>
      </c>
      <c r="M34" s="5">
        <f t="shared" si="4"/>
        <v>1</v>
      </c>
      <c r="N34" s="10">
        <v>35</v>
      </c>
      <c r="O34" s="5">
        <f t="shared" si="2"/>
        <v>0.56451612903225812</v>
      </c>
      <c r="P34" s="10">
        <v>11787.5</v>
      </c>
      <c r="Q34" s="10">
        <v>22414.532257999999</v>
      </c>
      <c r="R34" s="10">
        <v>21529.032257999999</v>
      </c>
      <c r="S34" s="10">
        <v>19733.790323000001</v>
      </c>
      <c r="T34" s="5">
        <v>0.94435500000000006</v>
      </c>
      <c r="U34" s="10">
        <v>31127.306452000001</v>
      </c>
      <c r="V34" s="10">
        <v>2398.5967740000001</v>
      </c>
      <c r="W34" s="10">
        <v>44</v>
      </c>
      <c r="X34" s="10">
        <v>34.177419</v>
      </c>
      <c r="Y34" s="10">
        <v>68</v>
      </c>
    </row>
    <row r="35" spans="1:25" ht="27" customHeight="1" x14ac:dyDescent="0.3">
      <c r="B35" s="11">
        <v>31</v>
      </c>
      <c r="C35" s="10" t="s">
        <v>26</v>
      </c>
      <c r="D35" s="10" t="s">
        <v>25</v>
      </c>
      <c r="E35" s="10">
        <v>616</v>
      </c>
      <c r="F35" s="10">
        <v>627.46153800000002</v>
      </c>
      <c r="G35" s="10">
        <v>444</v>
      </c>
      <c r="H35" s="10">
        <v>803</v>
      </c>
      <c r="I35" s="10">
        <v>26</v>
      </c>
      <c r="J35" s="10">
        <v>1</v>
      </c>
      <c r="K35" s="10">
        <v>3</v>
      </c>
      <c r="L35" s="5">
        <f t="shared" si="3"/>
        <v>0.11538461538461539</v>
      </c>
      <c r="M35" s="5">
        <f t="shared" si="4"/>
        <v>1</v>
      </c>
      <c r="N35" s="10">
        <v>18</v>
      </c>
      <c r="O35" s="5">
        <f t="shared" si="2"/>
        <v>0.69230769230769229</v>
      </c>
      <c r="P35" s="10">
        <v>17369.307691999998</v>
      </c>
      <c r="Q35" s="10">
        <v>22023.269230999998</v>
      </c>
      <c r="R35" s="10">
        <v>20009.615385000001</v>
      </c>
      <c r="S35" s="10">
        <v>18704.961538</v>
      </c>
      <c r="T35" s="5">
        <v>0.95769199999999999</v>
      </c>
      <c r="U35" s="10">
        <v>31570.807691999998</v>
      </c>
      <c r="V35" s="10">
        <v>2600.038462</v>
      </c>
      <c r="W35" s="10">
        <v>31</v>
      </c>
      <c r="X35" s="10">
        <v>31.5</v>
      </c>
      <c r="Y35" s="10">
        <v>73</v>
      </c>
    </row>
    <row r="36" spans="1:25" ht="27" customHeight="1" x14ac:dyDescent="0.3">
      <c r="B36" s="11">
        <v>32</v>
      </c>
      <c r="C36" s="10" t="s">
        <v>26</v>
      </c>
      <c r="D36" s="10" t="s">
        <v>26</v>
      </c>
      <c r="E36" s="10">
        <v>638.5</v>
      </c>
      <c r="F36" s="10">
        <v>618.6</v>
      </c>
      <c r="G36" s="10">
        <v>371</v>
      </c>
      <c r="H36" s="10">
        <v>769</v>
      </c>
      <c r="I36" s="10">
        <v>10</v>
      </c>
      <c r="J36" s="10">
        <v>1</v>
      </c>
      <c r="K36" s="10">
        <v>1</v>
      </c>
      <c r="L36" s="5">
        <f t="shared" si="3"/>
        <v>0.1</v>
      </c>
      <c r="M36" s="5">
        <f t="shared" si="4"/>
        <v>1</v>
      </c>
      <c r="N36" s="10">
        <v>8</v>
      </c>
      <c r="O36" s="5">
        <f t="shared" si="2"/>
        <v>0.8</v>
      </c>
      <c r="P36" s="10">
        <v>21822.5</v>
      </c>
      <c r="Q36" s="10">
        <v>21758.9</v>
      </c>
      <c r="R36" s="10">
        <v>17650</v>
      </c>
      <c r="S36" s="10">
        <v>17322.5</v>
      </c>
      <c r="T36" s="5">
        <v>0.98599999999999999</v>
      </c>
      <c r="U36" s="10">
        <v>29986.9</v>
      </c>
      <c r="V36" s="10">
        <v>1937.1</v>
      </c>
      <c r="W36" s="10">
        <v>29.5</v>
      </c>
      <c r="X36" s="10">
        <v>27.2</v>
      </c>
      <c r="Y36" s="10">
        <v>52</v>
      </c>
    </row>
    <row r="37" spans="1:25" ht="27" customHeight="1" x14ac:dyDescent="0.3">
      <c r="B37" s="11">
        <v>33</v>
      </c>
      <c r="C37" s="10" t="s">
        <v>26</v>
      </c>
      <c r="D37" s="10" t="s">
        <v>27</v>
      </c>
      <c r="E37" s="10">
        <v>595.5</v>
      </c>
      <c r="F37" s="10">
        <v>610</v>
      </c>
      <c r="G37" s="10">
        <v>464</v>
      </c>
      <c r="H37" s="10">
        <v>785</v>
      </c>
      <c r="I37" s="10">
        <v>4</v>
      </c>
      <c r="J37" s="10">
        <v>0</v>
      </c>
      <c r="K37" s="10">
        <v>1</v>
      </c>
      <c r="L37" s="5">
        <f t="shared" si="3"/>
        <v>0.25</v>
      </c>
      <c r="M37" s="5" t="e">
        <f t="shared" si="4"/>
        <v>#DIV/0!</v>
      </c>
      <c r="N37" s="10">
        <v>2</v>
      </c>
      <c r="O37" s="5">
        <f t="shared" si="2"/>
        <v>0.5</v>
      </c>
      <c r="P37" s="10">
        <v>27658</v>
      </c>
      <c r="Q37" s="10">
        <v>22561.5</v>
      </c>
      <c r="R37" s="10">
        <v>18550</v>
      </c>
      <c r="S37" s="10">
        <v>18550</v>
      </c>
      <c r="T37" s="5">
        <v>1</v>
      </c>
      <c r="U37" s="10">
        <v>41680.25</v>
      </c>
      <c r="V37" s="10">
        <v>1777.5</v>
      </c>
      <c r="W37" s="10">
        <v>15.5</v>
      </c>
      <c r="X37" s="10">
        <v>16.5</v>
      </c>
      <c r="Y37" s="10">
        <v>30</v>
      </c>
    </row>
    <row r="38" spans="1:25" ht="27" customHeight="1" x14ac:dyDescent="0.3">
      <c r="B38" s="11">
        <v>34</v>
      </c>
      <c r="C38" s="10" t="s">
        <v>26</v>
      </c>
      <c r="D38" s="10" t="s">
        <v>18</v>
      </c>
      <c r="E38" s="10">
        <v>609</v>
      </c>
      <c r="F38" s="10">
        <v>588.88888899999995</v>
      </c>
      <c r="G38" s="10">
        <v>380</v>
      </c>
      <c r="H38" s="10">
        <v>752</v>
      </c>
      <c r="I38" s="10">
        <v>9</v>
      </c>
      <c r="J38" s="10">
        <v>1</v>
      </c>
      <c r="K38" s="10">
        <v>3</v>
      </c>
      <c r="L38" s="5">
        <f t="shared" si="3"/>
        <v>0.33333333333333331</v>
      </c>
      <c r="M38" s="5">
        <f t="shared" si="4"/>
        <v>1</v>
      </c>
      <c r="N38" s="10">
        <v>3</v>
      </c>
      <c r="O38" s="5">
        <f t="shared" si="2"/>
        <v>0.33333333333333331</v>
      </c>
      <c r="P38" s="10">
        <v>38979.111110999998</v>
      </c>
      <c r="Q38" s="10">
        <v>22380.888889000002</v>
      </c>
      <c r="R38" s="10">
        <v>24533.333332999999</v>
      </c>
      <c r="S38" s="10">
        <v>21155.555555999999</v>
      </c>
      <c r="T38" s="5">
        <v>0.82888899999999999</v>
      </c>
      <c r="U38" s="10">
        <v>26771.555555999999</v>
      </c>
      <c r="V38" s="10">
        <v>3269.4444440000002</v>
      </c>
      <c r="W38" s="10">
        <v>44</v>
      </c>
      <c r="X38" s="10">
        <v>37.888888999999999</v>
      </c>
      <c r="Y38" s="10">
        <v>70</v>
      </c>
    </row>
    <row r="39" spans="1:25" ht="27" customHeight="1" x14ac:dyDescent="0.3">
      <c r="A39" s="12">
        <f>SUMPRODUCT(I39:I45,Q39:Q45)/SUM(I39:I45)</f>
        <v>27272.252826570399</v>
      </c>
      <c r="B39" s="11">
        <v>35</v>
      </c>
      <c r="C39" s="10" t="s">
        <v>27</v>
      </c>
      <c r="D39" s="10" t="s">
        <v>22</v>
      </c>
      <c r="E39" s="10">
        <v>577</v>
      </c>
      <c r="F39" s="10">
        <v>583.70374400000003</v>
      </c>
      <c r="G39" s="10">
        <v>256</v>
      </c>
      <c r="H39" s="10">
        <v>819</v>
      </c>
      <c r="I39" s="10">
        <v>908</v>
      </c>
      <c r="J39" s="10">
        <v>153</v>
      </c>
      <c r="K39" s="10">
        <v>223</v>
      </c>
      <c r="L39" s="5">
        <f t="shared" si="3"/>
        <v>0.24559471365638766</v>
      </c>
      <c r="M39" s="5">
        <f t="shared" si="4"/>
        <v>1</v>
      </c>
      <c r="N39" s="10">
        <v>245</v>
      </c>
      <c r="O39" s="5">
        <f t="shared" si="2"/>
        <v>0.26982378854625549</v>
      </c>
      <c r="P39" s="10">
        <v>592.56938300000002</v>
      </c>
      <c r="Q39" s="10">
        <v>27289.430617000002</v>
      </c>
      <c r="R39" s="10">
        <v>22291.916300000001</v>
      </c>
      <c r="S39" s="10">
        <v>20508.911894000001</v>
      </c>
      <c r="T39" s="5">
        <v>0.945496</v>
      </c>
      <c r="U39" s="10">
        <v>25667.126651999999</v>
      </c>
      <c r="V39" s="10">
        <v>3410.5936120000001</v>
      </c>
      <c r="W39" s="10">
        <v>52</v>
      </c>
      <c r="X39" s="10">
        <v>47.912996</v>
      </c>
      <c r="Y39" s="10">
        <v>74</v>
      </c>
    </row>
    <row r="40" spans="1:25" ht="27" customHeight="1" x14ac:dyDescent="0.3">
      <c r="B40" s="11">
        <v>36</v>
      </c>
      <c r="C40" s="10" t="s">
        <v>27</v>
      </c>
      <c r="D40" s="10" t="s">
        <v>23</v>
      </c>
      <c r="E40" s="10">
        <v>607</v>
      </c>
      <c r="F40" s="10">
        <v>589.20689700000003</v>
      </c>
      <c r="G40" s="10">
        <v>341</v>
      </c>
      <c r="H40" s="10">
        <v>805</v>
      </c>
      <c r="I40" s="10">
        <v>29</v>
      </c>
      <c r="J40" s="10">
        <v>3</v>
      </c>
      <c r="K40" s="10">
        <v>3</v>
      </c>
      <c r="L40" s="5">
        <f t="shared" si="3"/>
        <v>0.10344827586206896</v>
      </c>
      <c r="M40" s="5">
        <f t="shared" si="4"/>
        <v>1</v>
      </c>
      <c r="N40" s="10">
        <v>15</v>
      </c>
      <c r="O40" s="5">
        <f t="shared" si="2"/>
        <v>0.51724137931034486</v>
      </c>
      <c r="P40" s="10">
        <v>7562.1379310000002</v>
      </c>
      <c r="Q40" s="10">
        <v>27144.62069</v>
      </c>
      <c r="R40" s="10">
        <v>21540.689654999998</v>
      </c>
      <c r="S40" s="10">
        <v>20367.068965999999</v>
      </c>
      <c r="T40" s="5">
        <v>0.96482800000000002</v>
      </c>
      <c r="U40" s="10">
        <v>37516.965516999997</v>
      </c>
      <c r="V40" s="10">
        <v>2591.9310340000002</v>
      </c>
      <c r="W40" s="10">
        <v>47</v>
      </c>
      <c r="X40" s="10">
        <v>34.241379000000002</v>
      </c>
      <c r="Y40" s="10">
        <v>73</v>
      </c>
    </row>
    <row r="41" spans="1:25" ht="27" customHeight="1" x14ac:dyDescent="0.3">
      <c r="B41" s="11">
        <v>37</v>
      </c>
      <c r="C41" s="10" t="s">
        <v>27</v>
      </c>
      <c r="D41" s="10" t="s">
        <v>24</v>
      </c>
      <c r="E41" s="10">
        <v>615</v>
      </c>
      <c r="F41" s="10">
        <v>633.05882399999996</v>
      </c>
      <c r="G41" s="10">
        <v>513</v>
      </c>
      <c r="H41" s="10">
        <v>784</v>
      </c>
      <c r="I41" s="10">
        <v>17</v>
      </c>
      <c r="J41" s="10">
        <v>0</v>
      </c>
      <c r="K41" s="10">
        <v>0</v>
      </c>
      <c r="L41" s="5">
        <f t="shared" si="3"/>
        <v>0</v>
      </c>
      <c r="M41" s="5" t="e">
        <f t="shared" si="4"/>
        <v>#DIV/0!</v>
      </c>
      <c r="N41" s="10">
        <v>7</v>
      </c>
      <c r="O41" s="5">
        <f t="shared" si="2"/>
        <v>0.41176470588235292</v>
      </c>
      <c r="P41" s="10">
        <v>12081.117646999999</v>
      </c>
      <c r="Q41" s="10">
        <v>26788.176470999999</v>
      </c>
      <c r="R41" s="10">
        <v>19058.823529000001</v>
      </c>
      <c r="S41" s="10">
        <v>19058.823529000001</v>
      </c>
      <c r="T41" s="5">
        <v>1</v>
      </c>
      <c r="U41" s="10">
        <v>35445.470587999996</v>
      </c>
      <c r="V41" s="10">
        <v>3437.6470589999999</v>
      </c>
      <c r="W41" s="10">
        <v>46</v>
      </c>
      <c r="X41" s="10">
        <v>41.235294000000003</v>
      </c>
      <c r="Y41" s="10">
        <v>63</v>
      </c>
    </row>
    <row r="42" spans="1:25" ht="27" customHeight="1" x14ac:dyDescent="0.3">
      <c r="B42" s="11">
        <v>38</v>
      </c>
      <c r="C42" s="10" t="s">
        <v>27</v>
      </c>
      <c r="D42" s="10" t="s">
        <v>25</v>
      </c>
      <c r="E42" s="10">
        <v>604</v>
      </c>
      <c r="F42" s="10">
        <v>600.1</v>
      </c>
      <c r="G42" s="10">
        <v>410</v>
      </c>
      <c r="H42" s="10">
        <v>751</v>
      </c>
      <c r="I42" s="10">
        <v>10</v>
      </c>
      <c r="J42" s="10">
        <v>1</v>
      </c>
      <c r="K42" s="10">
        <v>1</v>
      </c>
      <c r="L42" s="5">
        <f t="shared" si="3"/>
        <v>0.1</v>
      </c>
      <c r="M42" s="5">
        <f t="shared" si="4"/>
        <v>1</v>
      </c>
      <c r="N42" s="10">
        <v>7</v>
      </c>
      <c r="O42" s="5">
        <f t="shared" si="2"/>
        <v>0.7</v>
      </c>
      <c r="P42" s="10">
        <v>17280.599999999999</v>
      </c>
      <c r="Q42" s="10">
        <v>27199.200000000001</v>
      </c>
      <c r="R42" s="10">
        <v>17550</v>
      </c>
      <c r="S42" s="10">
        <v>17061</v>
      </c>
      <c r="T42" s="5">
        <v>0.98499999999999999</v>
      </c>
      <c r="U42" s="10">
        <v>41927.4</v>
      </c>
      <c r="V42" s="10">
        <v>2401</v>
      </c>
      <c r="W42" s="10">
        <v>31</v>
      </c>
      <c r="X42" s="10">
        <v>27.6</v>
      </c>
      <c r="Y42" s="10">
        <v>56</v>
      </c>
    </row>
    <row r="43" spans="1:25" ht="27" customHeight="1" x14ac:dyDescent="0.3">
      <c r="B43" s="11">
        <v>39</v>
      </c>
      <c r="C43" s="10" t="s">
        <v>27</v>
      </c>
      <c r="D43" s="10" t="s">
        <v>26</v>
      </c>
      <c r="E43" s="10">
        <v>659</v>
      </c>
      <c r="F43" s="10">
        <v>636.57142899999997</v>
      </c>
      <c r="G43" s="10">
        <v>572</v>
      </c>
      <c r="H43" s="10">
        <v>684</v>
      </c>
      <c r="I43" s="10">
        <v>7</v>
      </c>
      <c r="J43" s="10">
        <v>0</v>
      </c>
      <c r="K43" s="10">
        <v>1</v>
      </c>
      <c r="L43" s="5">
        <f t="shared" si="3"/>
        <v>0.14285714285714285</v>
      </c>
      <c r="M43" s="5" t="e">
        <f t="shared" si="4"/>
        <v>#DIV/0!</v>
      </c>
      <c r="N43" s="10">
        <v>4</v>
      </c>
      <c r="O43" s="5">
        <f t="shared" si="2"/>
        <v>0.5714285714285714</v>
      </c>
      <c r="P43" s="10">
        <v>21902.285714000001</v>
      </c>
      <c r="Q43" s="10">
        <v>27093</v>
      </c>
      <c r="R43" s="10">
        <v>14971.428571</v>
      </c>
      <c r="S43" s="10">
        <v>14971.428571</v>
      </c>
      <c r="T43" s="5">
        <v>1</v>
      </c>
      <c r="U43" s="10">
        <v>42955.571429000003</v>
      </c>
      <c r="V43" s="10">
        <v>3370.5714290000001</v>
      </c>
      <c r="W43" s="10">
        <v>35</v>
      </c>
      <c r="X43" s="10">
        <v>34.428570999999998</v>
      </c>
      <c r="Y43" s="10">
        <v>59</v>
      </c>
    </row>
    <row r="44" spans="1:25" ht="27" customHeight="1" x14ac:dyDescent="0.3">
      <c r="B44" s="11">
        <v>40</v>
      </c>
      <c r="C44" s="10" t="s">
        <v>27</v>
      </c>
      <c r="D44" s="10" t="s">
        <v>27</v>
      </c>
      <c r="E44" s="10" t="s">
        <v>31</v>
      </c>
      <c r="F44" s="10" t="s">
        <v>31</v>
      </c>
      <c r="G44" s="10" t="s">
        <v>31</v>
      </c>
      <c r="H44" s="10" t="s">
        <v>31</v>
      </c>
      <c r="I44" s="10">
        <v>0</v>
      </c>
      <c r="J44" s="10">
        <v>0</v>
      </c>
      <c r="K44" s="10">
        <v>0</v>
      </c>
      <c r="L44" s="5" t="e">
        <f t="shared" si="3"/>
        <v>#DIV/0!</v>
      </c>
      <c r="M44" s="5" t="e">
        <f t="shared" si="4"/>
        <v>#DIV/0!</v>
      </c>
      <c r="N44" s="10">
        <v>0</v>
      </c>
      <c r="O44" s="5" t="e">
        <f t="shared" si="2"/>
        <v>#DIV/0!</v>
      </c>
      <c r="P44" s="10" t="s">
        <v>30</v>
      </c>
      <c r="Q44" s="10" t="s">
        <v>31</v>
      </c>
      <c r="R44" s="10" t="s">
        <v>30</v>
      </c>
      <c r="S44" s="10" t="s">
        <v>31</v>
      </c>
      <c r="T44" s="5" t="s">
        <v>30</v>
      </c>
      <c r="U44" s="10" t="s">
        <v>31</v>
      </c>
      <c r="V44" s="10" t="s">
        <v>31</v>
      </c>
      <c r="W44" s="10" t="s">
        <v>30</v>
      </c>
      <c r="X44" s="10" t="s">
        <v>30</v>
      </c>
      <c r="Y44" s="10" t="s">
        <v>30</v>
      </c>
    </row>
    <row r="45" spans="1:25" ht="27" customHeight="1" x14ac:dyDescent="0.3">
      <c r="B45" s="11">
        <v>41</v>
      </c>
      <c r="C45" s="10" t="s">
        <v>27</v>
      </c>
      <c r="D45" s="10" t="s">
        <v>18</v>
      </c>
      <c r="E45" s="10">
        <v>667</v>
      </c>
      <c r="F45" s="10">
        <v>667</v>
      </c>
      <c r="G45" s="10">
        <v>561</v>
      </c>
      <c r="H45" s="10">
        <v>773</v>
      </c>
      <c r="I45" s="10">
        <v>2</v>
      </c>
      <c r="J45" s="10">
        <v>0</v>
      </c>
      <c r="K45" s="10">
        <v>0</v>
      </c>
      <c r="L45" s="5">
        <f t="shared" si="3"/>
        <v>0</v>
      </c>
      <c r="M45" s="5" t="e">
        <f t="shared" si="4"/>
        <v>#DIV/0!</v>
      </c>
      <c r="N45" s="10">
        <v>1</v>
      </c>
      <c r="O45" s="5">
        <f t="shared" si="2"/>
        <v>0.5</v>
      </c>
      <c r="P45" s="10">
        <v>34905</v>
      </c>
      <c r="Q45" s="10">
        <v>26431.5</v>
      </c>
      <c r="R45" s="10">
        <v>24900</v>
      </c>
      <c r="S45" s="10">
        <v>24900</v>
      </c>
      <c r="T45" s="5">
        <v>1</v>
      </c>
      <c r="U45" s="10">
        <v>38376</v>
      </c>
      <c r="V45" s="10">
        <v>3148.5</v>
      </c>
      <c r="W45" s="10">
        <v>38.5</v>
      </c>
      <c r="X45" s="10">
        <v>38.5</v>
      </c>
      <c r="Y45" s="10">
        <v>46</v>
      </c>
    </row>
    <row r="46" spans="1:25" ht="27" customHeight="1" x14ac:dyDescent="0.3">
      <c r="A46" s="12">
        <f>SUMPRODUCT(I46:I52,Q46:Q52)/SUM(I46:I52)</f>
        <v>38274.034850337855</v>
      </c>
      <c r="B46" s="11">
        <v>42</v>
      </c>
      <c r="C46" s="10" t="s">
        <v>18</v>
      </c>
      <c r="D46" s="10" t="s">
        <v>22</v>
      </c>
      <c r="E46" s="10">
        <v>583.5</v>
      </c>
      <c r="F46" s="10">
        <v>591.48642500000005</v>
      </c>
      <c r="G46" s="10">
        <v>118</v>
      </c>
      <c r="H46" s="10">
        <v>838</v>
      </c>
      <c r="I46" s="10">
        <v>884</v>
      </c>
      <c r="J46" s="10">
        <v>102</v>
      </c>
      <c r="K46" s="10">
        <v>190</v>
      </c>
      <c r="L46" s="5">
        <f t="shared" si="3"/>
        <v>0.21493212669683259</v>
      </c>
      <c r="M46" s="5">
        <f t="shared" si="4"/>
        <v>1</v>
      </c>
      <c r="N46" s="10">
        <v>323</v>
      </c>
      <c r="O46" s="5">
        <f t="shared" si="2"/>
        <v>0.36538461538461536</v>
      </c>
      <c r="P46" s="10">
        <v>835.00452499999994</v>
      </c>
      <c r="Q46" s="10">
        <v>37422.859729000003</v>
      </c>
      <c r="R46" s="10">
        <v>26834.242081</v>
      </c>
      <c r="S46" s="10">
        <v>25124.004525</v>
      </c>
      <c r="T46" s="5">
        <v>0.95555400000000001</v>
      </c>
      <c r="U46" s="10">
        <v>39739.774887</v>
      </c>
      <c r="V46" s="10">
        <v>4984.7081449999996</v>
      </c>
      <c r="W46" s="10">
        <v>51</v>
      </c>
      <c r="X46" s="10">
        <v>43.268099999999997</v>
      </c>
      <c r="Y46" s="10">
        <v>74</v>
      </c>
    </row>
    <row r="47" spans="1:25" x14ac:dyDescent="0.3">
      <c r="B47" s="11">
        <v>43</v>
      </c>
      <c r="C47" s="10" t="s">
        <v>18</v>
      </c>
      <c r="D47" s="10" t="s">
        <v>23</v>
      </c>
      <c r="E47" s="10">
        <v>579</v>
      </c>
      <c r="F47" s="10">
        <v>591.74757299999999</v>
      </c>
      <c r="G47" s="10">
        <v>266</v>
      </c>
      <c r="H47" s="10">
        <v>801</v>
      </c>
      <c r="I47" s="10">
        <v>103</v>
      </c>
      <c r="J47" s="10">
        <v>8</v>
      </c>
      <c r="K47" s="10">
        <v>9</v>
      </c>
      <c r="L47" s="5">
        <f t="shared" si="3"/>
        <v>8.7378640776699032E-2</v>
      </c>
      <c r="M47" s="5">
        <f t="shared" si="4"/>
        <v>1</v>
      </c>
      <c r="N47" s="10">
        <v>58</v>
      </c>
      <c r="O47" s="5">
        <f t="shared" si="2"/>
        <v>0.56310679611650483</v>
      </c>
      <c r="P47" s="10">
        <v>6772.6796119999999</v>
      </c>
      <c r="Q47" s="10">
        <v>45325.912621000003</v>
      </c>
      <c r="R47" s="10">
        <v>33392.330096999998</v>
      </c>
      <c r="S47" s="10">
        <v>30660.330096999998</v>
      </c>
      <c r="T47" s="5">
        <v>0.93864099999999995</v>
      </c>
      <c r="U47" s="10">
        <v>79495.757282000006</v>
      </c>
      <c r="V47" s="10">
        <v>2632.8058249999999</v>
      </c>
      <c r="W47" s="10">
        <v>8</v>
      </c>
      <c r="X47" s="10">
        <v>18.631067999999999</v>
      </c>
      <c r="Y47" s="10">
        <v>72</v>
      </c>
    </row>
    <row r="48" spans="1:25" ht="27" x14ac:dyDescent="0.3">
      <c r="B48" s="11">
        <v>44</v>
      </c>
      <c r="C48" s="10" t="s">
        <v>18</v>
      </c>
      <c r="D48" s="10" t="s">
        <v>24</v>
      </c>
      <c r="E48" s="10">
        <v>639</v>
      </c>
      <c r="F48" s="10">
        <v>628.10526300000004</v>
      </c>
      <c r="G48" s="10">
        <v>482</v>
      </c>
      <c r="H48" s="10">
        <v>739</v>
      </c>
      <c r="I48" s="10">
        <v>19</v>
      </c>
      <c r="J48" s="10">
        <v>3</v>
      </c>
      <c r="K48" s="10">
        <v>2</v>
      </c>
      <c r="L48" s="5">
        <f t="shared" si="3"/>
        <v>0.10526315789473684</v>
      </c>
      <c r="M48" s="5">
        <f t="shared" si="4"/>
        <v>0.66666666666666663</v>
      </c>
      <c r="N48" s="10">
        <v>9</v>
      </c>
      <c r="O48" s="5">
        <f t="shared" si="2"/>
        <v>0.47368421052631576</v>
      </c>
      <c r="P48" s="10">
        <v>12113.157895</v>
      </c>
      <c r="Q48" s="10">
        <v>42712.368420999999</v>
      </c>
      <c r="R48" s="10">
        <v>30721.052631999999</v>
      </c>
      <c r="S48" s="10">
        <v>28901.315789</v>
      </c>
      <c r="T48" s="5">
        <v>0.955789</v>
      </c>
      <c r="U48" s="10">
        <v>66001.947367999994</v>
      </c>
      <c r="V48" s="10">
        <v>4482.9473680000001</v>
      </c>
      <c r="W48" s="10">
        <v>26</v>
      </c>
      <c r="X48" s="10">
        <v>28.105263000000001</v>
      </c>
      <c r="Y48" s="10">
        <v>61</v>
      </c>
    </row>
    <row r="49" spans="2:25" ht="27" customHeight="1" x14ac:dyDescent="0.3">
      <c r="B49" s="11">
        <v>45</v>
      </c>
      <c r="C49" s="10" t="s">
        <v>18</v>
      </c>
      <c r="D49" s="10" t="s">
        <v>25</v>
      </c>
      <c r="E49" s="10">
        <v>586</v>
      </c>
      <c r="F49" s="10">
        <v>608.72727299999997</v>
      </c>
      <c r="G49" s="10">
        <v>503</v>
      </c>
      <c r="H49" s="10">
        <v>759</v>
      </c>
      <c r="I49" s="10">
        <v>11</v>
      </c>
      <c r="J49" s="10">
        <v>2</v>
      </c>
      <c r="K49" s="10">
        <v>4</v>
      </c>
      <c r="L49" s="5">
        <f t="shared" si="3"/>
        <v>0.36363636363636365</v>
      </c>
      <c r="M49" s="5">
        <f t="shared" si="4"/>
        <v>1</v>
      </c>
      <c r="N49" s="10">
        <v>5</v>
      </c>
      <c r="O49" s="5">
        <f t="shared" si="2"/>
        <v>0.45454545454545453</v>
      </c>
      <c r="P49" s="10">
        <v>17321.818181999999</v>
      </c>
      <c r="Q49" s="10">
        <v>34018</v>
      </c>
      <c r="R49" s="10">
        <v>28327.272727</v>
      </c>
      <c r="S49" s="10">
        <v>25609.909091000001</v>
      </c>
      <c r="T49" s="5">
        <v>0.88727299999999998</v>
      </c>
      <c r="U49" s="10">
        <v>55869.181817999997</v>
      </c>
      <c r="V49" s="10">
        <v>1326.272727</v>
      </c>
      <c r="W49" s="10">
        <v>8</v>
      </c>
      <c r="X49" s="10">
        <v>18.090909</v>
      </c>
      <c r="Y49" s="10">
        <v>64</v>
      </c>
    </row>
    <row r="50" spans="2:25" ht="27" customHeight="1" x14ac:dyDescent="0.3">
      <c r="B50" s="11">
        <v>46</v>
      </c>
      <c r="C50" s="10" t="s">
        <v>18</v>
      </c>
      <c r="D50" s="10" t="s">
        <v>26</v>
      </c>
      <c r="E50" s="10">
        <v>609</v>
      </c>
      <c r="F50" s="10">
        <v>649.4</v>
      </c>
      <c r="G50" s="10">
        <v>516</v>
      </c>
      <c r="H50" s="10">
        <v>797</v>
      </c>
      <c r="I50" s="10">
        <v>5</v>
      </c>
      <c r="J50" s="10">
        <v>0</v>
      </c>
      <c r="K50" s="10">
        <v>0</v>
      </c>
      <c r="L50" s="5">
        <f t="shared" si="3"/>
        <v>0</v>
      </c>
      <c r="M50" s="5" t="e">
        <f t="shared" si="4"/>
        <v>#DIV/0!</v>
      </c>
      <c r="N50" s="10">
        <v>4</v>
      </c>
      <c r="O50" s="5">
        <f t="shared" si="2"/>
        <v>0.8</v>
      </c>
      <c r="P50" s="10">
        <v>22479.8</v>
      </c>
      <c r="Q50" s="10">
        <v>37804</v>
      </c>
      <c r="R50" s="10">
        <v>19960</v>
      </c>
      <c r="S50" s="10">
        <v>19960</v>
      </c>
      <c r="T50" s="5">
        <v>1</v>
      </c>
      <c r="U50" s="10">
        <v>52126.8</v>
      </c>
      <c r="V50" s="10">
        <v>11415.4</v>
      </c>
      <c r="W50" s="10">
        <v>20</v>
      </c>
      <c r="X50" s="10">
        <v>21.6</v>
      </c>
      <c r="Y50" s="10">
        <v>38</v>
      </c>
    </row>
    <row r="51" spans="2:25" ht="27" customHeight="1" x14ac:dyDescent="0.3">
      <c r="B51" s="11">
        <v>47</v>
      </c>
      <c r="C51" s="10" t="s">
        <v>18</v>
      </c>
      <c r="D51" s="10" t="s">
        <v>27</v>
      </c>
      <c r="E51" s="10">
        <v>579.5</v>
      </c>
      <c r="F51" s="10">
        <v>582.75</v>
      </c>
      <c r="G51" s="10">
        <v>562</v>
      </c>
      <c r="H51" s="10">
        <v>610</v>
      </c>
      <c r="I51" s="10">
        <v>4</v>
      </c>
      <c r="J51" s="10">
        <v>0</v>
      </c>
      <c r="K51" s="10">
        <v>2</v>
      </c>
      <c r="L51" s="5">
        <f t="shared" si="3"/>
        <v>0.5</v>
      </c>
      <c r="M51" s="5" t="e">
        <f t="shared" si="4"/>
        <v>#DIV/0!</v>
      </c>
      <c r="N51" s="10">
        <v>3</v>
      </c>
      <c r="O51" s="5">
        <f t="shared" si="2"/>
        <v>0.75</v>
      </c>
      <c r="P51" s="10">
        <v>26708.25</v>
      </c>
      <c r="Q51" s="10">
        <v>42383</v>
      </c>
      <c r="R51" s="10">
        <v>36850</v>
      </c>
      <c r="S51" s="10">
        <v>30206.5</v>
      </c>
      <c r="T51" s="5">
        <v>0.85499999999999998</v>
      </c>
      <c r="U51" s="10">
        <v>83738</v>
      </c>
      <c r="V51" s="10">
        <v>1751</v>
      </c>
      <c r="W51" s="10">
        <v>15</v>
      </c>
      <c r="X51" s="10">
        <v>25</v>
      </c>
      <c r="Y51" s="10">
        <v>68</v>
      </c>
    </row>
    <row r="52" spans="2:25" ht="27" customHeight="1" x14ac:dyDescent="0.3">
      <c r="B52" s="11">
        <v>48</v>
      </c>
      <c r="C52" s="10" t="s">
        <v>18</v>
      </c>
      <c r="D52" s="10" t="s">
        <v>18</v>
      </c>
      <c r="E52" s="10">
        <v>559</v>
      </c>
      <c r="F52" s="10">
        <v>540</v>
      </c>
      <c r="G52" s="10">
        <v>465</v>
      </c>
      <c r="H52" s="10">
        <v>596</v>
      </c>
      <c r="I52" s="10">
        <v>7</v>
      </c>
      <c r="J52" s="10">
        <v>0</v>
      </c>
      <c r="K52" s="10">
        <v>1</v>
      </c>
      <c r="L52" s="5">
        <f t="shared" si="3"/>
        <v>0.14285714285714285</v>
      </c>
      <c r="M52" s="5" t="e">
        <f t="shared" si="4"/>
        <v>#DIV/0!</v>
      </c>
      <c r="N52" s="10">
        <v>5</v>
      </c>
      <c r="O52" s="5">
        <f t="shared" si="2"/>
        <v>0.7142857142857143</v>
      </c>
      <c r="P52" s="10">
        <v>52255.571429000003</v>
      </c>
      <c r="Q52" s="10">
        <v>34630.857143000001</v>
      </c>
      <c r="R52" s="10">
        <v>29028.571429</v>
      </c>
      <c r="S52" s="10">
        <v>29028.571429</v>
      </c>
      <c r="T52" s="5">
        <v>1</v>
      </c>
      <c r="U52" s="10">
        <v>44506</v>
      </c>
      <c r="V52" s="10">
        <v>3377</v>
      </c>
      <c r="W52" s="10">
        <v>46</v>
      </c>
      <c r="X52" s="10">
        <v>42.142856999999999</v>
      </c>
      <c r="Y52" s="10">
        <v>72</v>
      </c>
    </row>
  </sheetData>
  <mergeCells count="2">
    <mergeCell ref="E2:H2"/>
    <mergeCell ref="W2:Y2"/>
  </mergeCells>
  <phoneticPr fontId="2" type="noConversion"/>
  <conditionalFormatting sqref="I1:I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85422-0014-4308-9A39-9E55D405AC0F}">
  <dimension ref="A1:AQ80"/>
  <sheetViews>
    <sheetView tabSelected="1" topLeftCell="AJ48" workbookViewId="0">
      <selection activeCell="AL57" sqref="AL57"/>
    </sheetView>
  </sheetViews>
  <sheetFormatPr defaultRowHeight="16.5" x14ac:dyDescent="0.3"/>
  <cols>
    <col min="7" max="7" width="10.625" style="2" bestFit="1" customWidth="1"/>
    <col min="8" max="8" width="10.625" style="2" customWidth="1"/>
    <col min="9" max="9" width="10.625" bestFit="1" customWidth="1"/>
    <col min="10" max="12" width="10.625" style="2" customWidth="1"/>
    <col min="14" max="14" width="10.625" style="2" bestFit="1" customWidth="1"/>
    <col min="19" max="19" width="9" style="7"/>
    <col min="20" max="20" width="8.75" style="7" bestFit="1" customWidth="1"/>
    <col min="21" max="22" width="9.25" style="26" bestFit="1" customWidth="1"/>
    <col min="23" max="23" width="9.25" style="26" customWidth="1"/>
    <col min="24" max="24" width="9" style="33"/>
    <col min="25" max="25" width="9" style="7"/>
    <col min="26" max="27" width="9" style="2"/>
    <col min="30" max="30" width="9" style="2"/>
    <col min="31" max="32" width="11.75" customWidth="1"/>
    <col min="33" max="33" width="9" style="2"/>
    <col min="34" max="35" width="9.125" style="2" customWidth="1"/>
    <col min="36" max="36" width="16.5" bestFit="1" customWidth="1"/>
    <col min="37" max="37" width="10.75" bestFit="1" customWidth="1"/>
    <col min="38" max="38" width="9.875" bestFit="1" customWidth="1"/>
    <col min="39" max="39" width="9.75" bestFit="1" customWidth="1"/>
    <col min="41" max="41" width="9.75" bestFit="1" customWidth="1"/>
  </cols>
  <sheetData>
    <row r="1" spans="1:43" ht="67.5" x14ac:dyDescent="0.3">
      <c r="A1" s="7">
        <f>SUMPRODUCT(D2:D76,E2:E76)/SUM(D2:D76)</f>
        <v>9341.8695722790744</v>
      </c>
      <c r="B1" s="3" t="s">
        <v>363</v>
      </c>
      <c r="C1" s="3" t="s">
        <v>13</v>
      </c>
      <c r="D1" s="3" t="s">
        <v>5</v>
      </c>
      <c r="E1" s="3" t="s">
        <v>171</v>
      </c>
      <c r="F1" s="3" t="s">
        <v>172</v>
      </c>
      <c r="G1" s="3" t="s">
        <v>59</v>
      </c>
      <c r="H1" s="3" t="s">
        <v>6</v>
      </c>
      <c r="I1" s="3" t="s">
        <v>55</v>
      </c>
      <c r="J1" s="6" t="s">
        <v>155</v>
      </c>
      <c r="K1" s="6" t="s">
        <v>156</v>
      </c>
      <c r="L1" s="6" t="s">
        <v>157</v>
      </c>
      <c r="M1" s="3" t="s">
        <v>12</v>
      </c>
      <c r="N1" s="3" t="s">
        <v>11</v>
      </c>
      <c r="O1" s="3" t="s">
        <v>8</v>
      </c>
      <c r="P1" s="3" t="s">
        <v>9</v>
      </c>
      <c r="Q1" s="3" t="s">
        <v>180</v>
      </c>
      <c r="R1" s="3" t="s">
        <v>9</v>
      </c>
      <c r="S1" s="8" t="s">
        <v>173</v>
      </c>
      <c r="T1" s="8" t="s">
        <v>174</v>
      </c>
      <c r="U1" s="34" t="s">
        <v>177</v>
      </c>
      <c r="V1" s="34" t="s">
        <v>178</v>
      </c>
      <c r="W1" s="34" t="s">
        <v>181</v>
      </c>
      <c r="X1" s="31" t="s">
        <v>175</v>
      </c>
      <c r="Y1" s="31" t="s">
        <v>176</v>
      </c>
      <c r="Z1" s="3" t="s">
        <v>184</v>
      </c>
      <c r="AA1" s="28" t="s">
        <v>159</v>
      </c>
      <c r="AB1" s="28" t="s">
        <v>160</v>
      </c>
      <c r="AC1" s="28" t="s">
        <v>183</v>
      </c>
      <c r="AD1" s="28" t="s">
        <v>161</v>
      </c>
      <c r="AE1" s="27" t="s">
        <v>162</v>
      </c>
      <c r="AF1" s="27" t="s">
        <v>364</v>
      </c>
      <c r="AG1" s="6" t="s">
        <v>366</v>
      </c>
      <c r="AH1" s="6" t="s">
        <v>365</v>
      </c>
      <c r="AI1" s="109"/>
    </row>
    <row r="2" spans="1:43" x14ac:dyDescent="0.3">
      <c r="A2">
        <f>SUM(D2:D$2)/SUM(D$2:D$76)</f>
        <v>1.2081452372446493E-2</v>
      </c>
      <c r="B2" s="3">
        <v>0</v>
      </c>
      <c r="C2" s="4">
        <v>0</v>
      </c>
      <c r="D2" s="4">
        <v>372</v>
      </c>
      <c r="E2" s="4">
        <v>6207.0403230000002</v>
      </c>
      <c r="F2" s="4">
        <v>3428.0483869999998</v>
      </c>
      <c r="G2" s="4">
        <v>266</v>
      </c>
      <c r="H2" s="4">
        <v>335</v>
      </c>
      <c r="I2" s="4">
        <v>46</v>
      </c>
      <c r="J2" s="5">
        <f>G2/$D2</f>
        <v>0.71505376344086025</v>
      </c>
      <c r="K2" s="5">
        <f>H2/$D2</f>
        <v>0.90053763440860213</v>
      </c>
      <c r="L2" s="5">
        <f>I2/$D2</f>
        <v>0.12365591397849462</v>
      </c>
      <c r="M2" s="4">
        <v>0</v>
      </c>
      <c r="N2" s="4">
        <v>8221.4677420000007</v>
      </c>
      <c r="O2" s="4">
        <v>14846.397849000001</v>
      </c>
      <c r="P2" s="4">
        <v>7058.0913979999996</v>
      </c>
      <c r="Q2" s="4">
        <v>0.57400499999999999</v>
      </c>
      <c r="R2" s="4">
        <v>7058.0913979999996</v>
      </c>
      <c r="S2" s="9">
        <v>5370.0217389999998</v>
      </c>
      <c r="T2" s="9">
        <v>2597.681818</v>
      </c>
      <c r="U2" s="35">
        <v>9635.08871</v>
      </c>
      <c r="V2" s="35">
        <v>8005.363636</v>
      </c>
      <c r="W2" s="35">
        <f>V2-U2</f>
        <v>-1629.7250739999999</v>
      </c>
      <c r="X2" s="32">
        <v>7.7272730000000003</v>
      </c>
      <c r="Y2" s="7">
        <v>482.30302999999998</v>
      </c>
      <c r="Z2" s="5">
        <v>0.52434800000000004</v>
      </c>
      <c r="AA2" s="29">
        <f>F2/MAX(E$2:F$76)</f>
        <v>0.19869480686647981</v>
      </c>
      <c r="AB2" s="30">
        <f>E2/MAX(E$2:F$76)</f>
        <v>0.35976933198140926</v>
      </c>
      <c r="AC2" s="30">
        <f>V2/MAX(V$2:V$76)</f>
        <v>0.29531641821988175</v>
      </c>
      <c r="AD2" s="2">
        <f>K2/MAX(K$2:K$76)</f>
        <v>1</v>
      </c>
      <c r="AE2" s="2">
        <f>L2/MAX(L$2:L$76)</f>
        <v>0.25693599107324</v>
      </c>
      <c r="AF2" s="2"/>
      <c r="AG2" s="5"/>
      <c r="AH2" s="5"/>
      <c r="AI2" s="110"/>
      <c r="AJ2">
        <f>CORREL(J2:J76,K2:K76)</f>
        <v>0.61640216335226594</v>
      </c>
    </row>
    <row r="3" spans="1:43" x14ac:dyDescent="0.3">
      <c r="A3">
        <f>SUM(D$2:D3)/SUM(D$2:D$76)</f>
        <v>3.7803254197655158E-2</v>
      </c>
      <c r="B3" s="3">
        <v>1</v>
      </c>
      <c r="C3" s="4">
        <v>1</v>
      </c>
      <c r="D3" s="4">
        <v>792</v>
      </c>
      <c r="E3" s="4">
        <v>8073.9684340000003</v>
      </c>
      <c r="F3" s="4">
        <v>4118.7020199999997</v>
      </c>
      <c r="G3" s="4">
        <v>276</v>
      </c>
      <c r="H3" s="4">
        <v>576</v>
      </c>
      <c r="I3" s="4">
        <v>181</v>
      </c>
      <c r="J3" s="5">
        <f t="shared" ref="J3:J66" si="0">G3/$D3</f>
        <v>0.34848484848484851</v>
      </c>
      <c r="K3" s="5">
        <f t="shared" ref="K3:K66" si="1">H3/$D3</f>
        <v>0.72727272727272729</v>
      </c>
      <c r="L3" s="5">
        <f>I3/$D3</f>
        <v>0.22853535353535354</v>
      </c>
      <c r="M3" s="4">
        <v>478.670455</v>
      </c>
      <c r="N3" s="4">
        <v>11391.969697</v>
      </c>
      <c r="O3" s="4">
        <v>16759.823231999999</v>
      </c>
      <c r="P3" s="4">
        <v>7850.9583329999996</v>
      </c>
      <c r="Q3" s="4">
        <v>0.54596</v>
      </c>
      <c r="R3" s="4">
        <v>7850.9583329999996</v>
      </c>
      <c r="S3" s="9">
        <v>7401.3756910000002</v>
      </c>
      <c r="T3" s="9">
        <v>4702.859649</v>
      </c>
      <c r="U3" s="35">
        <v>12192.670454999999</v>
      </c>
      <c r="V3" s="35">
        <v>12323.894737000001</v>
      </c>
      <c r="W3" s="35">
        <f t="shared" ref="W3:W66" si="2">V3-U3</f>
        <v>131.22428200000104</v>
      </c>
      <c r="X3" s="32">
        <v>22.045161</v>
      </c>
      <c r="Y3" s="7">
        <v>1447.954839</v>
      </c>
      <c r="Z3" s="5">
        <v>0.54961300000000002</v>
      </c>
      <c r="AA3" s="29">
        <f t="shared" ref="AA3:AA66" si="3">F3/MAX(E$2:F$76)</f>
        <v>0.23872612344327457</v>
      </c>
      <c r="AB3" s="30">
        <f t="shared" ref="AB3:AB66" si="4">E3/MAX(E$2:F$76)</f>
        <v>0.46797927494938962</v>
      </c>
      <c r="AC3" s="30">
        <f t="shared" ref="AC3:AC66" si="5">V3/MAX(V$2:V$76)</f>
        <v>0.45462625031586912</v>
      </c>
      <c r="AD3" s="2">
        <f t="shared" ref="AD3:AD66" si="6">K3/MAX(K$2:K$76)</f>
        <v>0.80759837177747629</v>
      </c>
      <c r="AE3" s="2">
        <f t="shared" ref="AE3:AE66" si="7">L3/MAX(L$2:L$76)</f>
        <v>0.4748576567562417</v>
      </c>
      <c r="AF3" s="2"/>
      <c r="AG3" s="5"/>
      <c r="AH3" s="5"/>
      <c r="AI3" s="110"/>
    </row>
    <row r="4" spans="1:43" x14ac:dyDescent="0.3">
      <c r="A4">
        <f>SUM(D$2:D4)/SUM(D$2:D$76)</f>
        <v>6.492156799064662E-2</v>
      </c>
      <c r="B4" s="3">
        <v>2</v>
      </c>
      <c r="C4" s="4">
        <v>2</v>
      </c>
      <c r="D4" s="4">
        <v>835</v>
      </c>
      <c r="E4" s="4">
        <v>8333.7880239999995</v>
      </c>
      <c r="F4" s="4">
        <v>6698.3544910000001</v>
      </c>
      <c r="G4" s="4">
        <v>243</v>
      </c>
      <c r="H4" s="4">
        <v>468</v>
      </c>
      <c r="I4" s="4">
        <v>288</v>
      </c>
      <c r="J4" s="5">
        <f t="shared" si="0"/>
        <v>0.29101796407185626</v>
      </c>
      <c r="K4" s="5">
        <f t="shared" si="1"/>
        <v>0.56047904191616771</v>
      </c>
      <c r="L4" s="5">
        <f t="shared" ref="L4:L66" si="8">I4/$D4</f>
        <v>0.34491017964071857</v>
      </c>
      <c r="M4" s="4">
        <v>719.05988000000002</v>
      </c>
      <c r="N4" s="4">
        <v>11854.051497</v>
      </c>
      <c r="O4" s="4">
        <v>16808.323353</v>
      </c>
      <c r="P4" s="4">
        <v>8035.0323349999999</v>
      </c>
      <c r="Q4" s="4">
        <v>0.53862299999999996</v>
      </c>
      <c r="R4" s="4">
        <v>8035.0323349999999</v>
      </c>
      <c r="S4" s="9">
        <v>8656.7743059999993</v>
      </c>
      <c r="T4" s="9">
        <v>6158.8535709999996</v>
      </c>
      <c r="U4" s="35">
        <v>15032.142515</v>
      </c>
      <c r="V4" s="35">
        <v>14165.385714</v>
      </c>
      <c r="W4" s="35">
        <f t="shared" si="2"/>
        <v>-866.75680099999954</v>
      </c>
      <c r="X4" s="32">
        <v>28.633588</v>
      </c>
      <c r="Y4" s="7">
        <v>2592.156489</v>
      </c>
      <c r="Z4" s="5">
        <v>0.57173600000000002</v>
      </c>
      <c r="AA4" s="29">
        <f t="shared" si="3"/>
        <v>0.38824663530411913</v>
      </c>
      <c r="AB4" s="30">
        <f t="shared" si="4"/>
        <v>0.483038806620807</v>
      </c>
      <c r="AC4" s="30">
        <f t="shared" si="5"/>
        <v>0.5225585197591095</v>
      </c>
      <c r="AD4" s="2">
        <f t="shared" si="6"/>
        <v>0.62238269729198326</v>
      </c>
      <c r="AE4" s="2">
        <f t="shared" si="7"/>
        <v>0.71666478364026664</v>
      </c>
      <c r="AF4" s="2"/>
      <c r="AG4" s="5"/>
      <c r="AH4" s="5"/>
      <c r="AI4" s="110"/>
      <c r="AK4" t="s">
        <v>369</v>
      </c>
      <c r="AL4" t="s">
        <v>370</v>
      </c>
      <c r="AM4" t="s">
        <v>367</v>
      </c>
      <c r="AN4" t="s">
        <v>368</v>
      </c>
      <c r="AO4" t="s">
        <v>371</v>
      </c>
      <c r="AP4" t="s">
        <v>375</v>
      </c>
      <c r="AQ4" t="s">
        <v>376</v>
      </c>
    </row>
    <row r="5" spans="1:43" s="97" customFormat="1" x14ac:dyDescent="0.3">
      <c r="A5" s="97">
        <f>SUM(D$2:D5)/SUM(D$2:D$76)</f>
        <v>8.6421356890000328E-2</v>
      </c>
      <c r="B5" s="98">
        <v>3</v>
      </c>
      <c r="C5" s="99">
        <v>3</v>
      </c>
      <c r="D5" s="99">
        <v>662</v>
      </c>
      <c r="E5" s="99">
        <v>7451.0256799999997</v>
      </c>
      <c r="F5" s="99">
        <v>6287.049849</v>
      </c>
      <c r="G5" s="99">
        <v>178</v>
      </c>
      <c r="H5" s="99">
        <v>381</v>
      </c>
      <c r="I5" s="99">
        <v>233</v>
      </c>
      <c r="J5" s="100">
        <f t="shared" si="0"/>
        <v>0.26888217522658608</v>
      </c>
      <c r="K5" s="100">
        <f t="shared" si="1"/>
        <v>0.57552870090634445</v>
      </c>
      <c r="L5" s="100">
        <f t="shared" si="8"/>
        <v>0.35196374622356497</v>
      </c>
      <c r="M5" s="99">
        <v>605.70694900000001</v>
      </c>
      <c r="N5" s="99">
        <v>10228.410876</v>
      </c>
      <c r="O5" s="99">
        <v>17082.567975999998</v>
      </c>
      <c r="P5" s="99">
        <v>7321.2734140000002</v>
      </c>
      <c r="Q5" s="99">
        <v>0.49768899999999999</v>
      </c>
      <c r="R5" s="99">
        <v>7321.2734140000002</v>
      </c>
      <c r="S5" s="101">
        <v>6696.48927</v>
      </c>
      <c r="T5" s="101">
        <v>6464.9115039999997</v>
      </c>
      <c r="U5" s="102">
        <v>13738.075529</v>
      </c>
      <c r="V5" s="102">
        <v>12813.004424999999</v>
      </c>
      <c r="W5" s="102">
        <f t="shared" si="2"/>
        <v>-925.07110400000056</v>
      </c>
      <c r="X5" s="103">
        <v>23.425837000000001</v>
      </c>
      <c r="Y5" s="104">
        <v>2432.3732060000002</v>
      </c>
      <c r="Z5" s="100">
        <v>0.46047199999999999</v>
      </c>
      <c r="AA5" s="105">
        <f t="shared" si="3"/>
        <v>0.3644068036624788</v>
      </c>
      <c r="AB5" s="106">
        <f t="shared" si="4"/>
        <v>0.43187258209631024</v>
      </c>
      <c r="AC5" s="106">
        <f t="shared" si="5"/>
        <v>0.47266941833977366</v>
      </c>
      <c r="AD5" s="107">
        <f t="shared" si="6"/>
        <v>0.63909455742435861</v>
      </c>
      <c r="AE5" s="107">
        <f t="shared" si="7"/>
        <v>0.73132089722396398</v>
      </c>
      <c r="AF5" s="107">
        <v>1</v>
      </c>
      <c r="AG5" s="100"/>
      <c r="AH5" s="100"/>
      <c r="AI5" s="111"/>
      <c r="AK5" s="104">
        <f>SUMPRODUCT(D5:D26,U5:U26)/SUM(D5:D26)</f>
        <v>13667.734410346147</v>
      </c>
      <c r="AL5" s="104">
        <f>SUMPRODUCT(D5:D26,V5:V26)/SUM(D5:D26)</f>
        <v>13851.979254119977</v>
      </c>
      <c r="AM5" s="107">
        <f>SUMPRODUCT(D5:D26,Q5:Q26)/SUM(D5:D26)</f>
        <v>0.54587180183091011</v>
      </c>
      <c r="AN5" s="107">
        <f>SUMPRODUCT(D5:D26,Z5:Z26)/SUM(D5:D26)</f>
        <v>0.59239661593968762</v>
      </c>
      <c r="AO5" s="104">
        <f>SUMPRODUCT(D5:D26,O5:O26)/SUM(D5:D26)</f>
        <v>15232.375875068927</v>
      </c>
      <c r="AP5" s="107">
        <f>SUMPRODUCT(D5:D26,K5:K26)/SUM(D5:D26)</f>
        <v>0.50845449649973073</v>
      </c>
      <c r="AQ5" s="107">
        <f>SUMPRODUCT(D5:D26,L5:L26)/SUM(D5:D26)</f>
        <v>0.33581044695745826</v>
      </c>
    </row>
    <row r="6" spans="1:43" x14ac:dyDescent="0.3">
      <c r="A6">
        <f>SUM(D$2:D6)/SUM(D$2:D$76)</f>
        <v>0.10483582865122926</v>
      </c>
      <c r="B6" s="3">
        <v>4</v>
      </c>
      <c r="C6" s="4">
        <v>4</v>
      </c>
      <c r="D6" s="4">
        <v>567</v>
      </c>
      <c r="E6" s="4">
        <v>7052.746032</v>
      </c>
      <c r="F6" s="4">
        <v>6943.1640209999996</v>
      </c>
      <c r="G6" s="4">
        <v>168</v>
      </c>
      <c r="H6" s="4">
        <v>340</v>
      </c>
      <c r="I6" s="4">
        <v>188</v>
      </c>
      <c r="J6" s="5">
        <f t="shared" si="0"/>
        <v>0.29629629629629628</v>
      </c>
      <c r="K6" s="5">
        <f t="shared" si="1"/>
        <v>0.59964726631393295</v>
      </c>
      <c r="L6" s="5">
        <f t="shared" si="8"/>
        <v>0.33156966490299822</v>
      </c>
      <c r="M6" s="4">
        <v>398.06172800000002</v>
      </c>
      <c r="N6" s="4">
        <v>9648.7089950000009</v>
      </c>
      <c r="O6" s="4">
        <v>16937.601411</v>
      </c>
      <c r="P6" s="4">
        <v>7028.9894180000001</v>
      </c>
      <c r="Q6" s="4">
        <v>0.51839500000000005</v>
      </c>
      <c r="R6" s="4">
        <v>7028.9894180000001</v>
      </c>
      <c r="S6" s="9">
        <v>6689.7021279999999</v>
      </c>
      <c r="T6" s="9">
        <v>7230.9518719999996</v>
      </c>
      <c r="U6" s="35">
        <v>13995.910053</v>
      </c>
      <c r="V6" s="35">
        <v>13929.962567</v>
      </c>
      <c r="W6" s="35">
        <f t="shared" si="2"/>
        <v>-65.947485999999117</v>
      </c>
      <c r="X6" s="32">
        <v>26.072289000000001</v>
      </c>
      <c r="Y6" s="7">
        <v>2093.578313</v>
      </c>
      <c r="Z6" s="5">
        <v>0.541543</v>
      </c>
      <c r="AA6" s="29">
        <f t="shared" si="3"/>
        <v>0.40243616146917777</v>
      </c>
      <c r="AB6" s="30">
        <f t="shared" si="4"/>
        <v>0.40878769856948693</v>
      </c>
      <c r="AC6" s="30">
        <f t="shared" si="5"/>
        <v>0.51387380239968272</v>
      </c>
      <c r="AD6" s="2">
        <f t="shared" si="6"/>
        <v>0.66587696438442701</v>
      </c>
      <c r="AE6" s="2">
        <f t="shared" si="7"/>
        <v>0.68894545938571095</v>
      </c>
      <c r="AF6" s="2"/>
      <c r="AG6" s="5"/>
      <c r="AH6" s="5"/>
      <c r="AI6" s="110"/>
    </row>
    <row r="7" spans="1:43" x14ac:dyDescent="0.3">
      <c r="A7">
        <f>SUM(D$2:D7)/SUM(D$2:D$76)</f>
        <v>0.12146406417459647</v>
      </c>
      <c r="B7" s="3">
        <v>5</v>
      </c>
      <c r="C7" s="4">
        <v>5</v>
      </c>
      <c r="D7" s="4">
        <v>512</v>
      </c>
      <c r="E7" s="4">
        <v>7188.8125</v>
      </c>
      <c r="F7" s="4">
        <v>7034.546875</v>
      </c>
      <c r="G7" s="4">
        <v>157</v>
      </c>
      <c r="H7" s="4">
        <v>284</v>
      </c>
      <c r="I7" s="4">
        <v>164</v>
      </c>
      <c r="J7" s="5">
        <f t="shared" si="0"/>
        <v>0.306640625</v>
      </c>
      <c r="K7" s="5">
        <f t="shared" si="1"/>
        <v>0.5546875</v>
      </c>
      <c r="L7" s="5">
        <f t="shared" si="8"/>
        <v>0.3203125</v>
      </c>
      <c r="M7" s="4">
        <v>642.08593800000006</v>
      </c>
      <c r="N7" s="4">
        <v>9112.5820309999999</v>
      </c>
      <c r="O7" s="4">
        <v>16575.722656000002</v>
      </c>
      <c r="P7" s="4">
        <v>7166.0703119999998</v>
      </c>
      <c r="Q7" s="4">
        <v>0.49363299999999999</v>
      </c>
      <c r="R7" s="4">
        <v>7166.0703119999998</v>
      </c>
      <c r="S7" s="9">
        <v>7381.1463409999997</v>
      </c>
      <c r="T7" s="9">
        <v>6768.4012350000003</v>
      </c>
      <c r="U7" s="35">
        <v>14223.359375</v>
      </c>
      <c r="V7" s="35">
        <v>13881.351852</v>
      </c>
      <c r="W7" s="35">
        <f t="shared" si="2"/>
        <v>-342.00752300000022</v>
      </c>
      <c r="X7" s="32">
        <v>23.328766999999999</v>
      </c>
      <c r="Y7" s="7">
        <v>2459.4726030000002</v>
      </c>
      <c r="Z7" s="5">
        <v>0.45750000000000002</v>
      </c>
      <c r="AA7" s="29">
        <f t="shared" si="3"/>
        <v>0.40773284823570494</v>
      </c>
      <c r="AB7" s="30">
        <f t="shared" si="4"/>
        <v>0.41667431437187469</v>
      </c>
      <c r="AC7" s="30">
        <f t="shared" si="5"/>
        <v>0.51208056190572804</v>
      </c>
      <c r="AD7" s="2">
        <f t="shared" si="6"/>
        <v>0.61595149253731341</v>
      </c>
      <c r="AE7" s="2">
        <f t="shared" si="7"/>
        <v>0.66555498231132082</v>
      </c>
      <c r="AF7" s="2"/>
      <c r="AG7" s="5"/>
      <c r="AH7" s="5"/>
      <c r="AI7" s="110"/>
    </row>
    <row r="8" spans="1:43" x14ac:dyDescent="0.3">
      <c r="A8">
        <f>SUM(D$2:D8)/SUM(D$2:D$76)</f>
        <v>0.13754019031535189</v>
      </c>
      <c r="B8" s="3">
        <v>6</v>
      </c>
      <c r="C8" s="4">
        <v>6</v>
      </c>
      <c r="D8" s="4">
        <v>495</v>
      </c>
      <c r="E8" s="4">
        <v>7581.8383839999997</v>
      </c>
      <c r="F8" s="4">
        <v>7820.7010099999998</v>
      </c>
      <c r="G8" s="4">
        <v>143</v>
      </c>
      <c r="H8" s="4">
        <v>255</v>
      </c>
      <c r="I8" s="4">
        <v>187</v>
      </c>
      <c r="J8" s="5">
        <f t="shared" si="0"/>
        <v>0.28888888888888886</v>
      </c>
      <c r="K8" s="5">
        <f t="shared" si="1"/>
        <v>0.51515151515151514</v>
      </c>
      <c r="L8" s="5">
        <f t="shared" si="8"/>
        <v>0.37777777777777777</v>
      </c>
      <c r="M8" s="4">
        <v>745.86262599999998</v>
      </c>
      <c r="N8" s="4">
        <v>9897.4949489999999</v>
      </c>
      <c r="O8" s="4">
        <v>17335.212121</v>
      </c>
      <c r="P8" s="4">
        <v>7351.5232319999996</v>
      </c>
      <c r="Q8" s="4">
        <v>0.49680800000000003</v>
      </c>
      <c r="R8" s="4">
        <v>7351.5232319999996</v>
      </c>
      <c r="S8" s="9">
        <v>7210.2245990000001</v>
      </c>
      <c r="T8" s="9">
        <v>8175.9135139999999</v>
      </c>
      <c r="U8" s="35">
        <v>15402.539393999999</v>
      </c>
      <c r="V8" s="35">
        <v>15159.264864999999</v>
      </c>
      <c r="W8" s="35">
        <f t="shared" si="2"/>
        <v>-243.27452900000026</v>
      </c>
      <c r="X8" s="32">
        <v>31.059524</v>
      </c>
      <c r="Y8" s="7">
        <v>2438.9821430000002</v>
      </c>
      <c r="Z8" s="5">
        <v>0.50395699999999999</v>
      </c>
      <c r="AA8" s="29">
        <f t="shared" si="3"/>
        <v>0.45329951660989598</v>
      </c>
      <c r="AB8" s="30">
        <f t="shared" si="4"/>
        <v>0.43945468188682935</v>
      </c>
      <c r="AC8" s="30">
        <f t="shared" si="5"/>
        <v>0.55922254207745015</v>
      </c>
      <c r="AD8" s="2">
        <f t="shared" si="6"/>
        <v>0.57204884667571232</v>
      </c>
      <c r="AE8" s="2">
        <f t="shared" si="7"/>
        <v>0.784958071278826</v>
      </c>
      <c r="AF8" s="2"/>
      <c r="AG8" s="5"/>
      <c r="AH8" s="5"/>
      <c r="AI8" s="110"/>
      <c r="AJ8" t="s">
        <v>296</v>
      </c>
      <c r="AK8" t="s">
        <v>369</v>
      </c>
      <c r="AL8" t="s">
        <v>370</v>
      </c>
      <c r="AM8" t="s">
        <v>367</v>
      </c>
      <c r="AN8" t="s">
        <v>368</v>
      </c>
      <c r="AO8" t="s">
        <v>371</v>
      </c>
    </row>
    <row r="9" spans="1:43" x14ac:dyDescent="0.3">
      <c r="A9">
        <f>SUM(D$2:D9)/SUM(D$2:D$76)</f>
        <v>0.15247962066837711</v>
      </c>
      <c r="B9" s="3">
        <v>7</v>
      </c>
      <c r="C9" s="4">
        <v>7</v>
      </c>
      <c r="D9" s="4">
        <v>460</v>
      </c>
      <c r="E9" s="4">
        <v>6725.9</v>
      </c>
      <c r="F9" s="4">
        <v>7303.1934780000001</v>
      </c>
      <c r="G9" s="4">
        <v>153</v>
      </c>
      <c r="H9" s="4">
        <v>230</v>
      </c>
      <c r="I9" s="4">
        <v>161</v>
      </c>
      <c r="J9" s="5">
        <f t="shared" si="0"/>
        <v>0.33260869565217394</v>
      </c>
      <c r="K9" s="5">
        <f t="shared" si="1"/>
        <v>0.5</v>
      </c>
      <c r="L9" s="5">
        <f t="shared" si="8"/>
        <v>0.35</v>
      </c>
      <c r="M9" s="4">
        <v>577.71521700000005</v>
      </c>
      <c r="N9" s="4">
        <v>8657.8913040000007</v>
      </c>
      <c r="O9" s="4">
        <v>16011.891304000001</v>
      </c>
      <c r="P9" s="4">
        <v>6643.5934779999998</v>
      </c>
      <c r="Q9" s="4">
        <v>0.48689100000000002</v>
      </c>
      <c r="R9" s="4">
        <v>6643.5934779999998</v>
      </c>
      <c r="S9" s="9">
        <v>7537.4968939999999</v>
      </c>
      <c r="T9" s="9">
        <v>7414.9808919999996</v>
      </c>
      <c r="U9" s="35">
        <v>14029.093478000001</v>
      </c>
      <c r="V9" s="35">
        <v>14562.337579999999</v>
      </c>
      <c r="W9" s="35">
        <f t="shared" si="2"/>
        <v>533.24410199999875</v>
      </c>
      <c r="X9" s="32">
        <v>27.641891999999999</v>
      </c>
      <c r="Y9" s="7">
        <v>2048.6959459999998</v>
      </c>
      <c r="Z9" s="5">
        <v>0.55794999999999995</v>
      </c>
      <c r="AA9" s="29">
        <f t="shared" si="3"/>
        <v>0.42330400677035279</v>
      </c>
      <c r="AB9" s="30">
        <f t="shared" si="4"/>
        <v>0.38984321416559298</v>
      </c>
      <c r="AC9" s="30">
        <f t="shared" si="5"/>
        <v>0.53720200237939331</v>
      </c>
      <c r="AD9" s="2">
        <f t="shared" si="6"/>
        <v>0.55522388059701488</v>
      </c>
      <c r="AE9" s="2">
        <f t="shared" si="7"/>
        <v>0.72724056603773579</v>
      </c>
      <c r="AF9" s="2"/>
      <c r="AG9" s="5"/>
      <c r="AH9" s="5"/>
      <c r="AI9" s="110"/>
      <c r="AJ9" t="s">
        <v>374</v>
      </c>
      <c r="AK9">
        <v>13667.734410346147</v>
      </c>
      <c r="AL9">
        <v>13851.979254119977</v>
      </c>
      <c r="AM9">
        <v>0.54587180183091011</v>
      </c>
      <c r="AN9">
        <v>0.59239661593968762</v>
      </c>
      <c r="AO9">
        <v>15232.375875068927</v>
      </c>
    </row>
    <row r="10" spans="1:43" x14ac:dyDescent="0.3">
      <c r="A10">
        <f>SUM(D$2:D10)/SUM(D$2:D$76)</f>
        <v>0.16387905556818552</v>
      </c>
      <c r="B10" s="3">
        <v>8</v>
      </c>
      <c r="C10" s="4">
        <v>8</v>
      </c>
      <c r="D10" s="4">
        <v>351</v>
      </c>
      <c r="E10" s="4">
        <v>6602.6923079999997</v>
      </c>
      <c r="F10" s="4">
        <v>7460.7293449999997</v>
      </c>
      <c r="G10" s="4">
        <v>97</v>
      </c>
      <c r="H10" s="4">
        <v>195</v>
      </c>
      <c r="I10" s="4">
        <v>130</v>
      </c>
      <c r="J10" s="5">
        <f t="shared" si="0"/>
        <v>0.27635327635327633</v>
      </c>
      <c r="K10" s="5">
        <f t="shared" si="1"/>
        <v>0.55555555555555558</v>
      </c>
      <c r="L10" s="5">
        <f t="shared" si="8"/>
        <v>0.37037037037037035</v>
      </c>
      <c r="M10" s="4">
        <v>732.91168100000004</v>
      </c>
      <c r="N10" s="4">
        <v>8047.1595440000001</v>
      </c>
      <c r="O10" s="4">
        <v>16536.524216999998</v>
      </c>
      <c r="P10" s="4">
        <v>6653.336182</v>
      </c>
      <c r="Q10" s="4">
        <v>0.52236499999999997</v>
      </c>
      <c r="R10" s="4">
        <v>6653.336182</v>
      </c>
      <c r="S10" s="9">
        <v>7561.0846149999998</v>
      </c>
      <c r="T10" s="9">
        <v>6998.4765619999998</v>
      </c>
      <c r="U10" s="35">
        <v>14063.421652000001</v>
      </c>
      <c r="V10" s="35">
        <v>14442.4375</v>
      </c>
      <c r="W10" s="35">
        <f t="shared" si="2"/>
        <v>379.0158479999991</v>
      </c>
      <c r="X10" s="32">
        <v>24.130434999999999</v>
      </c>
      <c r="Y10" s="7">
        <v>1834.5391299999999</v>
      </c>
      <c r="Z10" s="5">
        <v>0.54061499999999996</v>
      </c>
      <c r="AA10" s="29">
        <f t="shared" si="3"/>
        <v>0.43243502101939657</v>
      </c>
      <c r="AB10" s="30">
        <f t="shared" si="4"/>
        <v>0.38270191223437122</v>
      </c>
      <c r="AC10" s="30">
        <f t="shared" si="5"/>
        <v>0.53277891009028788</v>
      </c>
      <c r="AD10" s="2">
        <f t="shared" si="6"/>
        <v>0.61691542288557222</v>
      </c>
      <c r="AE10" s="2">
        <f t="shared" si="7"/>
        <v>0.76956673654786856</v>
      </c>
      <c r="AF10" s="2"/>
      <c r="AG10" s="5"/>
      <c r="AH10" s="5"/>
      <c r="AI10" s="110"/>
      <c r="AJ10" t="s">
        <v>373</v>
      </c>
      <c r="AK10">
        <v>15423.092145558703</v>
      </c>
      <c r="AL10">
        <v>14430.270537718656</v>
      </c>
      <c r="AM10">
        <v>0.6627327370627939</v>
      </c>
      <c r="AN10">
        <v>0.76894290621804062</v>
      </c>
      <c r="AO10">
        <v>12111.639394489259</v>
      </c>
    </row>
    <row r="11" spans="1:43" x14ac:dyDescent="0.3">
      <c r="A11">
        <f>SUM(D$2:D11)/SUM(D$2:D$76)</f>
        <v>0.17579812282809912</v>
      </c>
      <c r="B11" s="3">
        <v>9</v>
      </c>
      <c r="C11" s="4">
        <v>9</v>
      </c>
      <c r="D11" s="4">
        <v>367</v>
      </c>
      <c r="E11" s="4">
        <v>5836.3596729999999</v>
      </c>
      <c r="F11" s="4">
        <v>7301.4468660000002</v>
      </c>
      <c r="G11" s="4">
        <v>124</v>
      </c>
      <c r="H11" s="4">
        <v>191</v>
      </c>
      <c r="I11" s="4">
        <v>117</v>
      </c>
      <c r="J11" s="5">
        <f t="shared" si="0"/>
        <v>0.33787465940054495</v>
      </c>
      <c r="K11" s="5">
        <f t="shared" si="1"/>
        <v>0.52043596730245234</v>
      </c>
      <c r="L11" s="5">
        <f t="shared" si="8"/>
        <v>0.31880108991825612</v>
      </c>
      <c r="M11" s="4">
        <v>645.96730200000002</v>
      </c>
      <c r="N11" s="4">
        <v>7020.3869210000003</v>
      </c>
      <c r="O11" s="4">
        <v>17089.455041000001</v>
      </c>
      <c r="P11" s="4">
        <v>6309.9046319999998</v>
      </c>
      <c r="Q11" s="4">
        <v>0.50438700000000003</v>
      </c>
      <c r="R11" s="4">
        <v>6309.9046319999998</v>
      </c>
      <c r="S11" s="9">
        <v>5886.7094020000004</v>
      </c>
      <c r="T11" s="9">
        <v>6598.1217390000002</v>
      </c>
      <c r="U11" s="35">
        <v>13137.80654</v>
      </c>
      <c r="V11" s="35">
        <v>12513.460870000001</v>
      </c>
      <c r="W11" s="35">
        <f t="shared" si="2"/>
        <v>-624.34566999999879</v>
      </c>
      <c r="X11" s="32">
        <v>22.083333</v>
      </c>
      <c r="Y11" s="7">
        <v>1250.333333</v>
      </c>
      <c r="Z11" s="5">
        <v>0.54769199999999996</v>
      </c>
      <c r="AA11" s="29">
        <f t="shared" si="3"/>
        <v>0.42320277052896055</v>
      </c>
      <c r="AB11" s="30">
        <f t="shared" si="4"/>
        <v>0.33828412761842569</v>
      </c>
      <c r="AC11" s="30">
        <f t="shared" si="5"/>
        <v>0.46161931071372581</v>
      </c>
      <c r="AD11" s="2">
        <f t="shared" si="6"/>
        <v>0.57791695473585758</v>
      </c>
      <c r="AE11" s="2">
        <f t="shared" si="7"/>
        <v>0.66241452881599916</v>
      </c>
      <c r="AF11" s="2"/>
      <c r="AG11" s="5"/>
      <c r="AH11" s="5"/>
      <c r="AI11" s="110"/>
      <c r="AJ11" t="s">
        <v>372</v>
      </c>
      <c r="AK11">
        <v>18168.999588890129</v>
      </c>
      <c r="AL11">
        <v>13109.865893194366</v>
      </c>
      <c r="AM11">
        <v>0.85905650303217185</v>
      </c>
      <c r="AN11">
        <v>0.81748752533662239</v>
      </c>
      <c r="AO11">
        <v>15505.731318812623</v>
      </c>
    </row>
    <row r="12" spans="1:43" x14ac:dyDescent="0.3">
      <c r="A12">
        <f>SUM(D$2:D12)/SUM(D$2:D$76)</f>
        <v>0.18690526452534831</v>
      </c>
      <c r="B12" s="3">
        <v>10</v>
      </c>
      <c r="C12" s="4">
        <v>10</v>
      </c>
      <c r="D12" s="4">
        <v>342</v>
      </c>
      <c r="E12" s="4">
        <v>6682.6140349999996</v>
      </c>
      <c r="F12" s="4">
        <v>6545.4444439999997</v>
      </c>
      <c r="G12" s="4">
        <v>125</v>
      </c>
      <c r="H12" s="4">
        <v>202</v>
      </c>
      <c r="I12" s="4">
        <v>106</v>
      </c>
      <c r="J12" s="5">
        <f t="shared" si="0"/>
        <v>0.36549707602339182</v>
      </c>
      <c r="K12" s="5">
        <f t="shared" si="1"/>
        <v>0.59064327485380119</v>
      </c>
      <c r="L12" s="5">
        <f t="shared" si="8"/>
        <v>0.30994152046783624</v>
      </c>
      <c r="M12" s="4">
        <v>587.67543899999998</v>
      </c>
      <c r="N12" s="4">
        <v>8250.4152049999993</v>
      </c>
      <c r="O12" s="4">
        <v>16103.888889</v>
      </c>
      <c r="P12" s="4">
        <v>6775.3245610000004</v>
      </c>
      <c r="Q12" s="4">
        <v>0.54198800000000003</v>
      </c>
      <c r="R12" s="4">
        <v>6775.3245610000004</v>
      </c>
      <c r="S12" s="9">
        <v>8069.4245279999996</v>
      </c>
      <c r="T12" s="9">
        <v>6186.87619</v>
      </c>
      <c r="U12" s="35">
        <v>13228.05848</v>
      </c>
      <c r="V12" s="35">
        <v>14332.914285999999</v>
      </c>
      <c r="W12" s="35">
        <f t="shared" si="2"/>
        <v>1104.8558059999996</v>
      </c>
      <c r="X12" s="32">
        <v>22.479592</v>
      </c>
      <c r="Y12" s="7">
        <v>1415.030612</v>
      </c>
      <c r="Z12" s="5">
        <v>0.60386799999999996</v>
      </c>
      <c r="AA12" s="29">
        <f t="shared" si="3"/>
        <v>0.37938374049439966</v>
      </c>
      <c r="AB12" s="30">
        <f t="shared" si="4"/>
        <v>0.38733429495420724</v>
      </c>
      <c r="AC12" s="30">
        <f t="shared" si="5"/>
        <v>0.52873861851315584</v>
      </c>
      <c r="AD12" s="2">
        <f t="shared" si="6"/>
        <v>0.65587850222571353</v>
      </c>
      <c r="AE12" s="2">
        <f t="shared" si="7"/>
        <v>0.64400584795321636</v>
      </c>
      <c r="AF12" s="2"/>
      <c r="AG12" s="5"/>
      <c r="AH12" s="5"/>
      <c r="AI12" s="110"/>
    </row>
    <row r="13" spans="1:43" x14ac:dyDescent="0.3">
      <c r="A13">
        <f>SUM(D$2:D13)/SUM(D$2:D$76)</f>
        <v>0.19947387223539345</v>
      </c>
      <c r="B13" s="3">
        <v>11</v>
      </c>
      <c r="C13" s="4">
        <v>11</v>
      </c>
      <c r="D13" s="4">
        <v>387</v>
      </c>
      <c r="E13" s="4">
        <v>5492.5788110000003</v>
      </c>
      <c r="F13" s="4">
        <v>6753.4108530000003</v>
      </c>
      <c r="G13" s="4">
        <v>135</v>
      </c>
      <c r="H13" s="4">
        <v>216</v>
      </c>
      <c r="I13" s="4">
        <v>117</v>
      </c>
      <c r="J13" s="5">
        <f t="shared" si="0"/>
        <v>0.34883720930232559</v>
      </c>
      <c r="K13" s="5">
        <f t="shared" si="1"/>
        <v>0.55813953488372092</v>
      </c>
      <c r="L13" s="5">
        <f t="shared" si="8"/>
        <v>0.30232558139534882</v>
      </c>
      <c r="M13" s="4">
        <v>632.26098200000001</v>
      </c>
      <c r="N13" s="4">
        <v>6015.713178</v>
      </c>
      <c r="O13" s="4">
        <v>15032.506460000001</v>
      </c>
      <c r="P13" s="4">
        <v>5871.3979330000002</v>
      </c>
      <c r="Q13" s="4">
        <v>0.54320400000000002</v>
      </c>
      <c r="R13" s="4">
        <v>5871.3979330000002</v>
      </c>
      <c r="S13" s="9">
        <v>6303.4188029999996</v>
      </c>
      <c r="T13" s="9">
        <v>5342.7350429999997</v>
      </c>
      <c r="U13" s="35">
        <v>12245.989664000001</v>
      </c>
      <c r="V13" s="35">
        <v>11646.153845999999</v>
      </c>
      <c r="W13" s="35">
        <f t="shared" si="2"/>
        <v>-599.83581800000138</v>
      </c>
      <c r="X13" s="32">
        <v>32.118811999999998</v>
      </c>
      <c r="Y13" s="7">
        <v>2025.069307</v>
      </c>
      <c r="Z13" s="5">
        <v>0.58854700000000004</v>
      </c>
      <c r="AA13" s="29">
        <f t="shared" si="3"/>
        <v>0.39143778431352222</v>
      </c>
      <c r="AB13" s="30">
        <f t="shared" si="4"/>
        <v>0.31835807516288844</v>
      </c>
      <c r="AC13" s="30">
        <f t="shared" si="5"/>
        <v>0.42962451129289592</v>
      </c>
      <c r="AD13" s="2">
        <f t="shared" si="6"/>
        <v>0.61978479694550503</v>
      </c>
      <c r="AE13" s="2">
        <f t="shared" si="7"/>
        <v>0.62818121983326014</v>
      </c>
      <c r="AF13" s="2"/>
      <c r="AG13" s="5"/>
      <c r="AH13" s="5"/>
      <c r="AI13" s="110"/>
    </row>
    <row r="14" spans="1:43" x14ac:dyDescent="0.3">
      <c r="A14">
        <f>SUM(D$2:D14)/SUM(D$2:D$76)</f>
        <v>0.21116560033776102</v>
      </c>
      <c r="B14" s="3">
        <v>12</v>
      </c>
      <c r="C14" s="4">
        <v>12</v>
      </c>
      <c r="D14" s="4">
        <v>360</v>
      </c>
      <c r="E14" s="4">
        <v>6149.2694439999996</v>
      </c>
      <c r="F14" s="4">
        <v>7768.75</v>
      </c>
      <c r="G14" s="4">
        <v>109</v>
      </c>
      <c r="H14" s="4">
        <v>190</v>
      </c>
      <c r="I14" s="4">
        <v>106</v>
      </c>
      <c r="J14" s="5">
        <f t="shared" si="0"/>
        <v>0.30277777777777776</v>
      </c>
      <c r="K14" s="5">
        <f t="shared" si="1"/>
        <v>0.52777777777777779</v>
      </c>
      <c r="L14" s="5">
        <f t="shared" si="8"/>
        <v>0.29444444444444445</v>
      </c>
      <c r="M14" s="4">
        <v>908.63333299999999</v>
      </c>
      <c r="N14" s="4">
        <v>6880.25</v>
      </c>
      <c r="O14" s="4">
        <v>15457.583333</v>
      </c>
      <c r="P14" s="4">
        <v>6681.3666670000002</v>
      </c>
      <c r="Q14" s="4">
        <v>0.55211100000000002</v>
      </c>
      <c r="R14" s="4">
        <v>6681.3666670000002</v>
      </c>
      <c r="S14" s="9">
        <v>7620.7547169999998</v>
      </c>
      <c r="T14" s="9">
        <v>6962.8942310000002</v>
      </c>
      <c r="U14" s="35">
        <v>13918.019444</v>
      </c>
      <c r="V14" s="35">
        <v>14680.711538</v>
      </c>
      <c r="W14" s="35">
        <f t="shared" si="2"/>
        <v>762.692094</v>
      </c>
      <c r="X14" s="32">
        <v>19.908162999999998</v>
      </c>
      <c r="Y14" s="7">
        <v>1360.153061</v>
      </c>
      <c r="Z14" s="5">
        <v>0.56584900000000005</v>
      </c>
      <c r="AA14" s="29">
        <f t="shared" si="3"/>
        <v>0.45028835844258025</v>
      </c>
      <c r="AB14" s="30">
        <f t="shared" si="4"/>
        <v>0.35642084551052333</v>
      </c>
      <c r="AC14" s="30">
        <f t="shared" si="5"/>
        <v>0.54156879630364008</v>
      </c>
      <c r="AD14" s="2">
        <f t="shared" si="6"/>
        <v>0.58606965174129355</v>
      </c>
      <c r="AE14" s="2">
        <f t="shared" si="7"/>
        <v>0.6118055555555556</v>
      </c>
      <c r="AF14" s="2"/>
      <c r="AG14" s="5"/>
      <c r="AH14" s="5"/>
      <c r="AI14" s="110"/>
      <c r="AJ14" t="s">
        <v>296</v>
      </c>
      <c r="AK14" t="s">
        <v>374</v>
      </c>
      <c r="AL14" t="s">
        <v>373</v>
      </c>
      <c r="AM14" t="s">
        <v>372</v>
      </c>
    </row>
    <row r="15" spans="1:43" x14ac:dyDescent="0.3">
      <c r="A15">
        <f>SUM(D$2:D15)/SUM(D$2:D$76)</f>
        <v>0.22425384040791141</v>
      </c>
      <c r="B15" s="3">
        <v>13</v>
      </c>
      <c r="C15" s="4">
        <v>13</v>
      </c>
      <c r="D15" s="4">
        <v>403</v>
      </c>
      <c r="E15" s="4">
        <v>6988.4516130000002</v>
      </c>
      <c r="F15" s="4">
        <v>6405.2009930000004</v>
      </c>
      <c r="G15" s="4">
        <v>165</v>
      </c>
      <c r="H15" s="4">
        <v>216</v>
      </c>
      <c r="I15" s="4">
        <v>140</v>
      </c>
      <c r="J15" s="5">
        <f t="shared" si="0"/>
        <v>0.40942928039702231</v>
      </c>
      <c r="K15" s="5">
        <f t="shared" si="1"/>
        <v>0.53598014888337464</v>
      </c>
      <c r="L15" s="5">
        <f t="shared" si="8"/>
        <v>0.34739454094292804</v>
      </c>
      <c r="M15" s="4">
        <v>909.15632800000003</v>
      </c>
      <c r="N15" s="4">
        <v>7801.5930520000002</v>
      </c>
      <c r="O15" s="4">
        <v>16157.096774</v>
      </c>
      <c r="P15" s="4">
        <v>7000.0297769999997</v>
      </c>
      <c r="Q15" s="4">
        <v>0.54354800000000003</v>
      </c>
      <c r="R15" s="4">
        <v>7000.0297769999997</v>
      </c>
      <c r="S15" s="9">
        <v>6761.95</v>
      </c>
      <c r="T15" s="9">
        <v>5899.5652170000003</v>
      </c>
      <c r="U15" s="35">
        <v>13393.652604999999</v>
      </c>
      <c r="V15" s="35">
        <v>12753.847825999999</v>
      </c>
      <c r="W15" s="35">
        <f t="shared" si="2"/>
        <v>-639.80477900000005</v>
      </c>
      <c r="X15" s="32">
        <v>25.945312000000001</v>
      </c>
      <c r="Y15" s="7">
        <v>2068.8828119999998</v>
      </c>
      <c r="Z15" s="5">
        <v>0.54621399999999998</v>
      </c>
      <c r="AA15" s="29">
        <f t="shared" si="3"/>
        <v>0.37125502051588161</v>
      </c>
      <c r="AB15" s="30">
        <f t="shared" si="4"/>
        <v>0.40506109797241158</v>
      </c>
      <c r="AC15" s="30">
        <f t="shared" si="5"/>
        <v>0.47048714209036158</v>
      </c>
      <c r="AD15" s="2">
        <f t="shared" si="6"/>
        <v>0.59517795637198623</v>
      </c>
      <c r="AE15" s="2">
        <f t="shared" si="7"/>
        <v>0.72182686455358402</v>
      </c>
      <c r="AF15" s="2"/>
      <c r="AG15" s="5"/>
      <c r="AH15" s="5"/>
      <c r="AI15" s="110"/>
      <c r="AJ15" t="s">
        <v>369</v>
      </c>
      <c r="AK15" s="12">
        <v>13667.734410346147</v>
      </c>
      <c r="AL15" s="12">
        <v>15423.092145558703</v>
      </c>
      <c r="AM15" s="12">
        <v>18168.999588890129</v>
      </c>
    </row>
    <row r="16" spans="1:43" x14ac:dyDescent="0.3">
      <c r="A16">
        <f>SUM(D$2:D16)/SUM(D$2:D$76)</f>
        <v>0.23760189665811438</v>
      </c>
      <c r="B16" s="3">
        <v>14</v>
      </c>
      <c r="C16" s="4">
        <v>14</v>
      </c>
      <c r="D16" s="4">
        <v>411</v>
      </c>
      <c r="E16" s="4">
        <v>6119.3625300000003</v>
      </c>
      <c r="F16" s="4">
        <v>7228.3138689999996</v>
      </c>
      <c r="G16" s="4">
        <v>165</v>
      </c>
      <c r="H16" s="4">
        <v>196</v>
      </c>
      <c r="I16" s="4">
        <v>134</v>
      </c>
      <c r="J16" s="5">
        <f t="shared" si="0"/>
        <v>0.40145985401459855</v>
      </c>
      <c r="K16" s="5">
        <f t="shared" si="1"/>
        <v>0.47688564476885642</v>
      </c>
      <c r="L16" s="5">
        <f t="shared" si="8"/>
        <v>0.32603406326034062</v>
      </c>
      <c r="M16" s="4">
        <v>783.10705600000006</v>
      </c>
      <c r="N16" s="4">
        <v>6940.5888080000004</v>
      </c>
      <c r="O16" s="4">
        <v>14706.934307</v>
      </c>
      <c r="P16" s="4">
        <v>6249.5961070000003</v>
      </c>
      <c r="Q16" s="4">
        <v>0.54513400000000001</v>
      </c>
      <c r="R16" s="4">
        <v>6249.5961070000003</v>
      </c>
      <c r="S16" s="9">
        <v>8253.4850750000005</v>
      </c>
      <c r="T16" s="9">
        <v>6204.4696970000005</v>
      </c>
      <c r="U16" s="35">
        <v>13347.676399</v>
      </c>
      <c r="V16" s="35">
        <v>14405.674241999999</v>
      </c>
      <c r="W16" s="35">
        <f t="shared" si="2"/>
        <v>1057.9978429999992</v>
      </c>
      <c r="X16" s="32">
        <v>26.384</v>
      </c>
      <c r="Y16" s="7">
        <v>1631.1120000000001</v>
      </c>
      <c r="Z16" s="5">
        <v>0.60402999999999996</v>
      </c>
      <c r="AA16" s="29">
        <f t="shared" si="3"/>
        <v>0.41896387274397373</v>
      </c>
      <c r="AB16" s="30">
        <f t="shared" si="4"/>
        <v>0.35468739608672373</v>
      </c>
      <c r="AC16" s="30">
        <f t="shared" si="5"/>
        <v>0.53142272014460801</v>
      </c>
      <c r="AD16" s="2">
        <f t="shared" si="6"/>
        <v>0.529556596579148</v>
      </c>
      <c r="AE16" s="2">
        <f t="shared" si="7"/>
        <v>0.67744341918009454</v>
      </c>
      <c r="AF16" s="2"/>
      <c r="AG16" s="5"/>
      <c r="AH16" s="5"/>
      <c r="AI16" s="110"/>
      <c r="AJ16" t="s">
        <v>370</v>
      </c>
      <c r="AK16" s="12">
        <v>13851.979254119977</v>
      </c>
      <c r="AL16" s="12">
        <v>14430.270537718656</v>
      </c>
      <c r="AM16" s="12">
        <v>13109.865893194366</v>
      </c>
    </row>
    <row r="17" spans="1:43" x14ac:dyDescent="0.3">
      <c r="A17">
        <f>SUM(D$2:D17)/SUM(D$2:D$76)</f>
        <v>0.25017050436815952</v>
      </c>
      <c r="B17" s="3">
        <v>15</v>
      </c>
      <c r="C17" s="4">
        <v>15</v>
      </c>
      <c r="D17" s="4">
        <v>387</v>
      </c>
      <c r="E17" s="4">
        <v>6634.3462529999997</v>
      </c>
      <c r="F17" s="4">
        <v>7232.6072350000004</v>
      </c>
      <c r="G17" s="4">
        <v>140</v>
      </c>
      <c r="H17" s="4">
        <v>193</v>
      </c>
      <c r="I17" s="4">
        <v>117</v>
      </c>
      <c r="J17" s="5">
        <f t="shared" si="0"/>
        <v>0.36175710594315247</v>
      </c>
      <c r="K17" s="5">
        <f t="shared" si="1"/>
        <v>0.49870801033591733</v>
      </c>
      <c r="L17" s="5">
        <f t="shared" si="8"/>
        <v>0.30232558139534882</v>
      </c>
      <c r="M17" s="4">
        <v>965.76744199999996</v>
      </c>
      <c r="N17" s="4">
        <v>6776.8811370000003</v>
      </c>
      <c r="O17" s="4">
        <v>15163.565891</v>
      </c>
      <c r="P17" s="4">
        <v>6830.2713180000001</v>
      </c>
      <c r="Q17" s="4">
        <v>0.56599500000000003</v>
      </c>
      <c r="R17" s="4">
        <v>6830.2713180000001</v>
      </c>
      <c r="S17" s="9">
        <v>9891.2820510000001</v>
      </c>
      <c r="T17" s="9">
        <v>5912.7982460000003</v>
      </c>
      <c r="U17" s="35">
        <v>13866.953487999999</v>
      </c>
      <c r="V17" s="35">
        <v>15871.885964999999</v>
      </c>
      <c r="W17" s="35">
        <f t="shared" si="2"/>
        <v>2004.9324770000003</v>
      </c>
      <c r="X17" s="32">
        <v>26.963636000000001</v>
      </c>
      <c r="Y17" s="7">
        <v>2461.3000000000002</v>
      </c>
      <c r="Z17" s="5">
        <v>0.674786</v>
      </c>
      <c r="AA17" s="29">
        <f t="shared" si="3"/>
        <v>0.41921272265268922</v>
      </c>
      <c r="AB17" s="30">
        <f t="shared" si="4"/>
        <v>0.38453662218542922</v>
      </c>
      <c r="AC17" s="30">
        <f t="shared" si="5"/>
        <v>0.58551100570869952</v>
      </c>
      <c r="AD17" s="2">
        <f t="shared" si="6"/>
        <v>0.55378919356704848</v>
      </c>
      <c r="AE17" s="2">
        <f t="shared" si="7"/>
        <v>0.62818121983326014</v>
      </c>
      <c r="AF17" s="2"/>
      <c r="AG17" s="5"/>
      <c r="AH17" s="5"/>
      <c r="AI17" s="110"/>
      <c r="AJ17" t="s">
        <v>367</v>
      </c>
      <c r="AK17" s="2">
        <v>0.54587180183091011</v>
      </c>
      <c r="AL17" s="2">
        <v>0.6627327370627939</v>
      </c>
      <c r="AM17" s="2">
        <v>0.85905650303217185</v>
      </c>
    </row>
    <row r="18" spans="1:43" x14ac:dyDescent="0.3">
      <c r="A18">
        <f>SUM(D$2:D18)/SUM(D$2:D$76)</f>
        <v>0.26225195674060603</v>
      </c>
      <c r="B18" s="3">
        <v>16</v>
      </c>
      <c r="C18" s="4">
        <v>16</v>
      </c>
      <c r="D18" s="4">
        <v>372</v>
      </c>
      <c r="E18" s="4">
        <v>6849.7311829999999</v>
      </c>
      <c r="F18" s="4">
        <v>6772.6586020000004</v>
      </c>
      <c r="G18" s="4">
        <v>143</v>
      </c>
      <c r="H18" s="4">
        <v>182</v>
      </c>
      <c r="I18" s="4">
        <v>127</v>
      </c>
      <c r="J18" s="5">
        <f t="shared" si="0"/>
        <v>0.38440860215053763</v>
      </c>
      <c r="K18" s="5">
        <f t="shared" si="1"/>
        <v>0.489247311827957</v>
      </c>
      <c r="L18" s="5">
        <f t="shared" si="8"/>
        <v>0.34139784946236557</v>
      </c>
      <c r="M18" s="4">
        <v>874.79838700000005</v>
      </c>
      <c r="N18" s="4">
        <v>7680.8118279999999</v>
      </c>
      <c r="O18" s="4">
        <v>14950.591398</v>
      </c>
      <c r="P18" s="4">
        <v>7095.6129030000002</v>
      </c>
      <c r="Q18" s="4">
        <v>0.60833300000000001</v>
      </c>
      <c r="R18" s="4">
        <v>7095.6129030000002</v>
      </c>
      <c r="S18" s="9">
        <v>7720.8031499999997</v>
      </c>
      <c r="T18" s="9">
        <v>5898.3412699999999</v>
      </c>
      <c r="U18" s="35">
        <v>13622.389784999999</v>
      </c>
      <c r="V18" s="35">
        <v>13497.936508000001</v>
      </c>
      <c r="W18" s="35">
        <f t="shared" si="2"/>
        <v>-124.45327699999871</v>
      </c>
      <c r="X18" s="32">
        <v>25.627119</v>
      </c>
      <c r="Y18" s="7">
        <v>1693.5338979999999</v>
      </c>
      <c r="Z18" s="5">
        <v>0.63362200000000002</v>
      </c>
      <c r="AA18" s="29">
        <f t="shared" si="3"/>
        <v>0.39255341260648119</v>
      </c>
      <c r="AB18" s="30">
        <f t="shared" si="4"/>
        <v>0.39702065456682517</v>
      </c>
      <c r="AC18" s="30">
        <f t="shared" si="5"/>
        <v>0.49793643913640934</v>
      </c>
      <c r="AD18" s="2">
        <f t="shared" si="6"/>
        <v>0.5432835820895523</v>
      </c>
      <c r="AE18" s="2">
        <f t="shared" si="7"/>
        <v>0.70936675796307569</v>
      </c>
      <c r="AF18" s="2"/>
      <c r="AG18" s="5"/>
      <c r="AH18" s="5"/>
      <c r="AI18" s="110"/>
      <c r="AJ18" t="s">
        <v>368</v>
      </c>
      <c r="AK18" s="2">
        <v>0.59239661593968762</v>
      </c>
      <c r="AL18" s="2">
        <v>0.76894290621804062</v>
      </c>
      <c r="AM18" s="2">
        <v>0.81748752533662239</v>
      </c>
    </row>
    <row r="19" spans="1:43" x14ac:dyDescent="0.3">
      <c r="A19">
        <f>SUM(D$2:D19)/SUM(D$2:D$76)</f>
        <v>0.27387873079796043</v>
      </c>
      <c r="B19" s="3">
        <v>17</v>
      </c>
      <c r="C19" s="4">
        <v>17</v>
      </c>
      <c r="D19" s="4">
        <v>358</v>
      </c>
      <c r="E19" s="4">
        <v>6153.0363129999996</v>
      </c>
      <c r="F19" s="4">
        <v>6679.7709500000001</v>
      </c>
      <c r="G19" s="4">
        <v>166</v>
      </c>
      <c r="H19" s="4">
        <v>166</v>
      </c>
      <c r="I19" s="4">
        <v>111</v>
      </c>
      <c r="J19" s="5">
        <f t="shared" si="0"/>
        <v>0.46368715083798884</v>
      </c>
      <c r="K19" s="5">
        <f t="shared" si="1"/>
        <v>0.46368715083798884</v>
      </c>
      <c r="L19" s="5">
        <f t="shared" si="8"/>
        <v>0.31005586592178769</v>
      </c>
      <c r="M19" s="4">
        <v>892.248603</v>
      </c>
      <c r="N19" s="4">
        <v>6396.3994409999996</v>
      </c>
      <c r="O19" s="4">
        <v>13880.307263000001</v>
      </c>
      <c r="P19" s="4">
        <v>6776.530726</v>
      </c>
      <c r="Q19" s="4">
        <v>0.58349200000000001</v>
      </c>
      <c r="R19" s="4">
        <v>6776.530726</v>
      </c>
      <c r="S19" s="9">
        <v>7468.9909909999997</v>
      </c>
      <c r="T19" s="9">
        <v>4566.7592590000004</v>
      </c>
      <c r="U19" s="35">
        <v>12832.807263000001</v>
      </c>
      <c r="V19" s="35">
        <v>12194</v>
      </c>
      <c r="W19" s="35">
        <f t="shared" si="2"/>
        <v>-638.8072630000006</v>
      </c>
      <c r="X19" s="32">
        <v>26.398057999999999</v>
      </c>
      <c r="Y19" s="7">
        <v>1765.1844659999999</v>
      </c>
      <c r="Z19" s="5">
        <v>0.64009000000000005</v>
      </c>
      <c r="AA19" s="29">
        <f t="shared" si="3"/>
        <v>0.38716950549933193</v>
      </c>
      <c r="AB19" s="30">
        <f t="shared" si="4"/>
        <v>0.35663917886640145</v>
      </c>
      <c r="AC19" s="30">
        <f t="shared" si="5"/>
        <v>0.44983445693574714</v>
      </c>
      <c r="AD19" s="2">
        <f t="shared" si="6"/>
        <v>0.51490035854248317</v>
      </c>
      <c r="AE19" s="2">
        <f t="shared" si="7"/>
        <v>0.64424343838937492</v>
      </c>
      <c r="AF19" s="2"/>
      <c r="AG19" s="5"/>
      <c r="AH19" s="5"/>
      <c r="AI19" s="110"/>
      <c r="AJ19" t="s">
        <v>371</v>
      </c>
      <c r="AK19" s="12">
        <v>15232.375875068927</v>
      </c>
      <c r="AL19" s="12">
        <v>12111.639394489259</v>
      </c>
      <c r="AM19" s="12">
        <v>15505.731318812623</v>
      </c>
      <c r="AQ19" t="s">
        <v>158</v>
      </c>
    </row>
    <row r="20" spans="1:43" x14ac:dyDescent="0.3">
      <c r="A20">
        <f>SUM(D$2:D20)/SUM(D$2:D$76)</f>
        <v>0.28544055081030173</v>
      </c>
      <c r="B20" s="3">
        <v>18</v>
      </c>
      <c r="C20" s="4">
        <v>18</v>
      </c>
      <c r="D20" s="4">
        <v>356</v>
      </c>
      <c r="E20" s="4">
        <v>6457.4606739999999</v>
      </c>
      <c r="F20" s="4">
        <v>6627.6825840000001</v>
      </c>
      <c r="G20" s="4">
        <v>135</v>
      </c>
      <c r="H20" s="4">
        <v>178</v>
      </c>
      <c r="I20" s="4">
        <v>121</v>
      </c>
      <c r="J20" s="5">
        <f t="shared" si="0"/>
        <v>0.3792134831460674</v>
      </c>
      <c r="K20" s="5">
        <f t="shared" si="1"/>
        <v>0.5</v>
      </c>
      <c r="L20" s="5">
        <f t="shared" si="8"/>
        <v>0.3398876404494382</v>
      </c>
      <c r="M20" s="4">
        <v>989.56460700000002</v>
      </c>
      <c r="N20" s="4">
        <v>7072.2584269999998</v>
      </c>
      <c r="O20" s="4">
        <v>14060.140449</v>
      </c>
      <c r="P20" s="4">
        <v>6371.4719100000002</v>
      </c>
      <c r="Q20" s="4">
        <v>0.56176999999999999</v>
      </c>
      <c r="R20" s="4">
        <v>6371.4719100000002</v>
      </c>
      <c r="S20" s="9">
        <v>8865.5123970000004</v>
      </c>
      <c r="T20" s="9">
        <v>4195.0166669999999</v>
      </c>
      <c r="U20" s="35">
        <v>13085.143258</v>
      </c>
      <c r="V20" s="35">
        <v>12901.491667</v>
      </c>
      <c r="W20" s="35">
        <f t="shared" si="2"/>
        <v>-183.65159099999983</v>
      </c>
      <c r="X20" s="32">
        <v>29.438596</v>
      </c>
      <c r="Y20" s="7">
        <v>1719.7894739999999</v>
      </c>
      <c r="Z20" s="5">
        <v>0.596777</v>
      </c>
      <c r="AA20" s="29">
        <f t="shared" si="3"/>
        <v>0.38415038597301221</v>
      </c>
      <c r="AB20" s="30">
        <f t="shared" si="4"/>
        <v>0.37428406971558847</v>
      </c>
      <c r="AC20" s="30">
        <f t="shared" si="5"/>
        <v>0.47593369671035035</v>
      </c>
      <c r="AD20" s="2">
        <f t="shared" si="6"/>
        <v>0.55522388059701488</v>
      </c>
      <c r="AE20" s="2">
        <f t="shared" si="7"/>
        <v>0.70622880008479971</v>
      </c>
      <c r="AF20" s="2"/>
      <c r="AG20" s="5"/>
      <c r="AH20" s="5"/>
      <c r="AI20" s="110"/>
      <c r="AQ20" t="s">
        <v>164</v>
      </c>
    </row>
    <row r="21" spans="1:43" x14ac:dyDescent="0.3">
      <c r="A21">
        <f>SUM(D$2:D21)/SUM(D$2:D$76)</f>
        <v>0.29781429638530738</v>
      </c>
      <c r="B21" s="3">
        <v>19</v>
      </c>
      <c r="C21" s="4">
        <v>19</v>
      </c>
      <c r="D21" s="4">
        <v>381</v>
      </c>
      <c r="E21" s="4">
        <v>6135.6010500000002</v>
      </c>
      <c r="F21" s="4">
        <v>7034.929134</v>
      </c>
      <c r="G21" s="4">
        <v>135</v>
      </c>
      <c r="H21" s="4">
        <v>178</v>
      </c>
      <c r="I21" s="4">
        <v>128</v>
      </c>
      <c r="J21" s="5">
        <f t="shared" si="0"/>
        <v>0.3543307086614173</v>
      </c>
      <c r="K21" s="5">
        <f t="shared" si="1"/>
        <v>0.46719160104986879</v>
      </c>
      <c r="L21" s="5">
        <f t="shared" si="8"/>
        <v>0.33595800524934383</v>
      </c>
      <c r="M21" s="4">
        <v>1022.902887</v>
      </c>
      <c r="N21" s="4">
        <v>6383.2598429999998</v>
      </c>
      <c r="O21" s="4">
        <v>13245.301837000001</v>
      </c>
      <c r="P21" s="4">
        <v>6231.2677169999997</v>
      </c>
      <c r="Q21" s="4">
        <v>0.56734899999999999</v>
      </c>
      <c r="R21" s="4">
        <v>6231.2677169999997</v>
      </c>
      <c r="S21" s="9">
        <v>9382.9296880000002</v>
      </c>
      <c r="T21" s="9">
        <v>4250.2698410000003</v>
      </c>
      <c r="U21" s="35">
        <v>13170.530183999999</v>
      </c>
      <c r="V21" s="35">
        <v>13683.555555999999</v>
      </c>
      <c r="W21" s="35">
        <f t="shared" si="2"/>
        <v>513.02537200000006</v>
      </c>
      <c r="X21" s="32">
        <v>27.809916999999999</v>
      </c>
      <c r="Y21" s="7">
        <v>2096.4545450000001</v>
      </c>
      <c r="Z21" s="5">
        <v>0.63203100000000001</v>
      </c>
      <c r="AA21" s="29">
        <f t="shared" si="3"/>
        <v>0.40775500453853486</v>
      </c>
      <c r="AB21" s="30">
        <f t="shared" si="4"/>
        <v>0.35562860497030691</v>
      </c>
      <c r="AC21" s="30">
        <f t="shared" si="5"/>
        <v>0.50478389228172749</v>
      </c>
      <c r="AD21" s="2">
        <f t="shared" si="6"/>
        <v>0.51879186743448114</v>
      </c>
      <c r="AE21" s="2">
        <f t="shared" si="7"/>
        <v>0.69806368543554698</v>
      </c>
      <c r="AF21" s="2"/>
      <c r="AG21" s="5"/>
      <c r="AH21" s="5"/>
      <c r="AI21" s="110"/>
      <c r="AQ21" t="s">
        <v>163</v>
      </c>
    </row>
    <row r="22" spans="1:43" x14ac:dyDescent="0.3">
      <c r="A22">
        <f>SUM(D$2:D22)/SUM(D$2:D$76)</f>
        <v>0.3106102432528986</v>
      </c>
      <c r="B22" s="3">
        <v>20</v>
      </c>
      <c r="C22" s="4">
        <v>20</v>
      </c>
      <c r="D22" s="4">
        <v>394</v>
      </c>
      <c r="E22" s="4">
        <v>6368.0786799999996</v>
      </c>
      <c r="F22" s="4">
        <v>7688.895939</v>
      </c>
      <c r="G22" s="4">
        <v>159</v>
      </c>
      <c r="H22" s="4">
        <v>166</v>
      </c>
      <c r="I22" s="4">
        <v>137</v>
      </c>
      <c r="J22" s="5">
        <f t="shared" si="0"/>
        <v>0.40355329949238578</v>
      </c>
      <c r="K22" s="5">
        <f t="shared" si="1"/>
        <v>0.42131979695431471</v>
      </c>
      <c r="L22" s="5">
        <f t="shared" si="8"/>
        <v>0.34771573604060912</v>
      </c>
      <c r="M22" s="4">
        <v>1239.860406</v>
      </c>
      <c r="N22" s="4">
        <v>5901.0025379999997</v>
      </c>
      <c r="O22" s="4">
        <v>13665.812183</v>
      </c>
      <c r="P22" s="4">
        <v>6478.058376</v>
      </c>
      <c r="Q22" s="4">
        <v>0.57913700000000001</v>
      </c>
      <c r="R22" s="4">
        <v>6478.058376</v>
      </c>
      <c r="S22" s="9">
        <v>8367.9854009999999</v>
      </c>
      <c r="T22" s="9">
        <v>6537.9927010000001</v>
      </c>
      <c r="U22" s="35">
        <v>14056.974619000001</v>
      </c>
      <c r="V22" s="35">
        <v>14905.978101999999</v>
      </c>
      <c r="W22" s="35">
        <f t="shared" si="2"/>
        <v>849.0034829999986</v>
      </c>
      <c r="X22" s="32">
        <v>27.023437999999999</v>
      </c>
      <c r="Y22" s="7">
        <v>1634.765625</v>
      </c>
      <c r="Z22" s="5">
        <v>0.65182499999999999</v>
      </c>
      <c r="AA22" s="29">
        <f t="shared" si="3"/>
        <v>0.44565989774521403</v>
      </c>
      <c r="AB22" s="30">
        <f t="shared" si="4"/>
        <v>0.3691033557844432</v>
      </c>
      <c r="AC22" s="30">
        <f t="shared" si="5"/>
        <v>0.5498788391511652</v>
      </c>
      <c r="AD22" s="2">
        <f t="shared" si="6"/>
        <v>0.46785362527464203</v>
      </c>
      <c r="AE22" s="2">
        <f t="shared" si="7"/>
        <v>0.72249425342400153</v>
      </c>
      <c r="AF22" s="2"/>
      <c r="AG22" s="5"/>
      <c r="AH22" s="5"/>
      <c r="AI22" s="110"/>
      <c r="AQ22" t="s">
        <v>165</v>
      </c>
    </row>
    <row r="23" spans="1:43" x14ac:dyDescent="0.3">
      <c r="A23">
        <f>SUM(D$2:D23)/SUM(D$2:D$76)</f>
        <v>0.32434802377318045</v>
      </c>
      <c r="B23" s="3">
        <v>21</v>
      </c>
      <c r="C23" s="4">
        <v>21</v>
      </c>
      <c r="D23" s="4">
        <v>423</v>
      </c>
      <c r="E23" s="4">
        <v>6312.4089830000003</v>
      </c>
      <c r="F23" s="4">
        <v>7248.2529549999999</v>
      </c>
      <c r="G23" s="4">
        <v>173</v>
      </c>
      <c r="H23" s="4">
        <v>189</v>
      </c>
      <c r="I23" s="4">
        <v>152</v>
      </c>
      <c r="J23" s="5">
        <f t="shared" si="0"/>
        <v>0.40898345153664301</v>
      </c>
      <c r="K23" s="5">
        <f t="shared" si="1"/>
        <v>0.44680851063829785</v>
      </c>
      <c r="L23" s="5">
        <f t="shared" si="8"/>
        <v>0.35933806146572106</v>
      </c>
      <c r="M23" s="4">
        <v>1171.4066190000001</v>
      </c>
      <c r="N23" s="4">
        <v>6471.9101650000002</v>
      </c>
      <c r="O23" s="4">
        <v>13287.541370999999</v>
      </c>
      <c r="P23" s="4">
        <v>6465.0898349999998</v>
      </c>
      <c r="Q23" s="4">
        <v>0.58929100000000001</v>
      </c>
      <c r="R23" s="4">
        <v>6465.0898349999998</v>
      </c>
      <c r="S23" s="9">
        <v>9148.9276320000008</v>
      </c>
      <c r="T23" s="9">
        <v>4835.597315</v>
      </c>
      <c r="U23" s="35">
        <v>13560.661939</v>
      </c>
      <c r="V23" s="35">
        <v>14058.302013</v>
      </c>
      <c r="W23" s="35">
        <f t="shared" si="2"/>
        <v>497.64007400000082</v>
      </c>
      <c r="X23" s="32">
        <v>30.069444000000001</v>
      </c>
      <c r="Y23" s="7">
        <v>1925.881944</v>
      </c>
      <c r="Z23" s="5">
        <v>0.69881599999999999</v>
      </c>
      <c r="AA23" s="29">
        <f t="shared" si="3"/>
        <v>0.42011957196248195</v>
      </c>
      <c r="AB23" s="30">
        <f t="shared" si="4"/>
        <v>0.36587665696196525</v>
      </c>
      <c r="AC23" s="30">
        <f t="shared" si="5"/>
        <v>0.51860822137580587</v>
      </c>
      <c r="AD23" s="2">
        <f t="shared" si="6"/>
        <v>0.49615751032073674</v>
      </c>
      <c r="AE23" s="2">
        <f t="shared" si="7"/>
        <v>0.74664347205495341</v>
      </c>
      <c r="AF23" s="2"/>
      <c r="AG23" s="5"/>
      <c r="AH23" s="5"/>
      <c r="AI23" s="110"/>
      <c r="AQ23" t="s">
        <v>166</v>
      </c>
    </row>
    <row r="24" spans="1:43" x14ac:dyDescent="0.3">
      <c r="A24">
        <f>SUM(D$2:D24)/SUM(D$2:D$76)</f>
        <v>0.33860543665356763</v>
      </c>
      <c r="B24" s="3">
        <v>22</v>
      </c>
      <c r="C24" s="4">
        <v>22</v>
      </c>
      <c r="D24" s="4">
        <v>439</v>
      </c>
      <c r="E24" s="4">
        <v>6635.1230070000001</v>
      </c>
      <c r="F24" s="4">
        <v>7263.373576</v>
      </c>
      <c r="G24" s="4">
        <v>178</v>
      </c>
      <c r="H24" s="4">
        <v>205</v>
      </c>
      <c r="I24" s="4">
        <v>157</v>
      </c>
      <c r="J24" s="5">
        <f t="shared" si="0"/>
        <v>0.40546697038724372</v>
      </c>
      <c r="K24" s="5">
        <f t="shared" si="1"/>
        <v>0.46697038724373574</v>
      </c>
      <c r="L24" s="5">
        <f t="shared" si="8"/>
        <v>0.35763097949886102</v>
      </c>
      <c r="M24" s="4">
        <v>1213.43508</v>
      </c>
      <c r="N24" s="4">
        <v>6777.6697039999999</v>
      </c>
      <c r="O24" s="4">
        <v>13621.91344</v>
      </c>
      <c r="P24" s="4">
        <v>6901.8769929999999</v>
      </c>
      <c r="Q24" s="4">
        <v>0.59562599999999999</v>
      </c>
      <c r="R24" s="4">
        <v>6901.8769929999999</v>
      </c>
      <c r="S24" s="9">
        <v>9529.611465</v>
      </c>
      <c r="T24" s="9">
        <v>5261.4172189999999</v>
      </c>
      <c r="U24" s="35">
        <v>13898.496583</v>
      </c>
      <c r="V24" s="35">
        <v>14765.841060000001</v>
      </c>
      <c r="W24" s="35">
        <f t="shared" si="2"/>
        <v>867.34447700000055</v>
      </c>
      <c r="X24" s="32">
        <v>28.952055000000001</v>
      </c>
      <c r="Y24" s="7">
        <v>1846.7671230000001</v>
      </c>
      <c r="Z24" s="5">
        <v>0.71872599999999998</v>
      </c>
      <c r="AA24" s="29">
        <f t="shared" si="3"/>
        <v>0.42099598574960628</v>
      </c>
      <c r="AB24" s="30">
        <f t="shared" si="4"/>
        <v>0.38458164400793265</v>
      </c>
      <c r="AC24" s="30">
        <f t="shared" si="5"/>
        <v>0.54470920899004904</v>
      </c>
      <c r="AD24" s="2">
        <f t="shared" si="6"/>
        <v>0.51854622105871551</v>
      </c>
      <c r="AE24" s="2">
        <f t="shared" si="7"/>
        <v>0.7430964456096617</v>
      </c>
      <c r="AF24" s="2"/>
      <c r="AG24" s="5"/>
      <c r="AH24" s="5"/>
      <c r="AI24" s="110"/>
    </row>
    <row r="25" spans="1:43" x14ac:dyDescent="0.3">
      <c r="A25">
        <f>SUM(D$2:D25)/SUM(D$2:D$76)</f>
        <v>0.35266798739891525</v>
      </c>
      <c r="B25" s="3">
        <v>23</v>
      </c>
      <c r="C25" s="4">
        <v>23</v>
      </c>
      <c r="D25" s="4">
        <v>433</v>
      </c>
      <c r="E25" s="4">
        <v>6096.7713629999998</v>
      </c>
      <c r="F25" s="4">
        <v>7152.6073900000001</v>
      </c>
      <c r="G25" s="4">
        <v>183</v>
      </c>
      <c r="H25" s="4">
        <v>176</v>
      </c>
      <c r="I25" s="4">
        <v>163</v>
      </c>
      <c r="J25" s="5">
        <f t="shared" si="0"/>
        <v>0.42263279445727481</v>
      </c>
      <c r="K25" s="5">
        <f t="shared" si="1"/>
        <v>0.40646651270207851</v>
      </c>
      <c r="L25" s="5">
        <f t="shared" si="8"/>
        <v>0.37644341801385683</v>
      </c>
      <c r="M25" s="4">
        <v>1268.3394920000001</v>
      </c>
      <c r="N25" s="4">
        <v>6312.6420319999997</v>
      </c>
      <c r="O25" s="4">
        <v>13238.521940000001</v>
      </c>
      <c r="P25" s="4">
        <v>6621.4757509999999</v>
      </c>
      <c r="Q25" s="4">
        <v>0.58353299999999997</v>
      </c>
      <c r="R25" s="4">
        <v>6621.4757509999999</v>
      </c>
      <c r="S25" s="9">
        <v>8923.2638040000002</v>
      </c>
      <c r="T25" s="9">
        <v>3818.9378879999999</v>
      </c>
      <c r="U25" s="35">
        <v>13249.378753000001</v>
      </c>
      <c r="V25" s="35">
        <v>12641.062112</v>
      </c>
      <c r="W25" s="35">
        <f t="shared" si="2"/>
        <v>-608.31664100000125</v>
      </c>
      <c r="X25" s="32">
        <v>24.031846999999999</v>
      </c>
      <c r="Y25" s="7">
        <v>1537.025478</v>
      </c>
      <c r="Z25" s="5">
        <v>0.71404900000000004</v>
      </c>
      <c r="AA25" s="29">
        <f t="shared" si="3"/>
        <v>0.41457581209684552</v>
      </c>
      <c r="AB25" s="30">
        <f t="shared" si="4"/>
        <v>0.35337797829058759</v>
      </c>
      <c r="AC25" s="30">
        <f t="shared" si="5"/>
        <v>0.46632649747765859</v>
      </c>
      <c r="AD25" s="2">
        <f t="shared" si="6"/>
        <v>0.45135982903036781</v>
      </c>
      <c r="AE25" s="2">
        <f t="shared" si="7"/>
        <v>0.78218549827879214</v>
      </c>
      <c r="AF25" s="2"/>
      <c r="AG25" s="5"/>
      <c r="AH25" s="5"/>
      <c r="AI25" s="110"/>
    </row>
    <row r="26" spans="1:43" x14ac:dyDescent="0.3">
      <c r="A26">
        <f>SUM(D$2:D26)/SUM(D$2:D$76)</f>
        <v>0.36647072196421032</v>
      </c>
      <c r="B26" s="3">
        <v>24</v>
      </c>
      <c r="C26" s="4">
        <v>24</v>
      </c>
      <c r="D26" s="4">
        <v>425</v>
      </c>
      <c r="E26" s="4">
        <v>6555.88</v>
      </c>
      <c r="F26" s="4">
        <v>7049.0047059999997</v>
      </c>
      <c r="G26" s="4">
        <v>166</v>
      </c>
      <c r="H26" s="4">
        <v>192</v>
      </c>
      <c r="I26" s="4">
        <v>122</v>
      </c>
      <c r="J26" s="5">
        <f t="shared" si="0"/>
        <v>0.39058823529411762</v>
      </c>
      <c r="K26" s="5">
        <f t="shared" si="1"/>
        <v>0.45176470588235296</v>
      </c>
      <c r="L26" s="5">
        <f t="shared" si="8"/>
        <v>0.28705882352941176</v>
      </c>
      <c r="M26" s="4">
        <v>1310.9623529999999</v>
      </c>
      <c r="N26" s="4">
        <v>6468.0658819999999</v>
      </c>
      <c r="O26" s="4">
        <v>12699.082353</v>
      </c>
      <c r="P26" s="4">
        <v>6606.8235290000002</v>
      </c>
      <c r="Q26" s="4">
        <v>0.59884700000000002</v>
      </c>
      <c r="R26" s="4">
        <v>6606.8235290000002</v>
      </c>
      <c r="S26" s="9">
        <v>10403.122950999999</v>
      </c>
      <c r="T26" s="9">
        <v>4602.7768599999999</v>
      </c>
      <c r="U26" s="35">
        <v>13604.884706000001</v>
      </c>
      <c r="V26" s="35">
        <v>15054.710744</v>
      </c>
      <c r="W26" s="35">
        <f t="shared" si="2"/>
        <v>1449.8260379999992</v>
      </c>
      <c r="X26" s="32">
        <v>24.008696</v>
      </c>
      <c r="Y26" s="7">
        <v>1516.321739</v>
      </c>
      <c r="Z26" s="5">
        <v>0.69327899999999998</v>
      </c>
      <c r="AA26" s="29">
        <f t="shared" si="3"/>
        <v>0.40857084572405639</v>
      </c>
      <c r="AB26" s="30">
        <f t="shared" si="4"/>
        <v>0.37998860091347297</v>
      </c>
      <c r="AC26" s="30">
        <f t="shared" si="5"/>
        <v>0.55536555944333266</v>
      </c>
      <c r="AD26" s="2">
        <f t="shared" si="6"/>
        <v>0.50166110623353821</v>
      </c>
      <c r="AE26" s="2">
        <f t="shared" si="7"/>
        <v>0.59645948945615979</v>
      </c>
      <c r="AF26" s="2"/>
      <c r="AG26" s="5"/>
      <c r="AH26" s="5"/>
      <c r="AI26" s="110"/>
    </row>
    <row r="27" spans="1:43" s="97" customFormat="1" x14ac:dyDescent="0.3">
      <c r="A27" s="97">
        <f>SUM(D$2:D27)/SUM(D$2:D$76)</f>
        <v>0.38196226169984737</v>
      </c>
      <c r="B27" s="98">
        <v>25</v>
      </c>
      <c r="C27" s="99">
        <v>25</v>
      </c>
      <c r="D27" s="99">
        <v>477</v>
      </c>
      <c r="E27" s="99">
        <v>7046.5828090000005</v>
      </c>
      <c r="F27" s="99">
        <v>6101.549266</v>
      </c>
      <c r="G27" s="99">
        <v>208</v>
      </c>
      <c r="H27" s="99">
        <v>215</v>
      </c>
      <c r="I27" s="99">
        <v>153</v>
      </c>
      <c r="J27" s="100">
        <f t="shared" si="0"/>
        <v>0.4360587002096436</v>
      </c>
      <c r="K27" s="100">
        <f t="shared" si="1"/>
        <v>0.45073375262054505</v>
      </c>
      <c r="L27" s="100">
        <f t="shared" si="8"/>
        <v>0.32075471698113206</v>
      </c>
      <c r="M27" s="99">
        <v>1411.444444</v>
      </c>
      <c r="N27" s="99">
        <v>6191.4716980000003</v>
      </c>
      <c r="O27" s="99">
        <v>12498.805031</v>
      </c>
      <c r="P27" s="99">
        <v>7043.8427670000001</v>
      </c>
      <c r="Q27" s="99">
        <v>0.63631000000000004</v>
      </c>
      <c r="R27" s="99">
        <v>7043.8427670000001</v>
      </c>
      <c r="S27" s="101">
        <v>9091.4509799999996</v>
      </c>
      <c r="T27" s="101">
        <v>2908.2466669999999</v>
      </c>
      <c r="U27" s="102">
        <v>13148.132075</v>
      </c>
      <c r="V27" s="102">
        <v>12099.606667</v>
      </c>
      <c r="W27" s="102">
        <f t="shared" si="2"/>
        <v>-1048.5254079999995</v>
      </c>
      <c r="X27" s="103">
        <v>27.342466000000002</v>
      </c>
      <c r="Y27" s="104">
        <v>1690.410959</v>
      </c>
      <c r="Z27" s="100">
        <v>0.71169899999999997</v>
      </c>
      <c r="AA27" s="105">
        <f t="shared" si="3"/>
        <v>0.35365491268784172</v>
      </c>
      <c r="AB27" s="106">
        <f t="shared" si="4"/>
        <v>0.40843046895502061</v>
      </c>
      <c r="AC27" s="106">
        <f t="shared" si="5"/>
        <v>0.44635230393522146</v>
      </c>
      <c r="AD27" s="107">
        <f t="shared" si="6"/>
        <v>0.50051628649206792</v>
      </c>
      <c r="AE27" s="107">
        <f t="shared" si="7"/>
        <v>0.66647383410466354</v>
      </c>
      <c r="AF27" s="107"/>
      <c r="AG27" s="100">
        <v>1</v>
      </c>
      <c r="AH27" s="100"/>
      <c r="AI27" s="111"/>
      <c r="AK27" s="104">
        <f>SUMPRODUCT(D27:D45,U27:U45)/SUM(D27:D45)</f>
        <v>15423.092145558703</v>
      </c>
      <c r="AL27" s="104">
        <f>SUMPRODUCT(D27:D45,V27:V45)/SUM(D27:D45)</f>
        <v>14430.270537718656</v>
      </c>
      <c r="AM27" s="107">
        <f>SUMPRODUCT(D27:D45,Q27:Q45)/SUM(D27:D45)</f>
        <v>0.6627327370627939</v>
      </c>
      <c r="AN27" s="107">
        <f>SUMPRODUCT(D27:D45,Z27:Z45)/SUM(D27:D45)</f>
        <v>0.76894290621804062</v>
      </c>
      <c r="AO27" s="104">
        <f>SUMPRODUCT(D27:D45,O27:O45)/SUM(D27:D45)</f>
        <v>12111.639394489259</v>
      </c>
      <c r="AP27" s="107">
        <f>SUMPRODUCT(D27:D45,K27:K45)/SUM(D27:D45)</f>
        <v>0.35303743096747803</v>
      </c>
      <c r="AQ27" s="107">
        <f>SUMPRODUCT(D27:D45,L27:L45)/SUM(D27:D45)</f>
        <v>0.37911638371855183</v>
      </c>
    </row>
    <row r="28" spans="1:43" x14ac:dyDescent="0.3">
      <c r="A28">
        <f>SUM(D$2:D28)/SUM(D$2:D$76)</f>
        <v>0.39975967003345131</v>
      </c>
      <c r="B28" s="3">
        <v>26</v>
      </c>
      <c r="C28" s="4">
        <v>26</v>
      </c>
      <c r="D28" s="4">
        <v>548</v>
      </c>
      <c r="E28" s="4">
        <v>6516.84854</v>
      </c>
      <c r="F28" s="4">
        <v>7820.9288319999996</v>
      </c>
      <c r="G28" s="4">
        <v>218</v>
      </c>
      <c r="H28" s="4">
        <v>240</v>
      </c>
      <c r="I28" s="4">
        <v>218</v>
      </c>
      <c r="J28" s="5">
        <f t="shared" si="0"/>
        <v>0.3978102189781022</v>
      </c>
      <c r="K28" s="5">
        <f t="shared" si="1"/>
        <v>0.43795620437956206</v>
      </c>
      <c r="L28" s="5">
        <f t="shared" si="8"/>
        <v>0.3978102189781022</v>
      </c>
      <c r="M28" s="4">
        <v>1511.8923359999999</v>
      </c>
      <c r="N28" s="4">
        <v>6270.5875910000004</v>
      </c>
      <c r="O28" s="4">
        <v>11902.025546999999</v>
      </c>
      <c r="P28" s="4">
        <v>6277.6058389999998</v>
      </c>
      <c r="Q28" s="4">
        <v>0.60930700000000004</v>
      </c>
      <c r="R28" s="4">
        <v>6277.6058389999998</v>
      </c>
      <c r="S28" s="9">
        <v>10100.266055</v>
      </c>
      <c r="T28" s="9">
        <v>3764.22381</v>
      </c>
      <c r="U28" s="35">
        <v>14337.777372</v>
      </c>
      <c r="V28" s="35">
        <v>13797.819047999999</v>
      </c>
      <c r="W28" s="35">
        <f t="shared" si="2"/>
        <v>-539.95832400000108</v>
      </c>
      <c r="X28" s="32">
        <v>26.300971000000001</v>
      </c>
      <c r="Y28" s="7">
        <v>1574.339806</v>
      </c>
      <c r="Z28" s="5">
        <v>0.71669700000000003</v>
      </c>
      <c r="AA28" s="29">
        <f t="shared" si="3"/>
        <v>0.45331272151343865</v>
      </c>
      <c r="AB28" s="30">
        <f t="shared" si="4"/>
        <v>0.37772627916917467</v>
      </c>
      <c r="AC28" s="30">
        <f t="shared" si="5"/>
        <v>0.50899905185786354</v>
      </c>
      <c r="AD28" s="2">
        <f t="shared" si="6"/>
        <v>0.48632748665431969</v>
      </c>
      <c r="AE28" s="2">
        <f t="shared" si="7"/>
        <v>0.82658208235780206</v>
      </c>
      <c r="AF28" s="2"/>
      <c r="AH28" s="5"/>
      <c r="AI28" s="110"/>
    </row>
    <row r="29" spans="1:43" x14ac:dyDescent="0.3">
      <c r="A29">
        <f>SUM(D$2:D29)/SUM(D$2:D$76)</f>
        <v>0.42177909129291025</v>
      </c>
      <c r="B29" s="3">
        <v>27</v>
      </c>
      <c r="C29" s="4">
        <v>27</v>
      </c>
      <c r="D29" s="4">
        <v>678</v>
      </c>
      <c r="E29" s="4">
        <v>5955.982301</v>
      </c>
      <c r="F29" s="4">
        <v>8275.9926250000008</v>
      </c>
      <c r="G29" s="4">
        <v>318</v>
      </c>
      <c r="H29" s="4">
        <v>279</v>
      </c>
      <c r="I29" s="4">
        <v>260</v>
      </c>
      <c r="J29" s="5">
        <f t="shared" si="0"/>
        <v>0.46902654867256638</v>
      </c>
      <c r="K29" s="5">
        <f t="shared" si="1"/>
        <v>0.41150442477876104</v>
      </c>
      <c r="L29" s="5">
        <f t="shared" si="8"/>
        <v>0.38348082595870209</v>
      </c>
      <c r="M29" s="4">
        <v>1667.5088499999999</v>
      </c>
      <c r="N29" s="4">
        <v>5129.9572269999999</v>
      </c>
      <c r="O29" s="4">
        <v>11488.082596</v>
      </c>
      <c r="P29" s="4">
        <v>6004.4144539999998</v>
      </c>
      <c r="Q29" s="4">
        <v>0.59328899999999996</v>
      </c>
      <c r="R29" s="4">
        <v>6004.4144539999998</v>
      </c>
      <c r="S29" s="9">
        <v>9991.042308</v>
      </c>
      <c r="T29" s="9">
        <v>3813.1312739999998</v>
      </c>
      <c r="U29" s="35">
        <v>14231.974926000001</v>
      </c>
      <c r="V29" s="35">
        <v>13832.343629000001</v>
      </c>
      <c r="W29" s="35">
        <f t="shared" si="2"/>
        <v>-399.6312969999999</v>
      </c>
      <c r="X29" s="32">
        <v>26.992031999999998</v>
      </c>
      <c r="Y29" s="7">
        <v>1914.1434260000001</v>
      </c>
      <c r="Z29" s="5">
        <v>0.71407699999999996</v>
      </c>
      <c r="AA29" s="29">
        <f t="shared" si="3"/>
        <v>0.47968889893408218</v>
      </c>
      <c r="AB29" s="30">
        <f t="shared" si="4"/>
        <v>0.34521763388323112</v>
      </c>
      <c r="AC29" s="30">
        <f t="shared" si="5"/>
        <v>0.51027265741347039</v>
      </c>
      <c r="AD29" s="2">
        <f t="shared" si="6"/>
        <v>0.45695416721701226</v>
      </c>
      <c r="AE29" s="2">
        <f t="shared" si="7"/>
        <v>0.79680803695664282</v>
      </c>
      <c r="AF29" s="2"/>
      <c r="AG29" s="5"/>
      <c r="AH29" s="5"/>
      <c r="AI29" s="110"/>
    </row>
    <row r="30" spans="1:43" x14ac:dyDescent="0.3">
      <c r="A30">
        <f>SUM(D$2:D30)/SUM(D$2:D$76)</f>
        <v>0.45334675716930273</v>
      </c>
      <c r="B30" s="3">
        <v>28</v>
      </c>
      <c r="C30" s="4">
        <v>28</v>
      </c>
      <c r="D30" s="4">
        <v>972</v>
      </c>
      <c r="E30" s="4">
        <v>5803.2232510000003</v>
      </c>
      <c r="F30" s="4">
        <v>9630.9681070000006</v>
      </c>
      <c r="G30" s="4">
        <v>487</v>
      </c>
      <c r="H30" s="4">
        <v>328</v>
      </c>
      <c r="I30" s="4">
        <v>419</v>
      </c>
      <c r="J30" s="5">
        <f t="shared" si="0"/>
        <v>0.50102880658436211</v>
      </c>
      <c r="K30" s="5">
        <f t="shared" si="1"/>
        <v>0.33744855967078191</v>
      </c>
      <c r="L30" s="5">
        <f t="shared" si="8"/>
        <v>0.43106995884773663</v>
      </c>
      <c r="M30" s="4">
        <v>1901.998971</v>
      </c>
      <c r="N30" s="4">
        <v>4922.4393</v>
      </c>
      <c r="O30" s="4">
        <v>11366.440328999999</v>
      </c>
      <c r="P30" s="4">
        <v>5758.8497939999997</v>
      </c>
      <c r="Q30" s="4">
        <v>0.57775699999999997</v>
      </c>
      <c r="R30" s="4">
        <v>5758.8497939999997</v>
      </c>
      <c r="S30" s="9">
        <v>10889.961814</v>
      </c>
      <c r="T30" s="9">
        <v>4491.179177</v>
      </c>
      <c r="U30" s="35">
        <v>15434.191358</v>
      </c>
      <c r="V30" s="35">
        <v>15399.953995</v>
      </c>
      <c r="W30" s="35">
        <f t="shared" si="2"/>
        <v>-34.237363000000187</v>
      </c>
      <c r="X30" s="32">
        <v>32.046568999999998</v>
      </c>
      <c r="Y30" s="7">
        <v>2108.034314</v>
      </c>
      <c r="Z30" s="5">
        <v>0.74787599999999999</v>
      </c>
      <c r="AA30" s="29">
        <f t="shared" si="3"/>
        <v>0.55822530254080449</v>
      </c>
      <c r="AB30" s="30">
        <f t="shared" si="4"/>
        <v>0.33636349108525876</v>
      </c>
      <c r="AC30" s="30">
        <f t="shared" si="5"/>
        <v>0.56810152059835284</v>
      </c>
      <c r="AD30" s="2">
        <f t="shared" si="6"/>
        <v>0.37471899760456978</v>
      </c>
      <c r="AE30" s="2">
        <f t="shared" si="7"/>
        <v>0.89569017392654715</v>
      </c>
      <c r="AF30" s="2"/>
      <c r="AG30" s="5"/>
      <c r="AH30" s="5"/>
      <c r="AI30" s="110"/>
    </row>
    <row r="31" spans="1:43" x14ac:dyDescent="0.3">
      <c r="A31">
        <f>SUM(D$2:D31)/SUM(D$2:D$76)</f>
        <v>0.48195901399759672</v>
      </c>
      <c r="B31" s="3">
        <v>29</v>
      </c>
      <c r="C31" s="4">
        <v>29</v>
      </c>
      <c r="D31" s="4">
        <v>881</v>
      </c>
      <c r="E31" s="4">
        <v>5936.8399550000004</v>
      </c>
      <c r="F31" s="4">
        <v>10358.970488000001</v>
      </c>
      <c r="G31" s="4">
        <v>386</v>
      </c>
      <c r="H31" s="4">
        <v>292</v>
      </c>
      <c r="I31" s="4">
        <v>399</v>
      </c>
      <c r="J31" s="5">
        <f t="shared" si="0"/>
        <v>0.43813847900113506</v>
      </c>
      <c r="K31" s="5">
        <f t="shared" si="1"/>
        <v>0.33144154370034051</v>
      </c>
      <c r="L31" s="5">
        <f t="shared" si="8"/>
        <v>0.45289443813847902</v>
      </c>
      <c r="M31" s="4">
        <v>1997.346198</v>
      </c>
      <c r="N31" s="4">
        <v>4884.9466519999996</v>
      </c>
      <c r="O31" s="4">
        <v>11183.825199000001</v>
      </c>
      <c r="P31" s="4">
        <v>5807.5357549999999</v>
      </c>
      <c r="Q31" s="4">
        <v>0.60215700000000005</v>
      </c>
      <c r="R31" s="4">
        <v>5807.5357549999999</v>
      </c>
      <c r="S31" s="9">
        <v>13025.661654</v>
      </c>
      <c r="T31" s="9">
        <v>4256.9238580000001</v>
      </c>
      <c r="U31" s="35">
        <v>16295.810443</v>
      </c>
      <c r="V31" s="35">
        <v>17191.510151999999</v>
      </c>
      <c r="W31" s="35">
        <f t="shared" si="2"/>
        <v>895.69970899999862</v>
      </c>
      <c r="X31" s="32">
        <v>31.179687999999999</v>
      </c>
      <c r="Y31" s="7">
        <v>2208.932292</v>
      </c>
      <c r="Z31" s="5">
        <v>0.77100299999999999</v>
      </c>
      <c r="AA31" s="29">
        <f t="shared" si="3"/>
        <v>0.60042140835998781</v>
      </c>
      <c r="AB31" s="30">
        <f t="shared" si="4"/>
        <v>0.34410811490565046</v>
      </c>
      <c r="AC31" s="30">
        <f t="shared" si="5"/>
        <v>0.63419170355341181</v>
      </c>
      <c r="AD31" s="2">
        <f t="shared" si="6"/>
        <v>0.36804852016873635</v>
      </c>
      <c r="AE31" s="2">
        <f t="shared" si="7"/>
        <v>0.9410377358490567</v>
      </c>
      <c r="AF31" s="2"/>
      <c r="AG31" s="5"/>
      <c r="AH31" s="5"/>
      <c r="AI31" s="110"/>
      <c r="AL31" t="s">
        <v>186</v>
      </c>
      <c r="AO31" t="s">
        <v>187</v>
      </c>
    </row>
    <row r="32" spans="1:43" x14ac:dyDescent="0.3">
      <c r="A32">
        <f>SUM(D$2:D32)/SUM(D$2:D$76)</f>
        <v>0.51057127082589071</v>
      </c>
      <c r="B32" s="3">
        <v>30</v>
      </c>
      <c r="C32" s="4">
        <v>30</v>
      </c>
      <c r="D32" s="4">
        <v>881</v>
      </c>
      <c r="E32" s="4">
        <v>6511.6435869999996</v>
      </c>
      <c r="F32" s="4">
        <v>9647.7275819999995</v>
      </c>
      <c r="G32" s="4">
        <v>383</v>
      </c>
      <c r="H32" s="4">
        <v>266</v>
      </c>
      <c r="I32" s="4">
        <v>424</v>
      </c>
      <c r="J32" s="5">
        <f t="shared" si="0"/>
        <v>0.43473325766174803</v>
      </c>
      <c r="K32" s="5">
        <f t="shared" si="1"/>
        <v>0.30192962542565266</v>
      </c>
      <c r="L32" s="5">
        <f t="shared" si="8"/>
        <v>0.48127128263337116</v>
      </c>
      <c r="M32" s="4">
        <v>2063.9738929999999</v>
      </c>
      <c r="N32" s="4">
        <v>5373.4733260000003</v>
      </c>
      <c r="O32" s="4">
        <v>10959.035186999999</v>
      </c>
      <c r="P32" s="4">
        <v>6277.0056750000003</v>
      </c>
      <c r="Q32" s="4">
        <v>0.63791100000000001</v>
      </c>
      <c r="R32" s="4">
        <v>6277.0056750000003</v>
      </c>
      <c r="S32" s="9">
        <v>12163.070755000001</v>
      </c>
      <c r="T32" s="9">
        <v>3575.0023919999999</v>
      </c>
      <c r="U32" s="35">
        <v>16159.371169</v>
      </c>
      <c r="V32" s="35">
        <v>15732.4689</v>
      </c>
      <c r="W32" s="35">
        <f t="shared" si="2"/>
        <v>-426.90226900000016</v>
      </c>
      <c r="X32" s="32">
        <v>29.777239999999999</v>
      </c>
      <c r="Y32" s="7">
        <v>2124.6561740000002</v>
      </c>
      <c r="Z32" s="5">
        <v>0.799481</v>
      </c>
      <c r="AA32" s="29">
        <f t="shared" si="3"/>
        <v>0.55919670675462385</v>
      </c>
      <c r="AB32" s="30">
        <f t="shared" si="4"/>
        <v>0.37742459231580172</v>
      </c>
      <c r="AC32" s="30">
        <f t="shared" si="5"/>
        <v>0.58036793536903653</v>
      </c>
      <c r="AD32" s="2">
        <f t="shared" si="6"/>
        <v>0.33527707659206801</v>
      </c>
      <c r="AE32" s="2">
        <f t="shared" si="7"/>
        <v>1</v>
      </c>
      <c r="AF32" s="2"/>
      <c r="AG32" s="5"/>
      <c r="AH32" s="5"/>
      <c r="AI32" s="110"/>
      <c r="AK32" t="s">
        <v>188</v>
      </c>
      <c r="AL32">
        <f>SUMPRODUCT($D$43:$D$76,B$43:B$76)/SUM($D$43:$D$76)</f>
        <v>54.051530090224162</v>
      </c>
      <c r="AO32">
        <f>SUMPRODUCT(C$6:C$42,D$6:D$42)/SUM(D$6:D$42)</f>
        <v>22.491167501006963</v>
      </c>
    </row>
    <row r="33" spans="1:43" x14ac:dyDescent="0.3">
      <c r="A33">
        <f>SUM(D$2:D33)/SUM(D$2:D$76)</f>
        <v>0.54314572439998698</v>
      </c>
      <c r="B33" s="3">
        <v>31</v>
      </c>
      <c r="C33" s="4">
        <v>31</v>
      </c>
      <c r="D33" s="4">
        <v>1003</v>
      </c>
      <c r="E33" s="4">
        <v>5902.6869390000002</v>
      </c>
      <c r="F33" s="4">
        <v>11281.130607999999</v>
      </c>
      <c r="G33" s="4">
        <v>440</v>
      </c>
      <c r="H33" s="4">
        <v>260</v>
      </c>
      <c r="I33" s="4">
        <v>476</v>
      </c>
      <c r="J33" s="5">
        <f t="shared" si="0"/>
        <v>0.43868394815553341</v>
      </c>
      <c r="K33" s="5">
        <f t="shared" si="1"/>
        <v>0.25922233300099701</v>
      </c>
      <c r="L33" s="5">
        <f t="shared" si="8"/>
        <v>0.47457627118644069</v>
      </c>
      <c r="M33" s="4">
        <v>2279.070788</v>
      </c>
      <c r="N33" s="4">
        <v>4431.1375870000002</v>
      </c>
      <c r="O33" s="4">
        <v>10376.939182</v>
      </c>
      <c r="P33" s="4">
        <v>5706.920239</v>
      </c>
      <c r="Q33" s="4">
        <v>0.62704899999999997</v>
      </c>
      <c r="R33" s="4">
        <v>5706.920239</v>
      </c>
      <c r="S33" s="9">
        <v>13982.75</v>
      </c>
      <c r="T33" s="9">
        <v>3413.77234</v>
      </c>
      <c r="U33" s="35">
        <v>17183.817546999999</v>
      </c>
      <c r="V33" s="35">
        <v>17386.242553</v>
      </c>
      <c r="W33" s="35">
        <f t="shared" si="2"/>
        <v>202.4250060000013</v>
      </c>
      <c r="X33" s="32">
        <v>33.982869000000001</v>
      </c>
      <c r="Y33" s="7">
        <v>2671.2141329999999</v>
      </c>
      <c r="Z33" s="5">
        <v>0.85491600000000001</v>
      </c>
      <c r="AA33" s="29">
        <f t="shared" si="3"/>
        <v>0.6538711868515098</v>
      </c>
      <c r="AB33" s="30">
        <f t="shared" si="4"/>
        <v>0.34212855506519951</v>
      </c>
      <c r="AC33" s="30">
        <f t="shared" si="5"/>
        <v>0.64137534664440976</v>
      </c>
      <c r="AD33" s="2">
        <f t="shared" si="6"/>
        <v>0.28785285933245042</v>
      </c>
      <c r="AE33" s="2">
        <f t="shared" si="7"/>
        <v>0.9860889031020148</v>
      </c>
      <c r="AF33" s="2"/>
      <c r="AG33" s="5"/>
      <c r="AH33" s="5"/>
      <c r="AI33" s="110"/>
      <c r="AK33" t="s">
        <v>189</v>
      </c>
      <c r="AL33">
        <f>SUMPRODUCT(D$43:D$76,X$43:X$76)/SUM(D$43:D$76)</f>
        <v>20.474299235140911</v>
      </c>
      <c r="AO33" s="25">
        <f>SUMPRODUCT(X$6:X$42,D$6:D$42)/SUM(D$6:D$42)</f>
        <v>26.910752031647387</v>
      </c>
    </row>
    <row r="34" spans="1:43" x14ac:dyDescent="0.3">
      <c r="A34">
        <f>SUM(D$2:D34)/SUM(D$2:D$76)</f>
        <v>0.56272936897145265</v>
      </c>
      <c r="B34" s="3">
        <v>32</v>
      </c>
      <c r="C34" s="4">
        <v>32</v>
      </c>
      <c r="D34" s="4">
        <v>603</v>
      </c>
      <c r="E34" s="4">
        <v>6150.1990050000004</v>
      </c>
      <c r="F34" s="4">
        <v>9711.2288559999997</v>
      </c>
      <c r="G34" s="4">
        <v>140</v>
      </c>
      <c r="H34" s="4">
        <v>201</v>
      </c>
      <c r="I34" s="4">
        <v>269</v>
      </c>
      <c r="J34" s="5">
        <f t="shared" si="0"/>
        <v>0.23217247097844113</v>
      </c>
      <c r="K34" s="5">
        <f t="shared" si="1"/>
        <v>0.33333333333333331</v>
      </c>
      <c r="L34" s="5">
        <f t="shared" si="8"/>
        <v>0.44610281923714762</v>
      </c>
      <c r="M34" s="4">
        <v>2152.6235489999999</v>
      </c>
      <c r="N34" s="4">
        <v>5056.4908789999999</v>
      </c>
      <c r="O34" s="4">
        <v>10691.774461000001</v>
      </c>
      <c r="P34" s="4">
        <v>6045.7296850000002</v>
      </c>
      <c r="Q34" s="4">
        <v>0.63383100000000003</v>
      </c>
      <c r="R34" s="4">
        <v>6045.7296850000002</v>
      </c>
      <c r="S34" s="9">
        <v>11406.033457</v>
      </c>
      <c r="T34" s="9">
        <v>4173.2172280000004</v>
      </c>
      <c r="U34" s="35">
        <v>15861.427861</v>
      </c>
      <c r="V34" s="35">
        <v>15559.666667</v>
      </c>
      <c r="W34" s="35">
        <f t="shared" si="2"/>
        <v>-301.76119400000061</v>
      </c>
      <c r="X34" s="32">
        <v>28.483018999999999</v>
      </c>
      <c r="Y34" s="7">
        <v>2041.0490569999999</v>
      </c>
      <c r="Z34" s="5">
        <v>0.79315999999999998</v>
      </c>
      <c r="AA34" s="29">
        <f t="shared" si="3"/>
        <v>0.56287733548234353</v>
      </c>
      <c r="AB34" s="30">
        <f t="shared" si="4"/>
        <v>0.35647472425507842</v>
      </c>
      <c r="AC34" s="30">
        <f t="shared" si="5"/>
        <v>0.57399329221348139</v>
      </c>
      <c r="AD34" s="2">
        <f t="shared" si="6"/>
        <v>0.37014925373134328</v>
      </c>
      <c r="AE34" s="2">
        <f t="shared" si="7"/>
        <v>0.9269259050658657</v>
      </c>
      <c r="AF34" s="2"/>
      <c r="AG34" s="5"/>
      <c r="AH34" s="5"/>
      <c r="AI34" s="110"/>
    </row>
    <row r="35" spans="1:43" x14ac:dyDescent="0.3">
      <c r="A35">
        <f>SUM(D$2:D35)/SUM(D$2:D$76)</f>
        <v>0.57432366600630058</v>
      </c>
      <c r="B35" s="3">
        <v>33</v>
      </c>
      <c r="C35" s="4">
        <v>33</v>
      </c>
      <c r="D35" s="4">
        <v>357</v>
      </c>
      <c r="E35" s="4">
        <v>7860.316527</v>
      </c>
      <c r="F35" s="4">
        <v>6134.4369749999996</v>
      </c>
      <c r="G35" s="4">
        <v>119</v>
      </c>
      <c r="H35" s="4">
        <v>148</v>
      </c>
      <c r="I35" s="4">
        <v>108</v>
      </c>
      <c r="J35" s="5">
        <f t="shared" si="0"/>
        <v>0.33333333333333331</v>
      </c>
      <c r="K35" s="5">
        <f t="shared" si="1"/>
        <v>0.41456582633053224</v>
      </c>
      <c r="L35" s="5">
        <f t="shared" si="8"/>
        <v>0.30252100840336132</v>
      </c>
      <c r="M35" s="4">
        <v>1864.2100840000001</v>
      </c>
      <c r="N35" s="4">
        <v>7482.6582630000003</v>
      </c>
      <c r="O35" s="4">
        <v>12778.067227</v>
      </c>
      <c r="P35" s="4">
        <v>7581.7843140000004</v>
      </c>
      <c r="Q35" s="4">
        <v>0.66378199999999998</v>
      </c>
      <c r="R35" s="4">
        <v>7581.7843140000004</v>
      </c>
      <c r="S35" s="9">
        <v>10374.935185</v>
      </c>
      <c r="T35" s="9">
        <v>3381.0648150000002</v>
      </c>
      <c r="U35" s="35">
        <v>13994.753500999999</v>
      </c>
      <c r="V35" s="35">
        <v>13756</v>
      </c>
      <c r="W35" s="35">
        <f t="shared" si="2"/>
        <v>-238.75350099999923</v>
      </c>
      <c r="X35" s="32">
        <v>24.247619</v>
      </c>
      <c r="Y35" s="7">
        <v>1509.5333330000001</v>
      </c>
      <c r="Z35" s="5">
        <v>0.80351899999999998</v>
      </c>
      <c r="AA35" s="29">
        <f t="shared" si="3"/>
        <v>0.35556113344388962</v>
      </c>
      <c r="AB35" s="30">
        <f t="shared" si="4"/>
        <v>0.45559569117064053</v>
      </c>
      <c r="AC35" s="30">
        <f t="shared" si="5"/>
        <v>0.50745635473250272</v>
      </c>
      <c r="AD35" s="2">
        <f t="shared" si="6"/>
        <v>0.46035369371629253</v>
      </c>
      <c r="AE35" s="2">
        <f t="shared" si="7"/>
        <v>0.62858728397019181</v>
      </c>
      <c r="AF35" s="2"/>
      <c r="AG35" s="5"/>
      <c r="AH35" s="5"/>
      <c r="AI35" s="110"/>
    </row>
    <row r="36" spans="1:43" x14ac:dyDescent="0.3">
      <c r="A36">
        <f>SUM(D$2:D36)/SUM(D$2:D$76)</f>
        <v>0.58695722776135884</v>
      </c>
      <c r="B36" s="3">
        <v>34</v>
      </c>
      <c r="C36" s="4">
        <v>34</v>
      </c>
      <c r="D36" s="4">
        <v>389</v>
      </c>
      <c r="E36" s="4">
        <v>7880.9562980000001</v>
      </c>
      <c r="F36" s="4">
        <v>7028.3701799999999</v>
      </c>
      <c r="G36" s="4">
        <v>129</v>
      </c>
      <c r="H36" s="4">
        <v>151</v>
      </c>
      <c r="I36" s="4">
        <v>121</v>
      </c>
      <c r="J36" s="5">
        <f t="shared" si="0"/>
        <v>0.33161953727506427</v>
      </c>
      <c r="K36" s="5">
        <f t="shared" si="1"/>
        <v>0.38817480719794345</v>
      </c>
      <c r="L36" s="5">
        <f t="shared" si="8"/>
        <v>0.3110539845758355</v>
      </c>
      <c r="M36" s="4">
        <v>2037.686375</v>
      </c>
      <c r="N36" s="4">
        <v>7346.7043700000004</v>
      </c>
      <c r="O36" s="4">
        <v>13624.421593999999</v>
      </c>
      <c r="P36" s="4">
        <v>7801.8354760000002</v>
      </c>
      <c r="Q36" s="4">
        <v>0.67671000000000003</v>
      </c>
      <c r="R36" s="4">
        <v>7801.8354760000002</v>
      </c>
      <c r="S36" s="9">
        <v>10126.859504</v>
      </c>
      <c r="T36" s="9">
        <v>4134.8083329999999</v>
      </c>
      <c r="U36" s="35">
        <v>14909.326478000001</v>
      </c>
      <c r="V36" s="35">
        <v>14329.141667</v>
      </c>
      <c r="W36" s="35">
        <f t="shared" si="2"/>
        <v>-580.18481100000099</v>
      </c>
      <c r="X36" s="32">
        <v>20.693694000000001</v>
      </c>
      <c r="Y36" s="7">
        <v>1305.594595</v>
      </c>
      <c r="Z36" s="5">
        <v>0.75165300000000002</v>
      </c>
      <c r="AA36" s="29">
        <f t="shared" si="3"/>
        <v>0.40737483776398808</v>
      </c>
      <c r="AB36" s="30">
        <f t="shared" si="4"/>
        <v>0.45679200313874618</v>
      </c>
      <c r="AC36" s="30">
        <f t="shared" si="5"/>
        <v>0.52859944727983699</v>
      </c>
      <c r="AD36" s="2">
        <f t="shared" si="6"/>
        <v>0.43104784560488052</v>
      </c>
      <c r="AE36" s="2">
        <f t="shared" si="7"/>
        <v>0.64631735946063928</v>
      </c>
      <c r="AF36" s="2"/>
      <c r="AG36" s="5"/>
      <c r="AH36" s="5"/>
      <c r="AI36" s="110"/>
    </row>
    <row r="37" spans="1:43" x14ac:dyDescent="0.3">
      <c r="A37">
        <f>SUM(D$2:D37)/SUM(D$2:D$76)</f>
        <v>0.59855152479620666</v>
      </c>
      <c r="B37" s="3">
        <v>35</v>
      </c>
      <c r="C37" s="4">
        <v>35</v>
      </c>
      <c r="D37" s="4">
        <v>357</v>
      </c>
      <c r="E37" s="4">
        <v>8904.4453780000003</v>
      </c>
      <c r="F37" s="4">
        <v>5859.565826</v>
      </c>
      <c r="G37" s="4">
        <v>120</v>
      </c>
      <c r="H37" s="4">
        <v>132</v>
      </c>
      <c r="I37" s="4">
        <v>111</v>
      </c>
      <c r="J37" s="5">
        <f t="shared" si="0"/>
        <v>0.33613445378151263</v>
      </c>
      <c r="K37" s="5">
        <f t="shared" si="1"/>
        <v>0.36974789915966388</v>
      </c>
      <c r="L37" s="5">
        <f t="shared" si="8"/>
        <v>0.31092436974789917</v>
      </c>
      <c r="M37" s="4">
        <v>2022.05042</v>
      </c>
      <c r="N37" s="4">
        <v>8784.1456579999995</v>
      </c>
      <c r="O37" s="4">
        <v>13087.535013999999</v>
      </c>
      <c r="P37" s="4">
        <v>8750.1316530000004</v>
      </c>
      <c r="Q37" s="4">
        <v>0.72358500000000003</v>
      </c>
      <c r="R37" s="4">
        <v>8750.1316530000004</v>
      </c>
      <c r="S37" s="9">
        <v>9756.3333330000005</v>
      </c>
      <c r="T37" s="9">
        <v>3231.1651379999998</v>
      </c>
      <c r="U37" s="35">
        <v>14764.011204</v>
      </c>
      <c r="V37" s="35">
        <v>13033.201835</v>
      </c>
      <c r="W37" s="35">
        <f t="shared" si="2"/>
        <v>-1730.8093690000005</v>
      </c>
      <c r="X37" s="32">
        <v>25.763636000000002</v>
      </c>
      <c r="Y37" s="7">
        <v>1676.0272729999999</v>
      </c>
      <c r="Z37" s="5">
        <v>0.75531499999999996</v>
      </c>
      <c r="AA37" s="29">
        <f t="shared" si="3"/>
        <v>0.33962919092206362</v>
      </c>
      <c r="AB37" s="30">
        <f t="shared" si="4"/>
        <v>0.51611495956250897</v>
      </c>
      <c r="AC37" s="30">
        <f t="shared" si="5"/>
        <v>0.48079246101207218</v>
      </c>
      <c r="AD37" s="2">
        <f t="shared" si="6"/>
        <v>0.41058572682804467</v>
      </c>
      <c r="AE37" s="2">
        <f t="shared" si="7"/>
        <v>0.64604804185825282</v>
      </c>
      <c r="AF37" s="2"/>
      <c r="AG37" s="5"/>
      <c r="AH37" s="5"/>
      <c r="AI37" s="110"/>
    </row>
    <row r="38" spans="1:43" x14ac:dyDescent="0.3">
      <c r="A38">
        <f>SUM(D$2:D38)/SUM(D$2:D$76)</f>
        <v>0.60959371244844274</v>
      </c>
      <c r="B38" s="3">
        <v>36</v>
      </c>
      <c r="C38" s="4">
        <v>36</v>
      </c>
      <c r="D38" s="4">
        <v>340</v>
      </c>
      <c r="E38" s="4">
        <v>9227.9529409999996</v>
      </c>
      <c r="F38" s="4">
        <v>6472.2588239999995</v>
      </c>
      <c r="G38" s="4">
        <v>119</v>
      </c>
      <c r="H38" s="4">
        <v>113</v>
      </c>
      <c r="I38" s="4">
        <v>100</v>
      </c>
      <c r="J38" s="5">
        <f t="shared" si="0"/>
        <v>0.35</v>
      </c>
      <c r="K38" s="5">
        <f t="shared" si="1"/>
        <v>0.33235294117647057</v>
      </c>
      <c r="L38" s="5">
        <f t="shared" si="8"/>
        <v>0.29411764705882354</v>
      </c>
      <c r="M38" s="4">
        <v>2121.8117649999999</v>
      </c>
      <c r="N38" s="4">
        <v>9547.2000000000007</v>
      </c>
      <c r="O38" s="4">
        <v>13641.882353000001</v>
      </c>
      <c r="P38" s="4">
        <v>9287.7441180000005</v>
      </c>
      <c r="Q38" s="4">
        <v>0.71682400000000002</v>
      </c>
      <c r="R38" s="4">
        <v>9287.7441180000005</v>
      </c>
      <c r="S38" s="9">
        <v>10976.64</v>
      </c>
      <c r="T38" s="9">
        <v>3359.0808080000002</v>
      </c>
      <c r="U38" s="35">
        <v>15700.211765</v>
      </c>
      <c r="V38" s="35">
        <v>14235.252525</v>
      </c>
      <c r="W38" s="35">
        <f t="shared" si="2"/>
        <v>-1464.9592400000001</v>
      </c>
      <c r="X38" s="32">
        <v>19.808510999999999</v>
      </c>
      <c r="Y38" s="7">
        <v>1258.659574</v>
      </c>
      <c r="Z38" s="5">
        <v>0.81459999999999999</v>
      </c>
      <c r="AA38" s="29">
        <f t="shared" si="3"/>
        <v>0.375141792601701</v>
      </c>
      <c r="AB38" s="30">
        <f t="shared" si="4"/>
        <v>0.5348659413146607</v>
      </c>
      <c r="AC38" s="30">
        <f t="shared" si="5"/>
        <v>0.52513589379421011</v>
      </c>
      <c r="AD38" s="2">
        <f t="shared" si="6"/>
        <v>0.36906057945566284</v>
      </c>
      <c r="AE38" s="2">
        <f t="shared" si="7"/>
        <v>0.61112652608213103</v>
      </c>
      <c r="AF38" s="2"/>
      <c r="AG38" s="5"/>
      <c r="AH38" s="5"/>
      <c r="AI38" s="110"/>
    </row>
    <row r="39" spans="1:43" x14ac:dyDescent="0.3">
      <c r="A39">
        <f>SUM(D$2:D39)/SUM(D$2:D$76)</f>
        <v>0.62024617583059982</v>
      </c>
      <c r="B39" s="3">
        <v>37</v>
      </c>
      <c r="C39" s="4">
        <v>37</v>
      </c>
      <c r="D39" s="4">
        <v>328</v>
      </c>
      <c r="E39" s="4">
        <v>8848.8841460000003</v>
      </c>
      <c r="F39" s="4">
        <v>5808.1646339999998</v>
      </c>
      <c r="G39" s="4">
        <v>119</v>
      </c>
      <c r="H39" s="4">
        <v>126</v>
      </c>
      <c r="I39" s="4">
        <v>100</v>
      </c>
      <c r="J39" s="5">
        <f t="shared" si="0"/>
        <v>0.36280487804878048</v>
      </c>
      <c r="K39" s="5">
        <f t="shared" si="1"/>
        <v>0.38414634146341464</v>
      </c>
      <c r="L39" s="5">
        <f t="shared" si="8"/>
        <v>0.3048780487804878</v>
      </c>
      <c r="M39" s="4">
        <v>2225.2317069999999</v>
      </c>
      <c r="N39" s="4">
        <v>8250.1219509999992</v>
      </c>
      <c r="O39" s="4">
        <v>13422.5</v>
      </c>
      <c r="P39" s="4">
        <v>8931.9329269999998</v>
      </c>
      <c r="Q39" s="4">
        <v>0.73210399999999998</v>
      </c>
      <c r="R39" s="4">
        <v>8931.9329269999998</v>
      </c>
      <c r="S39" s="9">
        <v>7989.73</v>
      </c>
      <c r="T39" s="9">
        <v>2982.76</v>
      </c>
      <c r="U39" s="35">
        <v>14657.048779999999</v>
      </c>
      <c r="V39" s="35">
        <v>10972.49</v>
      </c>
      <c r="W39" s="35">
        <f t="shared" si="2"/>
        <v>-3684.5587799999994</v>
      </c>
      <c r="X39" s="32">
        <v>18.59375</v>
      </c>
      <c r="Y39" s="7">
        <v>1256.572917</v>
      </c>
      <c r="Z39" s="5">
        <v>0.74370000000000003</v>
      </c>
      <c r="AA39" s="29">
        <f t="shared" si="3"/>
        <v>0.33664990102759257</v>
      </c>
      <c r="AB39" s="30">
        <f t="shared" si="4"/>
        <v>0.51289454753350461</v>
      </c>
      <c r="AC39" s="30">
        <f t="shared" si="5"/>
        <v>0.40477317372338167</v>
      </c>
      <c r="AD39" s="2">
        <f t="shared" si="6"/>
        <v>0.42657444484892615</v>
      </c>
      <c r="AE39" s="2">
        <f t="shared" si="7"/>
        <v>0.63348481362172115</v>
      </c>
      <c r="AF39" s="2"/>
      <c r="AG39" s="5"/>
      <c r="AH39" s="5"/>
      <c r="AI39" s="110"/>
    </row>
    <row r="40" spans="1:43" x14ac:dyDescent="0.3">
      <c r="A40">
        <f>SUM(D$2:D40)/SUM(D$2:D$76)</f>
        <v>0.63015166769510567</v>
      </c>
      <c r="B40" s="3">
        <v>38</v>
      </c>
      <c r="C40" s="4">
        <v>38</v>
      </c>
      <c r="D40" s="4">
        <v>305</v>
      </c>
      <c r="E40" s="4">
        <v>9576.4819669999997</v>
      </c>
      <c r="F40" s="4">
        <v>6186.3934429999999</v>
      </c>
      <c r="G40" s="4">
        <v>115</v>
      </c>
      <c r="H40" s="4">
        <v>118</v>
      </c>
      <c r="I40" s="4">
        <v>87</v>
      </c>
      <c r="J40" s="5">
        <f t="shared" si="0"/>
        <v>0.37704918032786883</v>
      </c>
      <c r="K40" s="5">
        <f t="shared" si="1"/>
        <v>0.38688524590163936</v>
      </c>
      <c r="L40" s="5">
        <f t="shared" si="8"/>
        <v>0.28524590163934427</v>
      </c>
      <c r="M40" s="4">
        <v>2098.8852459999998</v>
      </c>
      <c r="N40" s="4">
        <v>9856.0032790000005</v>
      </c>
      <c r="O40" s="4">
        <v>13962.786885</v>
      </c>
      <c r="P40" s="4">
        <v>9668.1475410000003</v>
      </c>
      <c r="Q40" s="4">
        <v>0.76544299999999998</v>
      </c>
      <c r="R40" s="4">
        <v>9668.1475410000003</v>
      </c>
      <c r="S40" s="9">
        <v>8959.3678159999999</v>
      </c>
      <c r="T40" s="9">
        <v>3560.3953489999999</v>
      </c>
      <c r="U40" s="35">
        <v>15762.875410000001</v>
      </c>
      <c r="V40" s="35">
        <v>12390.895349</v>
      </c>
      <c r="W40" s="35">
        <f t="shared" si="2"/>
        <v>-3371.9800610000002</v>
      </c>
      <c r="X40" s="32">
        <v>18.126581999999999</v>
      </c>
      <c r="Y40" s="7">
        <v>1336.379747</v>
      </c>
      <c r="Z40" s="5">
        <v>0.77413799999999999</v>
      </c>
      <c r="AA40" s="29">
        <f t="shared" si="3"/>
        <v>0.35857260796504098</v>
      </c>
      <c r="AB40" s="30">
        <f t="shared" si="4"/>
        <v>0.55506720445057467</v>
      </c>
      <c r="AC40" s="30">
        <f t="shared" si="5"/>
        <v>0.45709789078768986</v>
      </c>
      <c r="AD40" s="2">
        <f t="shared" si="6"/>
        <v>0.42961585515047718</v>
      </c>
      <c r="AE40" s="2">
        <f t="shared" si="7"/>
        <v>0.59269254562326013</v>
      </c>
      <c r="AF40" s="2"/>
      <c r="AG40" s="5"/>
      <c r="AH40" s="5"/>
      <c r="AI40" s="110"/>
    </row>
    <row r="41" spans="1:43" x14ac:dyDescent="0.3">
      <c r="A41">
        <f>SUM(D$2:D41)/SUM(D$2:D$76)</f>
        <v>0.6407391770322497</v>
      </c>
      <c r="B41" s="3">
        <v>39</v>
      </c>
      <c r="C41" s="4">
        <v>39</v>
      </c>
      <c r="D41" s="4">
        <v>326</v>
      </c>
      <c r="E41" s="4">
        <v>9590.9018400000004</v>
      </c>
      <c r="F41" s="4">
        <v>5455.0828220000003</v>
      </c>
      <c r="G41" s="4">
        <v>113</v>
      </c>
      <c r="H41" s="4">
        <v>129</v>
      </c>
      <c r="I41" s="4">
        <v>92</v>
      </c>
      <c r="J41" s="5">
        <f t="shared" si="0"/>
        <v>0.34662576687116564</v>
      </c>
      <c r="K41" s="5">
        <f t="shared" si="1"/>
        <v>0.39570552147239263</v>
      </c>
      <c r="L41" s="5">
        <f t="shared" si="8"/>
        <v>0.2822085889570552</v>
      </c>
      <c r="M41" s="4">
        <v>2143.5337420000001</v>
      </c>
      <c r="N41" s="4">
        <v>9551.0766870000007</v>
      </c>
      <c r="O41" s="4">
        <v>13110.582822</v>
      </c>
      <c r="P41" s="4">
        <v>9256.6196319999999</v>
      </c>
      <c r="Q41" s="4">
        <v>0.77085899999999996</v>
      </c>
      <c r="R41" s="4">
        <v>9256.6196319999999</v>
      </c>
      <c r="S41" s="9">
        <v>8990.8478259999993</v>
      </c>
      <c r="T41" s="9">
        <v>2712.2921350000001</v>
      </c>
      <c r="U41" s="35">
        <v>15045.984662999999</v>
      </c>
      <c r="V41" s="35">
        <v>11702.022472000001</v>
      </c>
      <c r="W41" s="35">
        <f t="shared" si="2"/>
        <v>-3343.9621909999987</v>
      </c>
      <c r="X41" s="32">
        <v>22.162500000000001</v>
      </c>
      <c r="Y41" s="7">
        <v>1478.5625</v>
      </c>
      <c r="Z41" s="5">
        <v>0.71043500000000004</v>
      </c>
      <c r="AA41" s="29">
        <f t="shared" si="3"/>
        <v>0.31618475161212528</v>
      </c>
      <c r="AB41" s="30">
        <f t="shared" si="4"/>
        <v>0.55590300183652741</v>
      </c>
      <c r="AC41" s="30">
        <f t="shared" si="5"/>
        <v>0.43168549481236917</v>
      </c>
      <c r="AD41" s="2">
        <f t="shared" si="6"/>
        <v>0.43941031041113449</v>
      </c>
      <c r="AE41" s="2">
        <f t="shared" si="7"/>
        <v>0.5863815256395416</v>
      </c>
      <c r="AF41" s="2"/>
      <c r="AG41" s="5"/>
      <c r="AH41" s="5"/>
      <c r="AI41" s="110"/>
    </row>
    <row r="42" spans="1:43" x14ac:dyDescent="0.3">
      <c r="A42">
        <f>SUM(D$2:D42)/SUM(D$2:D$76)</f>
        <v>0.65083953103179504</v>
      </c>
      <c r="B42" s="3">
        <v>40</v>
      </c>
      <c r="C42" s="4">
        <v>40</v>
      </c>
      <c r="D42" s="4">
        <v>311</v>
      </c>
      <c r="E42" s="4">
        <v>9720.5144689999997</v>
      </c>
      <c r="F42" s="4">
        <v>5454.6720260000002</v>
      </c>
      <c r="G42" s="4">
        <v>125</v>
      </c>
      <c r="H42" s="4">
        <v>123</v>
      </c>
      <c r="I42" s="4">
        <v>84</v>
      </c>
      <c r="J42" s="5">
        <f t="shared" si="0"/>
        <v>0.40192926045016075</v>
      </c>
      <c r="K42" s="5">
        <f t="shared" si="1"/>
        <v>0.39549839228295819</v>
      </c>
      <c r="L42" s="5">
        <f t="shared" si="8"/>
        <v>0.27009646302250806</v>
      </c>
      <c r="M42" s="4">
        <v>2292.7813500000002</v>
      </c>
      <c r="N42" s="4">
        <v>9384.8135050000001</v>
      </c>
      <c r="O42" s="4">
        <v>14367.041800999999</v>
      </c>
      <c r="P42" s="4">
        <v>10169.803859</v>
      </c>
      <c r="Q42" s="4">
        <v>0.77903500000000003</v>
      </c>
      <c r="R42" s="4">
        <v>10169.803859</v>
      </c>
      <c r="S42" s="9">
        <v>9252.2619049999994</v>
      </c>
      <c r="T42" s="9">
        <v>2548.2738100000001</v>
      </c>
      <c r="U42" s="35">
        <v>15175.186495</v>
      </c>
      <c r="V42" s="35">
        <v>11800.535714</v>
      </c>
      <c r="W42" s="35">
        <f t="shared" si="2"/>
        <v>-3374.6507810000003</v>
      </c>
      <c r="X42" s="32">
        <v>23.041667</v>
      </c>
      <c r="Y42" s="7">
        <v>2043.6111109999999</v>
      </c>
      <c r="Z42" s="5">
        <v>0.73250000000000004</v>
      </c>
      <c r="AA42" s="29">
        <f t="shared" si="3"/>
        <v>0.31616094126213401</v>
      </c>
      <c r="AB42" s="30">
        <f t="shared" si="4"/>
        <v>0.56341554348683631</v>
      </c>
      <c r="AC42" s="30">
        <f t="shared" si="5"/>
        <v>0.43531963051156958</v>
      </c>
      <c r="AD42" s="2">
        <f t="shared" si="6"/>
        <v>0.43918030426644911</v>
      </c>
      <c r="AE42" s="2">
        <f t="shared" si="7"/>
        <v>0.56121458472365471</v>
      </c>
      <c r="AF42" s="2"/>
      <c r="AG42" s="5"/>
      <c r="AH42" s="5"/>
      <c r="AI42" s="110"/>
    </row>
    <row r="43" spans="1:43" x14ac:dyDescent="0.3">
      <c r="A43">
        <f>SUM(D$2:D43)/SUM(D$2:D$76)</f>
        <v>0.66080997694131405</v>
      </c>
      <c r="B43" s="3">
        <v>41</v>
      </c>
      <c r="C43" s="4">
        <v>41</v>
      </c>
      <c r="D43" s="4">
        <v>307</v>
      </c>
      <c r="E43" s="4">
        <v>10129.286645</v>
      </c>
      <c r="F43" s="4">
        <v>5376.67101</v>
      </c>
      <c r="G43" s="4">
        <v>95</v>
      </c>
      <c r="H43" s="4">
        <v>98</v>
      </c>
      <c r="I43" s="4">
        <v>86</v>
      </c>
      <c r="J43" s="5">
        <f t="shared" si="0"/>
        <v>0.30944625407166126</v>
      </c>
      <c r="K43" s="5">
        <f t="shared" si="1"/>
        <v>0.31921824104234525</v>
      </c>
      <c r="L43" s="5">
        <f t="shared" si="8"/>
        <v>0.28013029315960913</v>
      </c>
      <c r="M43" s="4">
        <v>2494.1921819999998</v>
      </c>
      <c r="N43" s="4">
        <v>9813.6221499999992</v>
      </c>
      <c r="O43" s="4">
        <v>13482.247557000001</v>
      </c>
      <c r="P43" s="4">
        <v>10299.986971</v>
      </c>
      <c r="Q43" s="4">
        <v>0.79934899999999998</v>
      </c>
      <c r="R43" s="4">
        <v>10299.986971</v>
      </c>
      <c r="S43" s="9">
        <v>10123.639535</v>
      </c>
      <c r="T43" s="9">
        <v>2329.117647</v>
      </c>
      <c r="U43" s="35">
        <v>15505.957655</v>
      </c>
      <c r="V43" s="35">
        <v>12493.352940999999</v>
      </c>
      <c r="W43" s="35">
        <f t="shared" si="2"/>
        <v>-3012.604714000001</v>
      </c>
      <c r="X43" s="32">
        <v>22.120481999999999</v>
      </c>
      <c r="Y43" s="7">
        <v>2055.2771080000002</v>
      </c>
      <c r="Z43" s="5">
        <v>0.788605</v>
      </c>
      <c r="AA43" s="29">
        <f t="shared" si="3"/>
        <v>0.3116398858218774</v>
      </c>
      <c r="AB43" s="30">
        <f t="shared" si="4"/>
        <v>0.58710858961498325</v>
      </c>
      <c r="AC43" s="30">
        <f t="shared" si="5"/>
        <v>0.46087753284577287</v>
      </c>
      <c r="AD43" s="2">
        <f t="shared" si="6"/>
        <v>0.35447518109776849</v>
      </c>
      <c r="AE43" s="2">
        <f t="shared" si="7"/>
        <v>0.58206317989060297</v>
      </c>
      <c r="AF43" s="2"/>
      <c r="AG43" s="5"/>
      <c r="AH43" s="5"/>
      <c r="AI43" s="110"/>
    </row>
    <row r="44" spans="1:43" x14ac:dyDescent="0.3">
      <c r="A44">
        <f>SUM(D$2:D44)/SUM(D$2:D$76)</f>
        <v>0.67194959566106982</v>
      </c>
      <c r="B44" s="3">
        <v>42</v>
      </c>
      <c r="C44" s="4">
        <v>42</v>
      </c>
      <c r="D44" s="4">
        <v>343</v>
      </c>
      <c r="E44" s="4">
        <v>9830.2711369999997</v>
      </c>
      <c r="F44" s="4">
        <v>5637.5422740000004</v>
      </c>
      <c r="G44" s="4">
        <v>129</v>
      </c>
      <c r="H44" s="4">
        <v>116</v>
      </c>
      <c r="I44" s="4">
        <v>97</v>
      </c>
      <c r="J44" s="5">
        <f t="shared" si="0"/>
        <v>0.37609329446064138</v>
      </c>
      <c r="K44" s="5">
        <f t="shared" si="1"/>
        <v>0.33819241982507287</v>
      </c>
      <c r="L44" s="5">
        <f t="shared" si="8"/>
        <v>0.28279883381924198</v>
      </c>
      <c r="M44" s="4">
        <v>2380.3877550000002</v>
      </c>
      <c r="N44" s="4">
        <v>9726.3965009999993</v>
      </c>
      <c r="O44" s="4">
        <v>14169.533528</v>
      </c>
      <c r="P44" s="4">
        <v>10158.48105</v>
      </c>
      <c r="Q44" s="4">
        <v>0.76653099999999996</v>
      </c>
      <c r="R44" s="4">
        <v>10158.48105</v>
      </c>
      <c r="S44" s="9">
        <v>7774.9793810000001</v>
      </c>
      <c r="T44" s="9">
        <v>4289.5979379999999</v>
      </c>
      <c r="U44" s="35">
        <v>15467.813410999999</v>
      </c>
      <c r="V44" s="35">
        <v>12064.57732</v>
      </c>
      <c r="W44" s="35">
        <f t="shared" si="2"/>
        <v>-3403.2360909999989</v>
      </c>
      <c r="X44" s="32">
        <v>20.222221999999999</v>
      </c>
      <c r="Y44" s="7">
        <v>1407.877778</v>
      </c>
      <c r="Z44" s="5">
        <v>0.74433000000000005</v>
      </c>
      <c r="AA44" s="29">
        <f t="shared" si="3"/>
        <v>0.32676037408979708</v>
      </c>
      <c r="AB44" s="30">
        <f t="shared" si="4"/>
        <v>0.56977720396784637</v>
      </c>
      <c r="AC44" s="30">
        <f t="shared" si="5"/>
        <v>0.44506007765306971</v>
      </c>
      <c r="AD44" s="2">
        <f t="shared" si="6"/>
        <v>0.3755450154475436</v>
      </c>
      <c r="AE44" s="2">
        <f t="shared" si="7"/>
        <v>0.58760795423290613</v>
      </c>
      <c r="AF44" s="2"/>
      <c r="AG44" s="5"/>
      <c r="AH44" s="5"/>
      <c r="AI44" s="110"/>
    </row>
    <row r="45" spans="1:43" x14ac:dyDescent="0.3">
      <c r="A45">
        <f>SUM(D$2:D45)/SUM(D$2:D$76)</f>
        <v>0.68403104803351633</v>
      </c>
      <c r="B45" s="3">
        <v>43</v>
      </c>
      <c r="C45" s="4">
        <v>43</v>
      </c>
      <c r="D45" s="4">
        <v>372</v>
      </c>
      <c r="E45" s="4">
        <v>10087.672043</v>
      </c>
      <c r="F45" s="4">
        <v>5836.9650540000002</v>
      </c>
      <c r="G45" s="4">
        <v>119</v>
      </c>
      <c r="H45" s="4">
        <v>117</v>
      </c>
      <c r="I45" s="4">
        <v>103</v>
      </c>
      <c r="J45" s="5">
        <f t="shared" si="0"/>
        <v>0.31989247311827956</v>
      </c>
      <c r="K45" s="5">
        <f t="shared" si="1"/>
        <v>0.31451612903225806</v>
      </c>
      <c r="L45" s="5">
        <f t="shared" si="8"/>
        <v>0.2768817204301075</v>
      </c>
      <c r="M45" s="4">
        <v>2627.4489250000001</v>
      </c>
      <c r="N45" s="4">
        <v>10176.674730999999</v>
      </c>
      <c r="O45" s="4">
        <v>13893.575269000001</v>
      </c>
      <c r="P45" s="4">
        <v>10237.854839</v>
      </c>
      <c r="Q45" s="4">
        <v>0.79994600000000005</v>
      </c>
      <c r="R45" s="4">
        <v>10237.854839</v>
      </c>
      <c r="S45" s="9">
        <v>11217.961165000001</v>
      </c>
      <c r="T45" s="9">
        <v>1681.47</v>
      </c>
      <c r="U45" s="35">
        <v>15924.637097000001</v>
      </c>
      <c r="V45" s="35">
        <v>12844.29</v>
      </c>
      <c r="W45" s="35">
        <f t="shared" si="2"/>
        <v>-3080.3470969999998</v>
      </c>
      <c r="X45" s="32">
        <v>18.666667</v>
      </c>
      <c r="Y45" s="7">
        <v>2239.583333</v>
      </c>
      <c r="Z45" s="5">
        <v>0.78854400000000002</v>
      </c>
      <c r="AA45" s="29">
        <f t="shared" si="3"/>
        <v>0.33831921640577528</v>
      </c>
      <c r="AB45" s="30">
        <f t="shared" si="4"/>
        <v>0.58469654510050906</v>
      </c>
      <c r="AC45" s="30">
        <f t="shared" si="5"/>
        <v>0.4738235375492249</v>
      </c>
      <c r="AD45" s="2">
        <f t="shared" si="6"/>
        <v>0.34925373134328358</v>
      </c>
      <c r="AE45" s="2">
        <f t="shared" si="7"/>
        <v>0.57531319740312437</v>
      </c>
      <c r="AF45" s="2"/>
      <c r="AG45" s="5"/>
      <c r="AH45" s="5"/>
      <c r="AI45" s="110"/>
    </row>
    <row r="46" spans="1:43" s="97" customFormat="1" x14ac:dyDescent="0.3">
      <c r="A46" s="97">
        <f>SUM(D$2:D46)/SUM(D$2:D$76)</f>
        <v>0.69711928810366663</v>
      </c>
      <c r="B46" s="98">
        <v>44</v>
      </c>
      <c r="C46" s="99">
        <v>44</v>
      </c>
      <c r="D46" s="99">
        <v>403</v>
      </c>
      <c r="E46" s="99">
        <v>9954.1687340000008</v>
      </c>
      <c r="F46" s="99">
        <v>5631.6724569999997</v>
      </c>
      <c r="G46" s="99">
        <v>133</v>
      </c>
      <c r="H46" s="99">
        <v>119</v>
      </c>
      <c r="I46" s="99">
        <v>114</v>
      </c>
      <c r="J46" s="100">
        <f t="shared" si="0"/>
        <v>0.33002481389578164</v>
      </c>
      <c r="K46" s="100">
        <f t="shared" si="1"/>
        <v>0.29528535980148884</v>
      </c>
      <c r="L46" s="100">
        <f t="shared" si="8"/>
        <v>0.28287841191066998</v>
      </c>
      <c r="M46" s="99">
        <v>2458.560794</v>
      </c>
      <c r="N46" s="99">
        <v>10301.543424</v>
      </c>
      <c r="O46" s="99">
        <v>13533.498759</v>
      </c>
      <c r="P46" s="99">
        <v>10383.858560999999</v>
      </c>
      <c r="Q46" s="99">
        <v>0.81903199999999998</v>
      </c>
      <c r="R46" s="99">
        <v>10383.858560999999</v>
      </c>
      <c r="S46" s="101">
        <v>9928.421053</v>
      </c>
      <c r="T46" s="101">
        <v>1961.0973449999999</v>
      </c>
      <c r="U46" s="102">
        <v>15585.841191</v>
      </c>
      <c r="V46" s="102">
        <v>11870.79646</v>
      </c>
      <c r="W46" s="102">
        <f t="shared" si="2"/>
        <v>-3715.044731</v>
      </c>
      <c r="X46" s="103">
        <v>23.086538000000001</v>
      </c>
      <c r="Y46" s="104">
        <v>1432.6538459999999</v>
      </c>
      <c r="Z46" s="100">
        <v>0.82193000000000005</v>
      </c>
      <c r="AA46" s="105">
        <f t="shared" si="3"/>
        <v>0.32642015072551217</v>
      </c>
      <c r="AB46" s="106">
        <f t="shared" si="4"/>
        <v>0.57695849382375775</v>
      </c>
      <c r="AC46" s="106">
        <f t="shared" si="5"/>
        <v>0.43791153673764882</v>
      </c>
      <c r="AD46" s="107">
        <f t="shared" si="6"/>
        <v>0.3278989667049369</v>
      </c>
      <c r="AE46" s="107">
        <f t="shared" si="7"/>
        <v>0.5877733039936327</v>
      </c>
      <c r="AF46" s="107"/>
      <c r="AG46" s="100"/>
      <c r="AH46" s="100">
        <v>1</v>
      </c>
      <c r="AI46" s="111"/>
      <c r="AK46" s="104">
        <f>SUMPRODUCT(D46:D76,U46:U76)/SUM(D46:D76)</f>
        <v>18168.999588890129</v>
      </c>
      <c r="AL46" s="104">
        <f>SUMPRODUCT(D46:D76,V46:V76)/SUM(D46:D76)</f>
        <v>13109.865893194366</v>
      </c>
      <c r="AM46" s="107">
        <f>SUMPRODUCT(D46:D76,Q46:Q76)/SUM(D46:D76)</f>
        <v>0.85905650303217185</v>
      </c>
      <c r="AN46" s="107">
        <f>SUMPRODUCT(D46:D76,Z46:Z76)/SUM(D46:D76)</f>
        <v>0.81748752533662239</v>
      </c>
      <c r="AO46" s="104">
        <f>SUMPRODUCT(D46:D76,O46:O76)/SUM(D46:D76)</f>
        <v>15505.731318812623</v>
      </c>
      <c r="AP46" s="107">
        <f>SUMPRODUCT(D46:D76,K46:K76)/SUM(D46:D76)</f>
        <v>0.24925480522150273</v>
      </c>
      <c r="AQ46" s="107">
        <f>SUMPRODUCT(D46:D76,L46:L76)/SUM(D46:D76)</f>
        <v>0.2017679103710556</v>
      </c>
    </row>
    <row r="47" spans="1:43" x14ac:dyDescent="0.3">
      <c r="A47">
        <f>SUM(D$2:D47)/SUM(D$2:D$76)</f>
        <v>0.71270825890682343</v>
      </c>
      <c r="B47" s="3">
        <v>45</v>
      </c>
      <c r="C47" s="4">
        <v>45</v>
      </c>
      <c r="D47" s="4">
        <v>480</v>
      </c>
      <c r="E47" s="4">
        <v>11159.552083</v>
      </c>
      <c r="F47" s="4">
        <v>5597.6208329999999</v>
      </c>
      <c r="G47" s="4">
        <v>153</v>
      </c>
      <c r="H47" s="4">
        <v>129</v>
      </c>
      <c r="I47" s="4">
        <v>125</v>
      </c>
      <c r="J47" s="5">
        <f t="shared" si="0"/>
        <v>0.31874999999999998</v>
      </c>
      <c r="K47" s="5">
        <f t="shared" si="1"/>
        <v>0.26874999999999999</v>
      </c>
      <c r="L47" s="5">
        <f t="shared" si="8"/>
        <v>0.26041666666666669</v>
      </c>
      <c r="M47" s="4">
        <v>2654.8625000000002</v>
      </c>
      <c r="N47" s="4">
        <v>11410.420833</v>
      </c>
      <c r="O47" s="4">
        <v>14014.541667</v>
      </c>
      <c r="P47" s="4">
        <v>11189.114583</v>
      </c>
      <c r="Q47" s="4">
        <v>0.84039600000000003</v>
      </c>
      <c r="R47" s="4">
        <v>11189.114583</v>
      </c>
      <c r="S47" s="9">
        <v>9706.2479999999996</v>
      </c>
      <c r="T47" s="9">
        <v>2830.5039999999999</v>
      </c>
      <c r="U47" s="35">
        <v>16757.172917</v>
      </c>
      <c r="V47" s="35">
        <v>12536.752</v>
      </c>
      <c r="W47" s="35">
        <f t="shared" si="2"/>
        <v>-4220.4209169999995</v>
      </c>
      <c r="X47" s="32">
        <v>22.626086999999998</v>
      </c>
      <c r="Y47" s="7">
        <v>1507.4</v>
      </c>
      <c r="Z47" s="5">
        <v>0.78288000000000002</v>
      </c>
      <c r="AA47" s="29">
        <f t="shared" si="3"/>
        <v>0.32444646771688607</v>
      </c>
      <c r="AB47" s="30">
        <f t="shared" si="4"/>
        <v>0.64682431387398842</v>
      </c>
      <c r="AC47" s="30">
        <f t="shared" si="5"/>
        <v>0.46247851629146647</v>
      </c>
      <c r="AD47" s="2">
        <f t="shared" si="6"/>
        <v>0.29843283582089553</v>
      </c>
      <c r="AE47" s="2">
        <f t="shared" si="7"/>
        <v>0.54110161163522019</v>
      </c>
      <c r="AF47" s="2"/>
      <c r="AG47" s="5"/>
      <c r="AH47" s="5"/>
      <c r="AI47" s="110"/>
    </row>
    <row r="48" spans="1:43" x14ac:dyDescent="0.3">
      <c r="A48">
        <f>SUM(D$2:D48)/SUM(D$2:D$76)</f>
        <v>0.73053814426293395</v>
      </c>
      <c r="B48" s="3">
        <v>46</v>
      </c>
      <c r="C48" s="4">
        <v>46</v>
      </c>
      <c r="D48" s="4">
        <v>549</v>
      </c>
      <c r="E48" s="4">
        <v>11652.637522999999</v>
      </c>
      <c r="F48" s="4">
        <v>6874.4936250000001</v>
      </c>
      <c r="G48" s="4">
        <v>145</v>
      </c>
      <c r="H48" s="4">
        <v>158</v>
      </c>
      <c r="I48" s="4">
        <v>160</v>
      </c>
      <c r="J48" s="5">
        <f t="shared" si="0"/>
        <v>0.26411657559198543</v>
      </c>
      <c r="K48" s="5">
        <f t="shared" si="1"/>
        <v>0.28779599271402551</v>
      </c>
      <c r="L48" s="5">
        <f t="shared" si="8"/>
        <v>0.29143897996357016</v>
      </c>
      <c r="M48" s="4">
        <v>2929.251366</v>
      </c>
      <c r="N48" s="4">
        <v>12819.635700999999</v>
      </c>
      <c r="O48" s="4">
        <v>14564.280510000001</v>
      </c>
      <c r="P48" s="4">
        <v>12539.894353</v>
      </c>
      <c r="Q48" s="4">
        <v>0.86861600000000005</v>
      </c>
      <c r="R48" s="4">
        <v>12539.894353</v>
      </c>
      <c r="S48" s="9">
        <v>11402.987499999999</v>
      </c>
      <c r="T48" s="9">
        <v>2312.893082</v>
      </c>
      <c r="U48" s="35">
        <v>18527.131148</v>
      </c>
      <c r="V48" s="35">
        <v>13618.408804999999</v>
      </c>
      <c r="W48" s="35">
        <f t="shared" si="2"/>
        <v>-4908.7223430000013</v>
      </c>
      <c r="X48" s="32">
        <v>23.214765</v>
      </c>
      <c r="Y48" s="7">
        <v>1881.8993290000001</v>
      </c>
      <c r="Z48" s="5">
        <v>0.85587500000000005</v>
      </c>
      <c r="AA48" s="29">
        <f t="shared" si="3"/>
        <v>0.39845592270638558</v>
      </c>
      <c r="AB48" s="30">
        <f t="shared" si="4"/>
        <v>0.67540428276853859</v>
      </c>
      <c r="AC48" s="30">
        <f t="shared" si="5"/>
        <v>0.5023806404072636</v>
      </c>
      <c r="AD48" s="2">
        <f t="shared" si="6"/>
        <v>0.31958241578990298</v>
      </c>
      <c r="AE48" s="2">
        <f t="shared" si="7"/>
        <v>0.60556071072619178</v>
      </c>
      <c r="AF48" s="2"/>
      <c r="AG48" s="5"/>
      <c r="AH48" s="5"/>
      <c r="AI48" s="110"/>
    </row>
    <row r="49" spans="1:35" x14ac:dyDescent="0.3">
      <c r="A49">
        <f>SUM(D$2:D49)/SUM(D$2:D$76)</f>
        <v>0.74908252411418919</v>
      </c>
      <c r="B49" s="3">
        <v>47</v>
      </c>
      <c r="C49" s="4">
        <v>47</v>
      </c>
      <c r="D49" s="4">
        <v>571</v>
      </c>
      <c r="E49" s="4">
        <v>12289.690017999999</v>
      </c>
      <c r="F49" s="4">
        <v>5551.5709280000001</v>
      </c>
      <c r="G49" s="4">
        <v>157</v>
      </c>
      <c r="H49" s="4">
        <v>166</v>
      </c>
      <c r="I49" s="4">
        <v>148</v>
      </c>
      <c r="J49" s="5">
        <f t="shared" si="0"/>
        <v>0.27495621716287216</v>
      </c>
      <c r="K49" s="5">
        <f t="shared" si="1"/>
        <v>0.29071803852889666</v>
      </c>
      <c r="L49" s="5">
        <f t="shared" si="8"/>
        <v>0.25919439579684761</v>
      </c>
      <c r="M49" s="4">
        <v>2897.7513130000002</v>
      </c>
      <c r="N49" s="4">
        <v>12595.714535999999</v>
      </c>
      <c r="O49" s="4">
        <v>15235.866900000001</v>
      </c>
      <c r="P49" s="4">
        <v>12291.830123</v>
      </c>
      <c r="Q49" s="4">
        <v>0.84835400000000005</v>
      </c>
      <c r="R49" s="4">
        <v>12291.830123</v>
      </c>
      <c r="S49" s="9">
        <v>10015.202703000001</v>
      </c>
      <c r="T49" s="9">
        <v>2060.2465750000001</v>
      </c>
      <c r="U49" s="35">
        <v>17841.260945999999</v>
      </c>
      <c r="V49" s="35">
        <v>12109.219177999999</v>
      </c>
      <c r="W49" s="35">
        <f t="shared" si="2"/>
        <v>-5732.0417679999991</v>
      </c>
      <c r="X49" s="32">
        <v>22.371212</v>
      </c>
      <c r="Y49" s="7">
        <v>1526.681818</v>
      </c>
      <c r="Z49" s="5">
        <v>0.81304100000000001</v>
      </c>
      <c r="AA49" s="29">
        <f t="shared" si="3"/>
        <v>0.32177734641308731</v>
      </c>
      <c r="AB49" s="30">
        <f t="shared" si="4"/>
        <v>0.71232879729343646</v>
      </c>
      <c r="AC49" s="30">
        <f t="shared" si="5"/>
        <v>0.44670690772933935</v>
      </c>
      <c r="AD49" s="2">
        <f t="shared" si="6"/>
        <v>0.32282719502313301</v>
      </c>
      <c r="AE49" s="2">
        <f t="shared" si="7"/>
        <v>0.53856194032316684</v>
      </c>
      <c r="AF49" s="2"/>
      <c r="AG49" s="5"/>
      <c r="AH49" s="5"/>
      <c r="AI49" s="110"/>
    </row>
    <row r="50" spans="1:35" x14ac:dyDescent="0.3">
      <c r="A50">
        <f>SUM(D$2:D50)/SUM(D$2:D$76)</f>
        <v>0.76759442694293789</v>
      </c>
      <c r="B50" s="3">
        <v>48</v>
      </c>
      <c r="C50" s="4">
        <v>48</v>
      </c>
      <c r="D50" s="4">
        <v>570</v>
      </c>
      <c r="E50" s="4">
        <v>13500.005262999999</v>
      </c>
      <c r="F50" s="4">
        <v>4303.6701750000002</v>
      </c>
      <c r="G50" s="4">
        <v>139</v>
      </c>
      <c r="H50" s="4">
        <v>162</v>
      </c>
      <c r="I50" s="4">
        <v>129</v>
      </c>
      <c r="J50" s="5">
        <f t="shared" si="0"/>
        <v>0.24385964912280703</v>
      </c>
      <c r="K50" s="5">
        <f t="shared" si="1"/>
        <v>0.28421052631578947</v>
      </c>
      <c r="L50" s="5">
        <f t="shared" si="8"/>
        <v>0.22631578947368422</v>
      </c>
      <c r="M50" s="4">
        <v>3097.5087720000001</v>
      </c>
      <c r="N50" s="4">
        <v>12751.987719000001</v>
      </c>
      <c r="O50" s="4">
        <v>15860.140351</v>
      </c>
      <c r="P50" s="4">
        <v>12769.038596</v>
      </c>
      <c r="Q50" s="4">
        <v>0.85054399999999997</v>
      </c>
      <c r="R50" s="4">
        <v>12769.038596</v>
      </c>
      <c r="S50" s="9">
        <v>10816.310078</v>
      </c>
      <c r="T50" s="9">
        <v>1646.0930229999999</v>
      </c>
      <c r="U50" s="35">
        <v>17803.675438999999</v>
      </c>
      <c r="V50" s="35">
        <v>12462.403101</v>
      </c>
      <c r="W50" s="35">
        <f t="shared" si="2"/>
        <v>-5341.2723379999989</v>
      </c>
      <c r="X50" s="32">
        <v>22.778689</v>
      </c>
      <c r="Y50" s="7">
        <v>1607.540984</v>
      </c>
      <c r="Z50" s="5">
        <v>0.82666700000000004</v>
      </c>
      <c r="AA50" s="29">
        <f t="shared" si="3"/>
        <v>0.24944715409545193</v>
      </c>
      <c r="AB50" s="30">
        <f t="shared" si="4"/>
        <v>0.78248047740530502</v>
      </c>
      <c r="AC50" s="30">
        <f t="shared" si="5"/>
        <v>0.45973579883981519</v>
      </c>
      <c r="AD50" s="2">
        <f t="shared" si="6"/>
        <v>0.31560094265514532</v>
      </c>
      <c r="AE50" s="2">
        <f t="shared" si="7"/>
        <v>0.47024577954319763</v>
      </c>
      <c r="AF50" s="2"/>
      <c r="AG50" s="5"/>
      <c r="AH50" s="5"/>
      <c r="AI50" s="110"/>
    </row>
    <row r="51" spans="1:35" x14ac:dyDescent="0.3">
      <c r="A51">
        <f>SUM(D$2:D51)/SUM(D$2:D$76)</f>
        <v>0.78636614595173915</v>
      </c>
      <c r="B51" s="3">
        <v>49</v>
      </c>
      <c r="C51" s="4">
        <v>49</v>
      </c>
      <c r="D51" s="4">
        <v>578</v>
      </c>
      <c r="E51" s="4">
        <v>15153.775087</v>
      </c>
      <c r="F51" s="4">
        <v>3373.749135</v>
      </c>
      <c r="G51" s="4">
        <v>145</v>
      </c>
      <c r="H51" s="4">
        <v>181</v>
      </c>
      <c r="I51" s="4">
        <v>141</v>
      </c>
      <c r="J51" s="5">
        <f t="shared" si="0"/>
        <v>0.2508650519031142</v>
      </c>
      <c r="K51" s="5">
        <f t="shared" si="1"/>
        <v>0.31314878892733566</v>
      </c>
      <c r="L51" s="5">
        <f t="shared" si="8"/>
        <v>0.24394463667820068</v>
      </c>
      <c r="M51" s="4">
        <v>3230.4152250000002</v>
      </c>
      <c r="N51" s="4">
        <v>13897</v>
      </c>
      <c r="O51" s="4">
        <v>15864.792388</v>
      </c>
      <c r="P51" s="4">
        <v>13252.145329000001</v>
      </c>
      <c r="Q51" s="4">
        <v>0.86885800000000002</v>
      </c>
      <c r="R51" s="4">
        <v>13252.145329000001</v>
      </c>
      <c r="S51" s="9">
        <v>12167.943262000001</v>
      </c>
      <c r="T51" s="9">
        <v>1345.6571429999999</v>
      </c>
      <c r="U51" s="35">
        <v>18527.524221</v>
      </c>
      <c r="V51" s="35">
        <v>13569.614286</v>
      </c>
      <c r="W51" s="35">
        <f t="shared" si="2"/>
        <v>-4957.9099349999997</v>
      </c>
      <c r="X51" s="32">
        <v>23.284614999999999</v>
      </c>
      <c r="Y51" s="7">
        <v>1582.1692310000001</v>
      </c>
      <c r="Z51" s="5">
        <v>0.83907799999999999</v>
      </c>
      <c r="AA51" s="29">
        <f t="shared" si="3"/>
        <v>0.19554754108398714</v>
      </c>
      <c r="AB51" s="30">
        <f t="shared" si="4"/>
        <v>0.87833544754732729</v>
      </c>
      <c r="AC51" s="30">
        <f t="shared" si="5"/>
        <v>0.50058061941695642</v>
      </c>
      <c r="AD51" s="2">
        <f t="shared" si="6"/>
        <v>0.34773537158498169</v>
      </c>
      <c r="AE51" s="2">
        <f t="shared" si="7"/>
        <v>0.50687553045635569</v>
      </c>
      <c r="AF51" s="2"/>
      <c r="AG51" s="5"/>
      <c r="AH51" s="5"/>
      <c r="AI51" s="110"/>
    </row>
    <row r="52" spans="1:35" x14ac:dyDescent="0.3">
      <c r="A52">
        <f>SUM(D$2:D52)/SUM(D$2:D$76)</f>
        <v>0.80357896788022476</v>
      </c>
      <c r="B52" s="3">
        <v>50</v>
      </c>
      <c r="C52" s="4">
        <v>50</v>
      </c>
      <c r="D52" s="4">
        <v>530</v>
      </c>
      <c r="E52" s="4">
        <v>15217.949057</v>
      </c>
      <c r="F52" s="4">
        <v>3516.5169810000002</v>
      </c>
      <c r="G52" s="4">
        <v>136</v>
      </c>
      <c r="H52" s="4">
        <v>154</v>
      </c>
      <c r="I52" s="4">
        <v>122</v>
      </c>
      <c r="J52" s="5">
        <f t="shared" si="0"/>
        <v>0.25660377358490566</v>
      </c>
      <c r="K52" s="5">
        <f t="shared" si="1"/>
        <v>0.29056603773584905</v>
      </c>
      <c r="L52" s="5">
        <f t="shared" si="8"/>
        <v>0.23018867924528302</v>
      </c>
      <c r="M52" s="4">
        <v>3223.2188679999999</v>
      </c>
      <c r="N52" s="4">
        <v>13911.775471999999</v>
      </c>
      <c r="O52" s="4">
        <v>15887.849056999999</v>
      </c>
      <c r="P52" s="4">
        <v>13437.666037999999</v>
      </c>
      <c r="Q52" s="4">
        <v>0.86618899999999999</v>
      </c>
      <c r="R52" s="4">
        <v>13437.666037999999</v>
      </c>
      <c r="S52" s="9">
        <v>11328.016393</v>
      </c>
      <c r="T52" s="9">
        <v>1358.3109240000001</v>
      </c>
      <c r="U52" s="35">
        <v>18734.466037999999</v>
      </c>
      <c r="V52" s="35">
        <v>12756.798319</v>
      </c>
      <c r="W52" s="35">
        <f t="shared" si="2"/>
        <v>-5977.6677189999991</v>
      </c>
      <c r="X52" s="32">
        <v>20.672414</v>
      </c>
      <c r="Y52" s="7">
        <v>1519.8103450000001</v>
      </c>
      <c r="Z52" s="5">
        <v>0.86385199999999995</v>
      </c>
      <c r="AA52" s="29">
        <f t="shared" si="3"/>
        <v>0.20382257876877855</v>
      </c>
      <c r="AB52" s="30">
        <f t="shared" si="4"/>
        <v>0.88205506674038192</v>
      </c>
      <c r="AC52" s="30">
        <f t="shared" si="5"/>
        <v>0.47059598524407226</v>
      </c>
      <c r="AD52" s="2">
        <f t="shared" si="6"/>
        <v>0.32265840608279356</v>
      </c>
      <c r="AE52" s="2">
        <f t="shared" si="7"/>
        <v>0.47829298682805271</v>
      </c>
      <c r="AF52" s="2"/>
      <c r="AG52" s="5"/>
      <c r="AH52" s="5"/>
      <c r="AI52" s="110"/>
    </row>
    <row r="53" spans="1:35" x14ac:dyDescent="0.3">
      <c r="A53">
        <f>SUM(D$2:D53)/SUM(D$2:D$76)</f>
        <v>0.81660225390536201</v>
      </c>
      <c r="B53" s="3">
        <v>51</v>
      </c>
      <c r="C53" s="4">
        <v>51</v>
      </c>
      <c r="D53" s="4">
        <v>401</v>
      </c>
      <c r="E53" s="4">
        <v>15313.842892999999</v>
      </c>
      <c r="F53" s="4">
        <v>2907.157107</v>
      </c>
      <c r="G53" s="4">
        <v>97</v>
      </c>
      <c r="H53" s="4">
        <v>120</v>
      </c>
      <c r="I53" s="4">
        <v>89</v>
      </c>
      <c r="J53" s="5">
        <f t="shared" si="0"/>
        <v>0.24189526184538654</v>
      </c>
      <c r="K53" s="5">
        <f t="shared" si="1"/>
        <v>0.29925187032418954</v>
      </c>
      <c r="L53" s="5">
        <f t="shared" si="8"/>
        <v>0.22194513715710723</v>
      </c>
      <c r="M53" s="4">
        <v>3255.3890270000002</v>
      </c>
      <c r="N53" s="4">
        <v>14025.521197</v>
      </c>
      <c r="O53" s="4">
        <v>16155.860349</v>
      </c>
      <c r="P53" s="4">
        <v>13555.835411</v>
      </c>
      <c r="Q53" s="4">
        <v>0.86296799999999996</v>
      </c>
      <c r="R53" s="4">
        <v>13555.835411</v>
      </c>
      <c r="S53" s="9">
        <v>10247.314607</v>
      </c>
      <c r="T53" s="9">
        <v>1269.090909</v>
      </c>
      <c r="U53" s="35">
        <v>18221</v>
      </c>
      <c r="V53" s="35">
        <v>11502.477273</v>
      </c>
      <c r="W53" s="35">
        <f t="shared" si="2"/>
        <v>-6718.5227269999996</v>
      </c>
      <c r="X53" s="32">
        <v>18.976471</v>
      </c>
      <c r="Y53" s="7">
        <v>1264.8117649999999</v>
      </c>
      <c r="Z53" s="5">
        <v>0.81988799999999995</v>
      </c>
      <c r="AA53" s="29">
        <f t="shared" si="3"/>
        <v>0.16850316993669645</v>
      </c>
      <c r="AB53" s="30">
        <f t="shared" si="4"/>
        <v>0.88761321676415683</v>
      </c>
      <c r="AC53" s="30">
        <f t="shared" si="5"/>
        <v>0.42432430847266928</v>
      </c>
      <c r="AD53" s="2">
        <f t="shared" si="6"/>
        <v>0.33230356943462241</v>
      </c>
      <c r="AE53" s="2">
        <f t="shared" si="7"/>
        <v>0.46116430621559312</v>
      </c>
      <c r="AF53" s="2"/>
      <c r="AG53" s="5"/>
      <c r="AH53" s="5"/>
      <c r="AI53" s="110"/>
    </row>
    <row r="54" spans="1:35" x14ac:dyDescent="0.3">
      <c r="A54">
        <f>SUM(D$2:D54)/SUM(D$2:D$76)</f>
        <v>0.82878113734532821</v>
      </c>
      <c r="B54" s="3">
        <v>52</v>
      </c>
      <c r="C54" s="4">
        <v>52</v>
      </c>
      <c r="D54" s="4">
        <v>375</v>
      </c>
      <c r="E54" s="4">
        <v>14332.04</v>
      </c>
      <c r="F54" s="4">
        <v>3485.8986669999999</v>
      </c>
      <c r="G54" s="4">
        <v>106</v>
      </c>
      <c r="H54" s="4">
        <v>103</v>
      </c>
      <c r="I54" s="4">
        <v>70</v>
      </c>
      <c r="J54" s="5">
        <f t="shared" si="0"/>
        <v>0.28266666666666668</v>
      </c>
      <c r="K54" s="5">
        <f t="shared" si="1"/>
        <v>0.27466666666666667</v>
      </c>
      <c r="L54" s="5">
        <f t="shared" si="8"/>
        <v>0.18666666666666668</v>
      </c>
      <c r="M54" s="4">
        <v>3221.146667</v>
      </c>
      <c r="N54" s="4">
        <v>13057.234667000001</v>
      </c>
      <c r="O54" s="4">
        <v>15267.146667000001</v>
      </c>
      <c r="P54" s="4">
        <v>12678.133333</v>
      </c>
      <c r="Q54" s="4">
        <v>0.85410699999999995</v>
      </c>
      <c r="R54" s="4">
        <v>12678.133333</v>
      </c>
      <c r="S54" s="9">
        <v>10044.200000000001</v>
      </c>
      <c r="T54" s="9">
        <v>2276.3142859999998</v>
      </c>
      <c r="U54" s="35">
        <v>17817.938666999999</v>
      </c>
      <c r="V54" s="35">
        <v>12320.514286</v>
      </c>
      <c r="W54" s="35">
        <f t="shared" si="2"/>
        <v>-5497.4243809999989</v>
      </c>
      <c r="X54" s="32">
        <v>18.566666999999999</v>
      </c>
      <c r="Y54" s="7">
        <v>1308.4000000000001</v>
      </c>
      <c r="Z54" s="5">
        <v>0.73271399999999998</v>
      </c>
      <c r="AA54" s="29">
        <f t="shared" si="3"/>
        <v>0.20204789553797053</v>
      </c>
      <c r="AB54" s="30">
        <f t="shared" si="4"/>
        <v>0.83070645402843424</v>
      </c>
      <c r="AC54" s="30">
        <f t="shared" si="5"/>
        <v>0.454501546089218</v>
      </c>
      <c r="AD54" s="2">
        <f t="shared" si="6"/>
        <v>0.30500298507462686</v>
      </c>
      <c r="AE54" s="2">
        <f t="shared" si="7"/>
        <v>0.38786163522012579</v>
      </c>
      <c r="AF54" s="2"/>
      <c r="AG54" s="5"/>
      <c r="AH54" s="5"/>
      <c r="AI54" s="110"/>
    </row>
    <row r="55" spans="1:35" x14ac:dyDescent="0.3">
      <c r="A55">
        <f>SUM(D$2:D55)/SUM(D$2:D$76)</f>
        <v>0.84037543438017603</v>
      </c>
      <c r="B55" s="3">
        <v>53</v>
      </c>
      <c r="C55" s="4">
        <v>53</v>
      </c>
      <c r="D55" s="4">
        <v>357</v>
      </c>
      <c r="E55" s="4">
        <v>14113.204481999999</v>
      </c>
      <c r="F55" s="4">
        <v>3192.8711480000002</v>
      </c>
      <c r="G55" s="4">
        <v>99</v>
      </c>
      <c r="H55" s="4">
        <v>98</v>
      </c>
      <c r="I55" s="4">
        <v>60</v>
      </c>
      <c r="J55" s="5">
        <f t="shared" si="0"/>
        <v>0.27731092436974791</v>
      </c>
      <c r="K55" s="5">
        <f t="shared" si="1"/>
        <v>0.27450980392156865</v>
      </c>
      <c r="L55" s="5">
        <f t="shared" si="8"/>
        <v>0.16806722689075632</v>
      </c>
      <c r="M55" s="4">
        <v>3479.6414570000002</v>
      </c>
      <c r="N55" s="4">
        <v>12096.05042</v>
      </c>
      <c r="O55" s="4">
        <v>15547.619048</v>
      </c>
      <c r="P55" s="4">
        <v>12745.551820999999</v>
      </c>
      <c r="Q55" s="4">
        <v>0.861232</v>
      </c>
      <c r="R55" s="4">
        <v>12745.551820999999</v>
      </c>
      <c r="S55" s="9">
        <v>11728.683333000001</v>
      </c>
      <c r="T55" s="9">
        <v>1431.59322</v>
      </c>
      <c r="U55" s="35">
        <v>17306.075629999999</v>
      </c>
      <c r="V55" s="35">
        <v>13295.694915</v>
      </c>
      <c r="W55" s="35">
        <f t="shared" si="2"/>
        <v>-4010.3807149999993</v>
      </c>
      <c r="X55" s="32">
        <v>23.719297999999998</v>
      </c>
      <c r="Y55" s="7">
        <v>2952.421053</v>
      </c>
      <c r="Z55" s="5">
        <v>0.84483299999999995</v>
      </c>
      <c r="AA55" s="29">
        <f t="shared" si="3"/>
        <v>0.18506358268081696</v>
      </c>
      <c r="AB55" s="30">
        <f t="shared" si="4"/>
        <v>0.81802242041052242</v>
      </c>
      <c r="AC55" s="30">
        <f t="shared" si="5"/>
        <v>0.49047578330920122</v>
      </c>
      <c r="AD55" s="2">
        <f t="shared" si="6"/>
        <v>0.30482879719051803</v>
      </c>
      <c r="AE55" s="2">
        <f t="shared" si="7"/>
        <v>0.34921515776121775</v>
      </c>
      <c r="AF55" s="2"/>
      <c r="AG55" s="5"/>
      <c r="AH55" s="5"/>
      <c r="AI55" s="110"/>
    </row>
    <row r="56" spans="1:35" x14ac:dyDescent="0.3">
      <c r="A56">
        <f>SUM(D$2:D56)/SUM(D$2:D$76)</f>
        <v>0.85005358708713585</v>
      </c>
      <c r="B56" s="3">
        <v>54</v>
      </c>
      <c r="C56" s="4">
        <v>54</v>
      </c>
      <c r="D56" s="4">
        <v>298</v>
      </c>
      <c r="E56" s="4">
        <v>15789.926174</v>
      </c>
      <c r="F56" s="4">
        <v>2934.3456379999998</v>
      </c>
      <c r="G56" s="4">
        <v>89</v>
      </c>
      <c r="H56" s="4">
        <v>80</v>
      </c>
      <c r="I56" s="4">
        <v>48</v>
      </c>
      <c r="J56" s="5">
        <f t="shared" si="0"/>
        <v>0.29865771812080538</v>
      </c>
      <c r="K56" s="5">
        <f t="shared" si="1"/>
        <v>0.26845637583892618</v>
      </c>
      <c r="L56" s="5">
        <f t="shared" si="8"/>
        <v>0.16107382550335569</v>
      </c>
      <c r="M56" s="4">
        <v>3388.295302</v>
      </c>
      <c r="N56" s="4">
        <v>13702.90604</v>
      </c>
      <c r="O56" s="4">
        <v>16334.261745</v>
      </c>
      <c r="P56" s="4">
        <v>13763.486577</v>
      </c>
      <c r="Q56" s="4">
        <v>0.861711</v>
      </c>
      <c r="R56" s="4">
        <v>13763.486577</v>
      </c>
      <c r="S56" s="9">
        <v>12009.333333</v>
      </c>
      <c r="T56" s="9">
        <v>1431.479167</v>
      </c>
      <c r="U56" s="35">
        <v>18724.271811999999</v>
      </c>
      <c r="V56" s="35">
        <v>13440.8125</v>
      </c>
      <c r="W56" s="35">
        <f t="shared" si="2"/>
        <v>-5283.459311999999</v>
      </c>
      <c r="X56" s="32">
        <v>19.826087000000001</v>
      </c>
      <c r="Y56" s="7">
        <v>1292.5</v>
      </c>
      <c r="Z56" s="5">
        <v>0.78854199999999997</v>
      </c>
      <c r="AA56" s="29">
        <f t="shared" si="3"/>
        <v>0.17007905781987653</v>
      </c>
      <c r="AB56" s="30">
        <f t="shared" si="4"/>
        <v>0.91520771511761767</v>
      </c>
      <c r="AC56" s="30">
        <f t="shared" si="5"/>
        <v>0.49582914480176332</v>
      </c>
      <c r="AD56" s="2">
        <f t="shared" si="6"/>
        <v>0.29810678152859865</v>
      </c>
      <c r="AE56" s="2">
        <f t="shared" si="7"/>
        <v>0.3346840572369254</v>
      </c>
      <c r="AF56" s="2"/>
      <c r="AG56" s="5"/>
      <c r="AH56" s="5"/>
      <c r="AI56" s="110"/>
    </row>
    <row r="57" spans="1:35" x14ac:dyDescent="0.3">
      <c r="A57">
        <f>SUM(D$2:D57)/SUM(D$2:D$76)</f>
        <v>0.86129063687441132</v>
      </c>
      <c r="B57" s="3">
        <v>55</v>
      </c>
      <c r="C57" s="4">
        <v>55</v>
      </c>
      <c r="D57" s="4">
        <v>346</v>
      </c>
      <c r="E57" s="4">
        <v>15106.052023</v>
      </c>
      <c r="F57" s="4">
        <v>3506.4046239999998</v>
      </c>
      <c r="G57" s="4">
        <v>110</v>
      </c>
      <c r="H57" s="4">
        <v>102</v>
      </c>
      <c r="I57" s="4">
        <v>58</v>
      </c>
      <c r="J57" s="5">
        <f t="shared" si="0"/>
        <v>0.31791907514450868</v>
      </c>
      <c r="K57" s="5">
        <f t="shared" si="1"/>
        <v>0.2947976878612717</v>
      </c>
      <c r="L57" s="5">
        <f t="shared" si="8"/>
        <v>0.16763005780346821</v>
      </c>
      <c r="M57" s="4">
        <v>3672.2601159999999</v>
      </c>
      <c r="N57" s="4">
        <v>13082.624277000001</v>
      </c>
      <c r="O57" s="4">
        <v>16671.907513999999</v>
      </c>
      <c r="P57" s="4">
        <v>13430.589594999999</v>
      </c>
      <c r="Q57" s="4">
        <v>0.84592500000000004</v>
      </c>
      <c r="R57" s="4">
        <v>13430.589594999999</v>
      </c>
      <c r="S57" s="9">
        <v>10363.189655</v>
      </c>
      <c r="T57" s="9">
        <v>1823.568966</v>
      </c>
      <c r="U57" s="35">
        <v>18612.456646999999</v>
      </c>
      <c r="V57" s="35">
        <v>12186.758621000001</v>
      </c>
      <c r="W57" s="35">
        <f t="shared" si="2"/>
        <v>-6425.6980259999982</v>
      </c>
      <c r="X57" s="32">
        <v>22.111111000000001</v>
      </c>
      <c r="Y57" s="7">
        <v>1512.314815</v>
      </c>
      <c r="Z57" s="5">
        <v>0.72551699999999997</v>
      </c>
      <c r="AA57" s="29">
        <f t="shared" si="3"/>
        <v>0.20323645144668484</v>
      </c>
      <c r="AB57" s="30">
        <f t="shared" si="4"/>
        <v>0.87556934744777326</v>
      </c>
      <c r="AC57" s="30">
        <f t="shared" si="5"/>
        <v>0.44956732377272185</v>
      </c>
      <c r="AD57" s="2">
        <f t="shared" si="6"/>
        <v>0.32735743249072558</v>
      </c>
      <c r="AE57" s="2">
        <f t="shared" si="7"/>
        <v>0.34830679463409314</v>
      </c>
      <c r="AF57" s="2"/>
      <c r="AG57" s="5"/>
      <c r="AH57" s="5"/>
      <c r="AI57" s="110"/>
    </row>
    <row r="58" spans="1:35" x14ac:dyDescent="0.3">
      <c r="A58">
        <f>SUM(D$2:D58)/SUM(D$2:D$76)</f>
        <v>0.87226787048163423</v>
      </c>
      <c r="B58" s="3">
        <v>56</v>
      </c>
      <c r="C58" s="4">
        <v>56</v>
      </c>
      <c r="D58" s="4">
        <v>338</v>
      </c>
      <c r="E58" s="4">
        <v>14793.278107</v>
      </c>
      <c r="F58" s="4">
        <v>2796.1952660000002</v>
      </c>
      <c r="G58" s="4">
        <v>96</v>
      </c>
      <c r="H58" s="4">
        <v>85</v>
      </c>
      <c r="I58" s="4">
        <v>60</v>
      </c>
      <c r="J58" s="5">
        <f t="shared" si="0"/>
        <v>0.28402366863905326</v>
      </c>
      <c r="K58" s="5">
        <f t="shared" si="1"/>
        <v>0.25147928994082841</v>
      </c>
      <c r="L58" s="5">
        <f t="shared" si="8"/>
        <v>0.17751479289940827</v>
      </c>
      <c r="M58" s="4">
        <v>3585.1153850000001</v>
      </c>
      <c r="N58" s="4">
        <v>12508.650888</v>
      </c>
      <c r="O58" s="4">
        <v>15447.899407999999</v>
      </c>
      <c r="P58" s="4">
        <v>12602.349112</v>
      </c>
      <c r="Q58" s="4">
        <v>0.844024</v>
      </c>
      <c r="R58" s="4">
        <v>12602.349112</v>
      </c>
      <c r="S58" s="9">
        <v>11284.7</v>
      </c>
      <c r="T58" s="9">
        <v>2033.866667</v>
      </c>
      <c r="U58" s="35">
        <v>17589.473373000001</v>
      </c>
      <c r="V58" s="35">
        <v>13318.566666999999</v>
      </c>
      <c r="W58" s="35">
        <f t="shared" si="2"/>
        <v>-4270.9067060000016</v>
      </c>
      <c r="X58" s="32">
        <v>18.72</v>
      </c>
      <c r="Y58" s="7">
        <v>1782.96</v>
      </c>
      <c r="Z58" s="5">
        <v>0.78933299999999995</v>
      </c>
      <c r="AA58" s="29">
        <f t="shared" si="3"/>
        <v>0.16207165582777849</v>
      </c>
      <c r="AB58" s="30">
        <f t="shared" si="4"/>
        <v>0.85744050391447668</v>
      </c>
      <c r="AC58" s="30">
        <f t="shared" si="5"/>
        <v>0.49131951810829005</v>
      </c>
      <c r="AD58" s="2">
        <f t="shared" si="6"/>
        <v>0.27925461450145722</v>
      </c>
      <c r="AE58" s="2">
        <f t="shared" si="7"/>
        <v>0.36884559562353464</v>
      </c>
      <c r="AF58" s="2"/>
      <c r="AG58" s="5"/>
      <c r="AH58" s="5"/>
      <c r="AI58" s="110"/>
    </row>
    <row r="59" spans="1:35" x14ac:dyDescent="0.3">
      <c r="A59">
        <f>SUM(D$2:D59)/SUM(D$2:D$76)</f>
        <v>0.8816862070085415</v>
      </c>
      <c r="B59" s="3">
        <v>57</v>
      </c>
      <c r="C59" s="4">
        <v>57</v>
      </c>
      <c r="D59" s="4">
        <v>290</v>
      </c>
      <c r="E59" s="4">
        <v>15400.396552</v>
      </c>
      <c r="F59" s="4">
        <v>3098.8620689999998</v>
      </c>
      <c r="G59" s="4">
        <v>87</v>
      </c>
      <c r="H59" s="4">
        <v>66</v>
      </c>
      <c r="I59" s="4">
        <v>55</v>
      </c>
      <c r="J59" s="5">
        <f t="shared" si="0"/>
        <v>0.3</v>
      </c>
      <c r="K59" s="5">
        <f t="shared" si="1"/>
        <v>0.22758620689655173</v>
      </c>
      <c r="L59" s="5">
        <f t="shared" si="8"/>
        <v>0.18965517241379309</v>
      </c>
      <c r="M59" s="4">
        <v>3530.1344829999998</v>
      </c>
      <c r="N59" s="4">
        <v>13303.086207</v>
      </c>
      <c r="O59" s="4">
        <v>15775.62069</v>
      </c>
      <c r="P59" s="4">
        <v>13215.617241</v>
      </c>
      <c r="Q59" s="4">
        <v>0.86720699999999995</v>
      </c>
      <c r="R59" s="4">
        <v>13215.617241</v>
      </c>
      <c r="S59" s="9">
        <v>11647.109091</v>
      </c>
      <c r="T59" s="9">
        <v>2285.8363639999998</v>
      </c>
      <c r="U59" s="35">
        <v>18499.258621000001</v>
      </c>
      <c r="V59" s="35">
        <v>13932.945454999999</v>
      </c>
      <c r="W59" s="35">
        <f t="shared" si="2"/>
        <v>-4566.3131660000017</v>
      </c>
      <c r="X59" s="32">
        <v>22.686274999999998</v>
      </c>
      <c r="Y59" s="7">
        <v>1726</v>
      </c>
      <c r="Z59" s="5">
        <v>0.8</v>
      </c>
      <c r="AA59" s="29">
        <f t="shared" si="3"/>
        <v>0.17961467598905714</v>
      </c>
      <c r="AB59" s="30">
        <f t="shared" si="4"/>
        <v>0.89262999617246697</v>
      </c>
      <c r="AC59" s="30">
        <f t="shared" si="5"/>
        <v>0.51398384059909064</v>
      </c>
      <c r="AD59" s="2">
        <f t="shared" si="6"/>
        <v>0.25272259392691715</v>
      </c>
      <c r="AE59" s="2">
        <f t="shared" si="7"/>
        <v>0.3940712426805465</v>
      </c>
      <c r="AF59" s="2"/>
      <c r="AG59" s="5"/>
      <c r="AH59" s="5"/>
      <c r="AI59" s="110"/>
    </row>
    <row r="60" spans="1:35" x14ac:dyDescent="0.3">
      <c r="A60">
        <f>SUM(D$2:D60)/SUM(D$2:D$76)</f>
        <v>0.89120197460296835</v>
      </c>
      <c r="B60" s="3">
        <v>58</v>
      </c>
      <c r="C60" s="4">
        <v>58</v>
      </c>
      <c r="D60" s="4">
        <v>293</v>
      </c>
      <c r="E60" s="4">
        <v>15326.532423000001</v>
      </c>
      <c r="F60" s="4">
        <v>2913.2013649999999</v>
      </c>
      <c r="G60" s="4">
        <v>81</v>
      </c>
      <c r="H60" s="4">
        <v>64</v>
      </c>
      <c r="I60" s="4">
        <v>61</v>
      </c>
      <c r="J60" s="5">
        <f t="shared" si="0"/>
        <v>0.2764505119453925</v>
      </c>
      <c r="K60" s="5">
        <f t="shared" si="1"/>
        <v>0.21843003412969283</v>
      </c>
      <c r="L60" s="5">
        <f t="shared" si="8"/>
        <v>0.20819112627986347</v>
      </c>
      <c r="M60" s="4">
        <v>3652.733788</v>
      </c>
      <c r="N60" s="4">
        <v>13456.96587</v>
      </c>
      <c r="O60" s="4">
        <v>15441.569965999999</v>
      </c>
      <c r="P60" s="4">
        <v>13217.440273</v>
      </c>
      <c r="Q60" s="4">
        <v>0.88416399999999995</v>
      </c>
      <c r="R60" s="4">
        <v>13217.440273</v>
      </c>
      <c r="S60" s="9">
        <v>10884.213115</v>
      </c>
      <c r="T60" s="9">
        <v>1626.0983610000001</v>
      </c>
      <c r="U60" s="35">
        <v>18239.733788000001</v>
      </c>
      <c r="V60" s="35">
        <v>12510.311475</v>
      </c>
      <c r="W60" s="35">
        <f t="shared" si="2"/>
        <v>-5729.4223130000009</v>
      </c>
      <c r="X60" s="32">
        <v>20.137930999999998</v>
      </c>
      <c r="Y60" s="7">
        <v>1265.87931</v>
      </c>
      <c r="Z60" s="5">
        <v>0.84573799999999999</v>
      </c>
      <c r="AA60" s="29">
        <f t="shared" si="3"/>
        <v>0.16885350416199954</v>
      </c>
      <c r="AB60" s="30">
        <f t="shared" si="4"/>
        <v>0.88834872088426742</v>
      </c>
      <c r="AC60" s="30">
        <f t="shared" si="5"/>
        <v>0.46150313010117033</v>
      </c>
      <c r="AD60" s="2">
        <f t="shared" si="6"/>
        <v>0.24255514237685294</v>
      </c>
      <c r="AE60" s="2">
        <f t="shared" si="7"/>
        <v>0.43258580719943329</v>
      </c>
      <c r="AF60" s="2"/>
      <c r="AG60" s="5"/>
      <c r="AH60" s="5"/>
      <c r="AI60" s="110"/>
    </row>
    <row r="61" spans="1:35" x14ac:dyDescent="0.3">
      <c r="A61">
        <f>SUM(D$2:D61)/SUM(D$2:D$76)</f>
        <v>0.89876912084700078</v>
      </c>
      <c r="B61" s="3">
        <v>59</v>
      </c>
      <c r="C61" s="4">
        <v>59</v>
      </c>
      <c r="D61" s="4">
        <v>233</v>
      </c>
      <c r="E61" s="4">
        <v>14253.399142</v>
      </c>
      <c r="F61" s="4">
        <v>3180.5150210000002</v>
      </c>
      <c r="G61" s="4">
        <v>62</v>
      </c>
      <c r="H61" s="4">
        <v>55</v>
      </c>
      <c r="I61" s="4">
        <v>45</v>
      </c>
      <c r="J61" s="5">
        <f t="shared" si="0"/>
        <v>0.26609442060085836</v>
      </c>
      <c r="K61" s="5">
        <f t="shared" si="1"/>
        <v>0.23605150214592274</v>
      </c>
      <c r="L61" s="5">
        <f t="shared" si="8"/>
        <v>0.19313304721030042</v>
      </c>
      <c r="M61" s="4">
        <v>3754.0386269999999</v>
      </c>
      <c r="N61" s="4">
        <v>12489.416309</v>
      </c>
      <c r="O61" s="4">
        <v>15266.952789999999</v>
      </c>
      <c r="P61" s="4">
        <v>12611.034335</v>
      </c>
      <c r="Q61" s="4">
        <v>0.86102999999999996</v>
      </c>
      <c r="R61" s="4">
        <v>12611.034335</v>
      </c>
      <c r="S61" s="9">
        <v>11461.955556000001</v>
      </c>
      <c r="T61" s="9">
        <v>740.71111099999996</v>
      </c>
      <c r="U61" s="35">
        <v>17433.914163000001</v>
      </c>
      <c r="V61" s="35">
        <v>12202.666667</v>
      </c>
      <c r="W61" s="35">
        <f t="shared" si="2"/>
        <v>-5231.2474960000018</v>
      </c>
      <c r="X61" s="32">
        <v>17.674419</v>
      </c>
      <c r="Y61" s="7">
        <v>1413.6744189999999</v>
      </c>
      <c r="Z61" s="5">
        <v>0.77688900000000005</v>
      </c>
      <c r="AA61" s="29">
        <f t="shared" si="3"/>
        <v>0.18434740309677344</v>
      </c>
      <c r="AB61" s="30">
        <f t="shared" si="4"/>
        <v>0.82614831238977471</v>
      </c>
      <c r="AC61" s="30">
        <f t="shared" si="5"/>
        <v>0.45015416871558872</v>
      </c>
      <c r="AD61" s="2">
        <f t="shared" si="6"/>
        <v>0.26212286208442764</v>
      </c>
      <c r="AE61" s="2">
        <f t="shared" si="7"/>
        <v>0.40129767592517612</v>
      </c>
      <c r="AF61" s="2"/>
      <c r="AG61" s="5"/>
      <c r="AH61" s="5"/>
      <c r="AI61" s="110"/>
    </row>
    <row r="62" spans="1:35" x14ac:dyDescent="0.3">
      <c r="A62">
        <f>SUM(D$2:D62)/SUM(D$2:D$76)</f>
        <v>0.90692085349615148</v>
      </c>
      <c r="B62" s="3">
        <v>60</v>
      </c>
      <c r="C62" s="4">
        <v>60</v>
      </c>
      <c r="D62" s="4">
        <v>251</v>
      </c>
      <c r="E62" s="4">
        <v>14835.760956</v>
      </c>
      <c r="F62" s="4">
        <v>3123.350598</v>
      </c>
      <c r="G62" s="4">
        <v>73</v>
      </c>
      <c r="H62" s="4">
        <v>52</v>
      </c>
      <c r="I62" s="4">
        <v>54</v>
      </c>
      <c r="J62" s="5">
        <f t="shared" si="0"/>
        <v>0.2908366533864542</v>
      </c>
      <c r="K62" s="5">
        <f t="shared" si="1"/>
        <v>0.20717131474103587</v>
      </c>
      <c r="L62" s="5">
        <f t="shared" si="8"/>
        <v>0.2151394422310757</v>
      </c>
      <c r="M62" s="4">
        <v>3688.4143429999999</v>
      </c>
      <c r="N62" s="4">
        <v>12756.123506</v>
      </c>
      <c r="O62" s="4">
        <v>15169.043825000001</v>
      </c>
      <c r="P62" s="4">
        <v>12317.764939999999</v>
      </c>
      <c r="Q62" s="4">
        <v>0.85589599999999999</v>
      </c>
      <c r="R62" s="4">
        <v>12317.764939999999</v>
      </c>
      <c r="S62" s="9">
        <v>9768.1296299999995</v>
      </c>
      <c r="T62" s="9">
        <v>2384.7547169999998</v>
      </c>
      <c r="U62" s="35">
        <v>17959.111553999999</v>
      </c>
      <c r="V62" s="35">
        <v>11640.169811</v>
      </c>
      <c r="W62" s="35">
        <f t="shared" si="2"/>
        <v>-6318.9417429999994</v>
      </c>
      <c r="X62" s="32">
        <v>19.102041</v>
      </c>
      <c r="Y62" s="7">
        <v>1266.6734690000001</v>
      </c>
      <c r="Z62" s="5">
        <v>0.79277799999999998</v>
      </c>
      <c r="AA62" s="29">
        <f t="shared" si="3"/>
        <v>0.18103406772184347</v>
      </c>
      <c r="AB62" s="30">
        <f t="shared" si="4"/>
        <v>0.85990287332244764</v>
      </c>
      <c r="AC62" s="30">
        <f t="shared" si="5"/>
        <v>0.42940376132286889</v>
      </c>
      <c r="AD62" s="2">
        <f t="shared" si="6"/>
        <v>0.23005292263780699</v>
      </c>
      <c r="AE62" s="2">
        <f t="shared" si="7"/>
        <v>0.44702322784334364</v>
      </c>
      <c r="AF62" s="2"/>
      <c r="AG62" s="5"/>
      <c r="AH62" s="5"/>
      <c r="AI62" s="110"/>
    </row>
    <row r="63" spans="1:35" x14ac:dyDescent="0.3">
      <c r="A63">
        <f>SUM(D$2:D63)/SUM(D$2:D$76)</f>
        <v>0.91624175895553894</v>
      </c>
      <c r="B63" s="3">
        <v>61</v>
      </c>
      <c r="C63" s="4">
        <v>61</v>
      </c>
      <c r="D63" s="4">
        <v>287</v>
      </c>
      <c r="E63" s="4">
        <v>14162.020906</v>
      </c>
      <c r="F63" s="4">
        <v>3122.236934</v>
      </c>
      <c r="G63" s="4">
        <v>77</v>
      </c>
      <c r="H63" s="4">
        <v>58</v>
      </c>
      <c r="I63" s="4">
        <v>53</v>
      </c>
      <c r="J63" s="5">
        <f t="shared" si="0"/>
        <v>0.26829268292682928</v>
      </c>
      <c r="K63" s="5">
        <f t="shared" si="1"/>
        <v>0.20209059233449478</v>
      </c>
      <c r="L63" s="5">
        <f t="shared" si="8"/>
        <v>0.18466898954703834</v>
      </c>
      <c r="M63" s="4">
        <v>3981.7421599999998</v>
      </c>
      <c r="N63" s="4">
        <v>11643.184669</v>
      </c>
      <c r="O63" s="4">
        <v>14169.581882</v>
      </c>
      <c r="P63" s="4">
        <v>11899.857142999999</v>
      </c>
      <c r="Q63" s="4">
        <v>0.86118499999999998</v>
      </c>
      <c r="R63" s="4">
        <v>11899.857142999999</v>
      </c>
      <c r="S63" s="9">
        <v>11697.849056999999</v>
      </c>
      <c r="T63" s="9">
        <v>2626.5294119999999</v>
      </c>
      <c r="U63" s="35">
        <v>17284.257839999998</v>
      </c>
      <c r="V63" s="35">
        <v>14450.196078000001</v>
      </c>
      <c r="W63" s="35">
        <f t="shared" si="2"/>
        <v>-2834.0617619999975</v>
      </c>
      <c r="X63" s="32">
        <v>15.64</v>
      </c>
      <c r="Y63" s="7">
        <v>1108.6199999999999</v>
      </c>
      <c r="Z63" s="5">
        <v>0.88264200000000004</v>
      </c>
      <c r="AA63" s="29">
        <f t="shared" si="3"/>
        <v>0.18096951809231276</v>
      </c>
      <c r="AB63" s="30">
        <f t="shared" si="4"/>
        <v>0.82085189328942787</v>
      </c>
      <c r="AC63" s="30">
        <f t="shared" si="5"/>
        <v>0.53306512263098194</v>
      </c>
      <c r="AD63" s="2">
        <f t="shared" si="6"/>
        <v>0.2244110458162151</v>
      </c>
      <c r="AE63" s="2">
        <f t="shared" si="7"/>
        <v>0.38371080139372826</v>
      </c>
      <c r="AF63" s="2"/>
      <c r="AG63" s="5"/>
      <c r="AH63" s="5"/>
      <c r="AI63" s="110"/>
    </row>
    <row r="64" spans="1:35" x14ac:dyDescent="0.3">
      <c r="A64">
        <f>SUM(D$2:D64)/SUM(D$2:D$76)</f>
        <v>0.92569257250495274</v>
      </c>
      <c r="B64" s="3">
        <v>62</v>
      </c>
      <c r="C64" s="4">
        <v>62</v>
      </c>
      <c r="D64" s="4">
        <v>291</v>
      </c>
      <c r="E64" s="4">
        <v>14484.268040999999</v>
      </c>
      <c r="F64" s="4">
        <v>4126.5704470000001</v>
      </c>
      <c r="G64" s="4">
        <v>86</v>
      </c>
      <c r="H64" s="4">
        <v>71</v>
      </c>
      <c r="I64" s="4">
        <v>41</v>
      </c>
      <c r="J64" s="5">
        <f t="shared" si="0"/>
        <v>0.29553264604810997</v>
      </c>
      <c r="K64" s="5">
        <f t="shared" si="1"/>
        <v>0.24398625429553264</v>
      </c>
      <c r="L64" s="5">
        <f t="shared" si="8"/>
        <v>0.14089347079037801</v>
      </c>
      <c r="M64" s="4">
        <v>4164.9106529999999</v>
      </c>
      <c r="N64" s="4">
        <v>12159.800687000001</v>
      </c>
      <c r="O64" s="4">
        <v>15915.841924</v>
      </c>
      <c r="P64" s="4">
        <v>13262.068729000001</v>
      </c>
      <c r="Q64" s="4">
        <v>0.85453599999999996</v>
      </c>
      <c r="R64" s="4">
        <v>13262.068729000001</v>
      </c>
      <c r="S64" s="9">
        <v>9901.2682929999992</v>
      </c>
      <c r="T64" s="9">
        <v>3699.3658540000001</v>
      </c>
      <c r="U64" s="35">
        <v>18610.838488000001</v>
      </c>
      <c r="V64" s="35">
        <v>13600.634146</v>
      </c>
      <c r="W64" s="35">
        <f t="shared" si="2"/>
        <v>-5010.2043420000009</v>
      </c>
      <c r="X64" s="32">
        <v>18.794872000000002</v>
      </c>
      <c r="Y64" s="7">
        <v>1208.358974</v>
      </c>
      <c r="Z64" s="5">
        <v>0.85634100000000002</v>
      </c>
      <c r="AA64" s="29">
        <f t="shared" si="3"/>
        <v>0.23918218922957937</v>
      </c>
      <c r="AB64" s="30">
        <f t="shared" si="4"/>
        <v>0.83952981875130717</v>
      </c>
      <c r="AC64" s="30">
        <f t="shared" si="5"/>
        <v>0.50172493644806371</v>
      </c>
      <c r="AD64" s="2">
        <f t="shared" si="6"/>
        <v>0.27093398984459149</v>
      </c>
      <c r="AE64" s="2">
        <f t="shared" si="7"/>
        <v>0.29275270699604489</v>
      </c>
      <c r="AF64" s="2"/>
      <c r="AG64" s="5"/>
      <c r="AH64" s="5"/>
      <c r="AI64" s="110"/>
    </row>
    <row r="65" spans="1:35" x14ac:dyDescent="0.3">
      <c r="A65">
        <f>SUM(D$2:D65)/SUM(D$2:D$76)</f>
        <v>0.93595531161703094</v>
      </c>
      <c r="B65" s="3">
        <v>63</v>
      </c>
      <c r="C65" s="4">
        <v>63</v>
      </c>
      <c r="D65" s="4">
        <v>316</v>
      </c>
      <c r="E65" s="4">
        <v>15859.354429999999</v>
      </c>
      <c r="F65" s="4">
        <v>3312.7088610000001</v>
      </c>
      <c r="G65" s="4">
        <v>76</v>
      </c>
      <c r="H65" s="4">
        <v>61</v>
      </c>
      <c r="I65" s="4">
        <v>45</v>
      </c>
      <c r="J65" s="5">
        <f t="shared" si="0"/>
        <v>0.24050632911392406</v>
      </c>
      <c r="K65" s="5">
        <f t="shared" si="1"/>
        <v>0.19303797468354431</v>
      </c>
      <c r="L65" s="5">
        <f t="shared" si="8"/>
        <v>0.14240506329113925</v>
      </c>
      <c r="M65" s="4">
        <v>4256.5791140000001</v>
      </c>
      <c r="N65" s="4">
        <v>12874.537974999999</v>
      </c>
      <c r="O65" s="4">
        <v>15188.354429999999</v>
      </c>
      <c r="P65" s="4">
        <v>13043.224684000001</v>
      </c>
      <c r="Q65" s="4">
        <v>0.87436700000000001</v>
      </c>
      <c r="R65" s="4">
        <v>13043.224684000001</v>
      </c>
      <c r="S65" s="9">
        <v>12274.666667</v>
      </c>
      <c r="T65" s="9">
        <v>2151.2045450000001</v>
      </c>
      <c r="U65" s="35">
        <v>19172.063290999999</v>
      </c>
      <c r="V65" s="35">
        <v>14322.931817999999</v>
      </c>
      <c r="W65" s="35">
        <f t="shared" si="2"/>
        <v>-4849.1314729999995</v>
      </c>
      <c r="X65" s="32">
        <v>17.302326000000001</v>
      </c>
      <c r="Y65" s="7">
        <v>1206.9534880000001</v>
      </c>
      <c r="Z65" s="5">
        <v>0.79600000000000004</v>
      </c>
      <c r="AA65" s="29">
        <f t="shared" si="3"/>
        <v>0.19200955559361285</v>
      </c>
      <c r="AB65" s="30">
        <f t="shared" si="4"/>
        <v>0.91923188057844096</v>
      </c>
      <c r="AC65" s="30">
        <f t="shared" si="5"/>
        <v>0.52837036707214724</v>
      </c>
      <c r="AD65" s="2">
        <f t="shared" si="6"/>
        <v>0.21435858681277159</v>
      </c>
      <c r="AE65" s="2">
        <f t="shared" si="7"/>
        <v>0.29589353952710773</v>
      </c>
      <c r="AF65" s="2"/>
      <c r="AG65" s="5"/>
      <c r="AH65" s="5"/>
      <c r="AI65" s="110"/>
    </row>
    <row r="66" spans="1:35" x14ac:dyDescent="0.3">
      <c r="A66">
        <f>SUM(D$2:D66)/SUM(D$2:D$76)</f>
        <v>0.9454710792114579</v>
      </c>
      <c r="B66" s="3">
        <v>64</v>
      </c>
      <c r="C66" s="4">
        <v>64</v>
      </c>
      <c r="D66" s="4">
        <v>293</v>
      </c>
      <c r="E66" s="4">
        <v>15818.726962000001</v>
      </c>
      <c r="F66" s="4">
        <v>3367.0238909999998</v>
      </c>
      <c r="G66" s="4">
        <v>72</v>
      </c>
      <c r="H66" s="4">
        <v>57</v>
      </c>
      <c r="I66" s="4">
        <v>40</v>
      </c>
      <c r="J66" s="5">
        <f t="shared" si="0"/>
        <v>0.24573378839590443</v>
      </c>
      <c r="K66" s="5">
        <f t="shared" si="1"/>
        <v>0.19453924914675769</v>
      </c>
      <c r="L66" s="5">
        <f t="shared" si="8"/>
        <v>0.13651877133105803</v>
      </c>
      <c r="M66" s="4">
        <v>4311.122867</v>
      </c>
      <c r="N66" s="4">
        <v>13108.037543</v>
      </c>
      <c r="O66" s="4">
        <v>16147.098975999999</v>
      </c>
      <c r="P66" s="4">
        <v>13814.822526</v>
      </c>
      <c r="Q66" s="4">
        <v>0.87699700000000003</v>
      </c>
      <c r="R66" s="4">
        <v>13814.822526</v>
      </c>
      <c r="S66" s="9">
        <v>10946.55</v>
      </c>
      <c r="T66" s="9">
        <v>1114.625</v>
      </c>
      <c r="U66" s="35">
        <v>19185.750853000001</v>
      </c>
      <c r="V66" s="35">
        <v>12061.174999999999</v>
      </c>
      <c r="W66" s="35">
        <f t="shared" si="2"/>
        <v>-7124.5758530000021</v>
      </c>
      <c r="X66" s="32">
        <v>20.162161999999999</v>
      </c>
      <c r="Y66" s="7">
        <v>1401.4594589999999</v>
      </c>
      <c r="Z66" s="5">
        <v>0.79674999999999996</v>
      </c>
      <c r="AA66" s="29">
        <f t="shared" si="3"/>
        <v>0.19515773589256177</v>
      </c>
      <c r="AB66" s="30">
        <f t="shared" si="4"/>
        <v>0.91687705182563028</v>
      </c>
      <c r="AC66" s="30">
        <f t="shared" si="5"/>
        <v>0.44493456668295966</v>
      </c>
      <c r="AD66" s="2">
        <f t="shared" si="6"/>
        <v>0.21602567367938466</v>
      </c>
      <c r="AE66" s="2">
        <f t="shared" si="7"/>
        <v>0.28366282439307106</v>
      </c>
      <c r="AF66" s="2"/>
      <c r="AG66" s="5"/>
      <c r="AH66" s="5"/>
      <c r="AI66" s="110"/>
    </row>
    <row r="67" spans="1:35" x14ac:dyDescent="0.3">
      <c r="A67">
        <f>SUM(D$2:D67)/SUM(D$2:D$76)</f>
        <v>0.95303822545549022</v>
      </c>
      <c r="B67" s="3">
        <v>65</v>
      </c>
      <c r="C67" s="4">
        <v>65</v>
      </c>
      <c r="D67" s="4">
        <v>233</v>
      </c>
      <c r="E67" s="4">
        <v>15674.429185000001</v>
      </c>
      <c r="F67" s="4">
        <v>3037.7038630000002</v>
      </c>
      <c r="G67" s="4">
        <v>63</v>
      </c>
      <c r="H67" s="4">
        <v>37</v>
      </c>
      <c r="I67" s="4">
        <v>47</v>
      </c>
      <c r="J67" s="5">
        <f t="shared" ref="J67:J76" si="9">G67/$D67</f>
        <v>0.27038626609442062</v>
      </c>
      <c r="K67" s="5">
        <f t="shared" ref="K67:K76" si="10">H67/$D67</f>
        <v>0.15879828326180256</v>
      </c>
      <c r="L67" s="5">
        <f t="shared" ref="L67:L76" si="11">I67/$D67</f>
        <v>0.20171673819742489</v>
      </c>
      <c r="M67" s="4">
        <v>4198.9785410000004</v>
      </c>
      <c r="N67" s="4">
        <v>12584.751072999999</v>
      </c>
      <c r="O67" s="4">
        <v>16778.540773000001</v>
      </c>
      <c r="P67" s="4">
        <v>12296.339056000001</v>
      </c>
      <c r="Q67" s="4">
        <v>0.83995699999999995</v>
      </c>
      <c r="R67" s="4">
        <v>12296.339056000001</v>
      </c>
      <c r="S67" s="9">
        <v>13035.255319</v>
      </c>
      <c r="T67" s="9">
        <v>1501.4347829999999</v>
      </c>
      <c r="U67" s="35">
        <v>18712.133046999999</v>
      </c>
      <c r="V67" s="35">
        <v>14417.217391</v>
      </c>
      <c r="W67" s="35">
        <f t="shared" ref="W67:W76" si="12">V67-U67</f>
        <v>-4294.9156559999992</v>
      </c>
      <c r="X67" s="32">
        <v>19.925000000000001</v>
      </c>
      <c r="Y67" s="7">
        <v>1350.2750000000001</v>
      </c>
      <c r="Z67" s="5">
        <v>0.78702099999999997</v>
      </c>
      <c r="AA67" s="29">
        <f t="shared" ref="AA67:AA76" si="13">F67/MAX(E$2:F$76)</f>
        <v>0.17606985498374317</v>
      </c>
      <c r="AB67" s="30">
        <f t="shared" ref="AB67:AB76" si="14">E67/MAX(E$2:F$76)</f>
        <v>0.90851333705398185</v>
      </c>
      <c r="AC67" s="30">
        <f t="shared" ref="AC67:AC76" si="15">V67/MAX(V$2:V$76)</f>
        <v>0.53184854482574173</v>
      </c>
      <c r="AD67" s="2">
        <f t="shared" ref="AD67:AD76" si="16">K67/MAX(K$2:K$76)</f>
        <v>0.17633719812952406</v>
      </c>
      <c r="AE67" s="2">
        <f t="shared" ref="AE67:AE76" si="17">L67/MAX(L$2:L$76)</f>
        <v>0.41913312818851728</v>
      </c>
      <c r="AF67" s="2"/>
      <c r="AG67" s="5"/>
      <c r="AH67" s="5"/>
      <c r="AI67" s="110"/>
    </row>
    <row r="68" spans="1:35" x14ac:dyDescent="0.3">
      <c r="A68">
        <f>SUM(D$2:D68)/SUM(D$2:D$76)</f>
        <v>0.95998830827189763</v>
      </c>
      <c r="B68" s="3">
        <v>66</v>
      </c>
      <c r="C68" s="4">
        <v>66</v>
      </c>
      <c r="D68" s="4">
        <v>214</v>
      </c>
      <c r="E68" s="4">
        <v>15035.163551</v>
      </c>
      <c r="F68" s="4">
        <v>2554.5046729999999</v>
      </c>
      <c r="G68" s="4">
        <v>60</v>
      </c>
      <c r="H68" s="4">
        <v>44</v>
      </c>
      <c r="I68" s="4">
        <v>29</v>
      </c>
      <c r="J68" s="5">
        <f t="shared" si="9"/>
        <v>0.28037383177570091</v>
      </c>
      <c r="K68" s="5">
        <f t="shared" si="10"/>
        <v>0.20560747663551401</v>
      </c>
      <c r="L68" s="5">
        <f t="shared" si="11"/>
        <v>0.13551401869158877</v>
      </c>
      <c r="M68" s="4">
        <v>4396.8364490000004</v>
      </c>
      <c r="N68" s="4">
        <v>12424.878505000001</v>
      </c>
      <c r="O68" s="4">
        <v>15400.700935000001</v>
      </c>
      <c r="P68" s="4">
        <v>13149.696261999999</v>
      </c>
      <c r="Q68" s="4">
        <v>0.87761699999999998</v>
      </c>
      <c r="R68" s="4">
        <v>13149.696261999999</v>
      </c>
      <c r="S68" s="9">
        <v>9034</v>
      </c>
      <c r="T68" s="9">
        <v>3216.3103449999999</v>
      </c>
      <c r="U68" s="35">
        <v>17589.668224000001</v>
      </c>
      <c r="V68" s="35">
        <v>12250.310345</v>
      </c>
      <c r="W68" s="35">
        <f t="shared" si="12"/>
        <v>-5339.357879000001</v>
      </c>
      <c r="X68" s="32">
        <v>18.16</v>
      </c>
      <c r="Y68" s="7">
        <v>1272.8</v>
      </c>
      <c r="Z68" s="5">
        <v>0.84275900000000004</v>
      </c>
      <c r="AA68" s="29">
        <f t="shared" si="13"/>
        <v>0.14806290791170654</v>
      </c>
      <c r="AB68" s="30">
        <f t="shared" si="14"/>
        <v>0.87146054568566444</v>
      </c>
      <c r="AC68" s="30">
        <f t="shared" si="15"/>
        <v>0.45191173538932594</v>
      </c>
      <c r="AD68" s="2">
        <f t="shared" si="16"/>
        <v>0.22831636211466033</v>
      </c>
      <c r="AE68" s="2">
        <f t="shared" si="17"/>
        <v>0.28157511902662669</v>
      </c>
      <c r="AF68" s="2"/>
      <c r="AG68" s="5"/>
      <c r="AH68" s="5"/>
      <c r="AI68" s="110"/>
    </row>
    <row r="69" spans="1:35" x14ac:dyDescent="0.3">
      <c r="A69">
        <f>SUM(D$2:D69)/SUM(D$2:D$76)</f>
        <v>0.96635380468318666</v>
      </c>
      <c r="B69" s="3">
        <v>67</v>
      </c>
      <c r="C69" s="4">
        <v>67</v>
      </c>
      <c r="D69" s="4">
        <v>196</v>
      </c>
      <c r="E69" s="4">
        <v>15132.642857000001</v>
      </c>
      <c r="F69" s="4">
        <v>3661.1326530000001</v>
      </c>
      <c r="G69" s="4">
        <v>45</v>
      </c>
      <c r="H69" s="4">
        <v>22</v>
      </c>
      <c r="I69" s="4">
        <v>25</v>
      </c>
      <c r="J69" s="5">
        <f t="shared" si="9"/>
        <v>0.22959183673469388</v>
      </c>
      <c r="K69" s="5">
        <f t="shared" si="10"/>
        <v>0.11224489795918367</v>
      </c>
      <c r="L69" s="5">
        <f t="shared" si="11"/>
        <v>0.12755102040816327</v>
      </c>
      <c r="M69" s="4">
        <v>4511.2857139999996</v>
      </c>
      <c r="N69" s="4">
        <v>12545.846938999999</v>
      </c>
      <c r="O69" s="4">
        <v>16068.061223999999</v>
      </c>
      <c r="P69" s="4">
        <v>13064.994898000001</v>
      </c>
      <c r="Q69" s="4">
        <v>0.845306</v>
      </c>
      <c r="R69" s="4">
        <v>13064.994898000001</v>
      </c>
      <c r="S69" s="9">
        <v>10994.8</v>
      </c>
      <c r="T69" s="9">
        <v>1563.56</v>
      </c>
      <c r="U69" s="35">
        <v>18793.775509999999</v>
      </c>
      <c r="V69" s="35">
        <v>12558.36</v>
      </c>
      <c r="W69" s="35">
        <f t="shared" si="12"/>
        <v>-6235.4155099999989</v>
      </c>
      <c r="X69" s="32">
        <v>16.809524</v>
      </c>
      <c r="Y69" s="7">
        <v>1307.0952380000001</v>
      </c>
      <c r="Z69" s="5">
        <v>0.79400000000000004</v>
      </c>
      <c r="AA69" s="29">
        <f t="shared" si="13"/>
        <v>0.21220471920964104</v>
      </c>
      <c r="AB69" s="30">
        <f t="shared" si="14"/>
        <v>0.87711059191972562</v>
      </c>
      <c r="AC69" s="30">
        <f t="shared" si="15"/>
        <v>0.46327563150759471</v>
      </c>
      <c r="AD69" s="2">
        <f t="shared" si="16"/>
        <v>0.12464209564422785</v>
      </c>
      <c r="AE69" s="2">
        <f t="shared" si="17"/>
        <v>0.26502936080092415</v>
      </c>
      <c r="AF69" s="2"/>
      <c r="AG69" s="5"/>
      <c r="AH69" s="5"/>
      <c r="AI69" s="110"/>
    </row>
    <row r="70" spans="1:35" x14ac:dyDescent="0.3">
      <c r="A70">
        <f>SUM(D$2:D70)/SUM(D$2:D$76)</f>
        <v>0.97333636452210059</v>
      </c>
      <c r="B70" s="3">
        <v>68</v>
      </c>
      <c r="C70" s="4">
        <v>68</v>
      </c>
      <c r="D70" s="4">
        <v>215</v>
      </c>
      <c r="E70" s="4">
        <v>15062.093022999999</v>
      </c>
      <c r="F70" s="4">
        <v>4058.2558140000001</v>
      </c>
      <c r="G70" s="4">
        <v>64</v>
      </c>
      <c r="H70" s="4">
        <v>45</v>
      </c>
      <c r="I70" s="4">
        <v>26</v>
      </c>
      <c r="J70" s="5">
        <f t="shared" si="9"/>
        <v>0.29767441860465116</v>
      </c>
      <c r="K70" s="5">
        <f t="shared" si="10"/>
        <v>0.20930232558139536</v>
      </c>
      <c r="L70" s="5">
        <f t="shared" si="11"/>
        <v>0.12093023255813953</v>
      </c>
      <c r="M70" s="4">
        <v>4639.4697669999996</v>
      </c>
      <c r="N70" s="4">
        <v>12271.618605</v>
      </c>
      <c r="O70" s="4">
        <v>15537.116279</v>
      </c>
      <c r="P70" s="4">
        <v>12964.548837</v>
      </c>
      <c r="Q70" s="4">
        <v>0.88618600000000003</v>
      </c>
      <c r="R70" s="4">
        <v>12964.548837</v>
      </c>
      <c r="S70" s="9">
        <v>14076.769231</v>
      </c>
      <c r="T70" s="9">
        <v>4195.3461539999998</v>
      </c>
      <c r="U70" s="35">
        <v>19120.348837000001</v>
      </c>
      <c r="V70" s="35">
        <v>18272.115385000001</v>
      </c>
      <c r="W70" s="35">
        <f t="shared" si="12"/>
        <v>-848.2334520000004</v>
      </c>
      <c r="X70" s="32">
        <v>23.142856999999999</v>
      </c>
      <c r="Y70" s="7">
        <v>1919</v>
      </c>
      <c r="Z70" s="5">
        <v>0.86884600000000001</v>
      </c>
      <c r="AA70" s="29">
        <f t="shared" si="13"/>
        <v>0.23522257102186547</v>
      </c>
      <c r="AB70" s="30">
        <f t="shared" si="14"/>
        <v>0.87302141812210599</v>
      </c>
      <c r="AC70" s="30">
        <f t="shared" si="15"/>
        <v>0.67405503536811429</v>
      </c>
      <c r="AD70" s="2">
        <f t="shared" si="16"/>
        <v>0.23241929885456442</v>
      </c>
      <c r="AE70" s="2">
        <f t="shared" si="17"/>
        <v>0.25127248793330409</v>
      </c>
      <c r="AF70" s="2"/>
      <c r="AG70" s="5"/>
      <c r="AH70" s="5"/>
      <c r="AI70" s="110"/>
    </row>
    <row r="71" spans="1:35" x14ac:dyDescent="0.3">
      <c r="A71">
        <f>SUM(D$2:D71)/SUM(D$2:D$76)</f>
        <v>0.98080607969861322</v>
      </c>
      <c r="B71" s="3">
        <v>69</v>
      </c>
      <c r="C71" s="4">
        <v>69</v>
      </c>
      <c r="D71" s="4">
        <v>230</v>
      </c>
      <c r="E71" s="4">
        <v>14734.882609</v>
      </c>
      <c r="F71" s="4">
        <v>3520.6</v>
      </c>
      <c r="G71" s="4">
        <v>71</v>
      </c>
      <c r="H71" s="4">
        <v>48</v>
      </c>
      <c r="I71" s="4">
        <v>35</v>
      </c>
      <c r="J71" s="5">
        <f t="shared" si="9"/>
        <v>0.30869565217391304</v>
      </c>
      <c r="K71" s="5">
        <f t="shared" si="10"/>
        <v>0.20869565217391303</v>
      </c>
      <c r="L71" s="5">
        <f t="shared" si="11"/>
        <v>0.15217391304347827</v>
      </c>
      <c r="M71" s="4">
        <v>4693.8260870000004</v>
      </c>
      <c r="N71" s="4">
        <v>11696.952174</v>
      </c>
      <c r="O71" s="4">
        <v>15893.782609</v>
      </c>
      <c r="P71" s="4">
        <v>13115.278260999999</v>
      </c>
      <c r="Q71" s="4">
        <v>0.87743499999999996</v>
      </c>
      <c r="R71" s="4">
        <v>13115.278260999999</v>
      </c>
      <c r="S71" s="9">
        <v>9158.2285709999996</v>
      </c>
      <c r="T71" s="9">
        <v>1937.2352940000001</v>
      </c>
      <c r="U71" s="35">
        <v>18255.482608999999</v>
      </c>
      <c r="V71" s="35">
        <v>10812.529412</v>
      </c>
      <c r="W71" s="35">
        <f t="shared" si="12"/>
        <v>-7442.9531969999989</v>
      </c>
      <c r="X71" s="32">
        <v>16.25</v>
      </c>
      <c r="Y71" s="7">
        <v>947.96875</v>
      </c>
      <c r="Z71" s="5">
        <v>0.86857099999999998</v>
      </c>
      <c r="AA71" s="29">
        <f t="shared" si="13"/>
        <v>0.20405923665106329</v>
      </c>
      <c r="AB71" s="30">
        <f t="shared" si="14"/>
        <v>0.85405581359301486</v>
      </c>
      <c r="AC71" s="30">
        <f t="shared" si="15"/>
        <v>0.39887225653180364</v>
      </c>
      <c r="AD71" s="2">
        <f t="shared" si="16"/>
        <v>0.2317456197274497</v>
      </c>
      <c r="AE71" s="2">
        <f t="shared" si="17"/>
        <v>0.31619155045118952</v>
      </c>
      <c r="AF71" s="2"/>
      <c r="AG71" s="5"/>
      <c r="AH71" s="5"/>
      <c r="AI71" s="110"/>
    </row>
    <row r="72" spans="1:35" x14ac:dyDescent="0.3">
      <c r="A72">
        <f>SUM(D$2:D72)/SUM(D$2:D$76)</f>
        <v>0.98736643824494175</v>
      </c>
      <c r="B72" s="3">
        <v>70</v>
      </c>
      <c r="C72" s="4">
        <v>70</v>
      </c>
      <c r="D72" s="4">
        <v>202</v>
      </c>
      <c r="E72" s="4">
        <v>16675.099010000002</v>
      </c>
      <c r="F72" s="4">
        <v>2562.1732670000001</v>
      </c>
      <c r="G72" s="4">
        <v>46</v>
      </c>
      <c r="H72" s="4">
        <v>32</v>
      </c>
      <c r="I72" s="4">
        <v>27</v>
      </c>
      <c r="J72" s="5">
        <f t="shared" si="9"/>
        <v>0.22772277227722773</v>
      </c>
      <c r="K72" s="5">
        <f t="shared" si="10"/>
        <v>0.15841584158415842</v>
      </c>
      <c r="L72" s="5">
        <f t="shared" si="11"/>
        <v>0.13366336633663367</v>
      </c>
      <c r="M72" s="4">
        <v>4839.178218</v>
      </c>
      <c r="N72" s="4">
        <v>13161.638614</v>
      </c>
      <c r="O72" s="4">
        <v>16626.138614</v>
      </c>
      <c r="P72" s="4">
        <v>13449.509900999999</v>
      </c>
      <c r="Q72" s="4">
        <v>0.85470299999999999</v>
      </c>
      <c r="R72" s="4">
        <v>13449.509900999999</v>
      </c>
      <c r="S72" s="9">
        <v>14080.074074</v>
      </c>
      <c r="T72" s="9">
        <v>704.25925900000004</v>
      </c>
      <c r="U72" s="35">
        <v>19237.272277</v>
      </c>
      <c r="V72" s="35">
        <v>14784.333333</v>
      </c>
      <c r="W72" s="35">
        <f t="shared" si="12"/>
        <v>-4452.9389439999995</v>
      </c>
      <c r="X72" s="32">
        <v>14.083333</v>
      </c>
      <c r="Y72" s="7">
        <v>907.5</v>
      </c>
      <c r="Z72" s="5">
        <v>0.80074100000000004</v>
      </c>
      <c r="AA72" s="29">
        <f t="shared" si="13"/>
        <v>0.1485073910787312</v>
      </c>
      <c r="AB72" s="30">
        <f t="shared" si="14"/>
        <v>0.96651365536030842</v>
      </c>
      <c r="AC72" s="30">
        <f t="shared" si="15"/>
        <v>0.54539138560005906</v>
      </c>
      <c r="AD72" s="2">
        <f t="shared" si="16"/>
        <v>0.17591251662479682</v>
      </c>
      <c r="AE72" s="2">
        <f t="shared" si="17"/>
        <v>0.27772977769475066</v>
      </c>
      <c r="AF72" s="2"/>
      <c r="AG72" s="5"/>
      <c r="AH72" s="5"/>
      <c r="AI72" s="110"/>
    </row>
    <row r="73" spans="1:35" x14ac:dyDescent="0.3">
      <c r="A73">
        <f>SUM(D$2:D73)/SUM(D$2:D$76)</f>
        <v>0.99233542268844788</v>
      </c>
      <c r="B73" s="3">
        <v>71</v>
      </c>
      <c r="C73" s="4">
        <v>71</v>
      </c>
      <c r="D73" s="4">
        <v>153</v>
      </c>
      <c r="E73" s="4">
        <v>16672.052287999999</v>
      </c>
      <c r="F73" s="4">
        <v>2393.3921570000002</v>
      </c>
      <c r="G73" s="4">
        <v>32</v>
      </c>
      <c r="H73" s="4">
        <v>30</v>
      </c>
      <c r="I73" s="4">
        <v>20</v>
      </c>
      <c r="J73" s="5">
        <f t="shared" si="9"/>
        <v>0.20915032679738563</v>
      </c>
      <c r="K73" s="5">
        <f t="shared" si="10"/>
        <v>0.19607843137254902</v>
      </c>
      <c r="L73" s="5">
        <f t="shared" si="11"/>
        <v>0.13071895424836602</v>
      </c>
      <c r="M73" s="4">
        <v>4969.9215690000001</v>
      </c>
      <c r="N73" s="4">
        <v>12492.928105000001</v>
      </c>
      <c r="O73" s="4">
        <v>15156.209150000001</v>
      </c>
      <c r="P73" s="4">
        <v>12610.915032999999</v>
      </c>
      <c r="Q73" s="4">
        <v>0.86241800000000002</v>
      </c>
      <c r="R73" s="4">
        <v>12610.915032999999</v>
      </c>
      <c r="S73" s="9">
        <v>10983.2</v>
      </c>
      <c r="T73" s="9">
        <v>1557.9</v>
      </c>
      <c r="U73" s="35">
        <v>19065.444444000001</v>
      </c>
      <c r="V73" s="35">
        <v>12541.1</v>
      </c>
      <c r="W73" s="35">
        <f t="shared" si="12"/>
        <v>-6524.3444440000003</v>
      </c>
      <c r="X73" s="32">
        <v>20.555555999999999</v>
      </c>
      <c r="Y73" s="7">
        <v>1467.444444</v>
      </c>
      <c r="Z73" s="5">
        <v>0.78049999999999997</v>
      </c>
      <c r="AA73" s="29">
        <f t="shared" si="13"/>
        <v>0.13872458574222063</v>
      </c>
      <c r="AB73" s="30">
        <f t="shared" si="14"/>
        <v>0.9663370628006287</v>
      </c>
      <c r="AC73" s="30">
        <f t="shared" si="15"/>
        <v>0.46263891322592249</v>
      </c>
      <c r="AD73" s="2">
        <f t="shared" si="16"/>
        <v>0.21773485513608429</v>
      </c>
      <c r="AE73" s="2">
        <f t="shared" si="17"/>
        <v>0.27161178936983599</v>
      </c>
      <c r="AF73" s="2"/>
      <c r="AG73" s="5"/>
      <c r="AH73" s="5"/>
      <c r="AI73" s="110"/>
    </row>
    <row r="74" spans="1:35" x14ac:dyDescent="0.3">
      <c r="A74">
        <f>SUM(D$2:D74)/SUM(D$2:D$76)</f>
        <v>0.99594037218667797</v>
      </c>
      <c r="B74" s="3">
        <v>72</v>
      </c>
      <c r="C74" s="4">
        <v>72</v>
      </c>
      <c r="D74" s="4">
        <v>111</v>
      </c>
      <c r="E74" s="4">
        <v>16632.045044999999</v>
      </c>
      <c r="F74" s="4">
        <v>3668.27027</v>
      </c>
      <c r="G74" s="4">
        <v>16</v>
      </c>
      <c r="H74" s="4">
        <v>13</v>
      </c>
      <c r="I74" s="4">
        <v>21</v>
      </c>
      <c r="J74" s="5">
        <f t="shared" si="9"/>
        <v>0.14414414414414414</v>
      </c>
      <c r="K74" s="5">
        <f t="shared" si="10"/>
        <v>0.11711711711711711</v>
      </c>
      <c r="L74" s="5">
        <f t="shared" si="11"/>
        <v>0.1891891891891892</v>
      </c>
      <c r="M74" s="4">
        <v>5420.8378380000004</v>
      </c>
      <c r="N74" s="4">
        <v>12250.369369</v>
      </c>
      <c r="O74" s="4">
        <v>15031.531532000001</v>
      </c>
      <c r="P74" s="4">
        <v>13177.945946</v>
      </c>
      <c r="Q74" s="4">
        <v>0.88918900000000001</v>
      </c>
      <c r="R74" s="4">
        <v>13177.945946</v>
      </c>
      <c r="S74" s="9">
        <v>15910.714286</v>
      </c>
      <c r="T74" s="9">
        <v>1712.666667</v>
      </c>
      <c r="U74" s="35">
        <v>20300.315315</v>
      </c>
      <c r="V74" s="35">
        <v>17623.380952</v>
      </c>
      <c r="W74" s="35">
        <f t="shared" si="12"/>
        <v>-2676.9343630000003</v>
      </c>
      <c r="X74" s="32">
        <v>20.523810000000001</v>
      </c>
      <c r="Y74" s="7">
        <v>2133.7142859999999</v>
      </c>
      <c r="Z74" s="5">
        <v>0.93904799999999999</v>
      </c>
      <c r="AA74" s="29">
        <f t="shared" si="13"/>
        <v>0.21261842615633411</v>
      </c>
      <c r="AB74" s="30">
        <f t="shared" si="14"/>
        <v>0.96401818321558819</v>
      </c>
      <c r="AC74" s="30">
        <f t="shared" si="15"/>
        <v>0.65012333934022559</v>
      </c>
      <c r="AD74" s="2">
        <f t="shared" si="16"/>
        <v>0.1300524405002017</v>
      </c>
      <c r="AE74" s="2">
        <f t="shared" si="17"/>
        <v>0.39310300866904646</v>
      </c>
      <c r="AF74" s="2"/>
      <c r="AG74" s="5"/>
      <c r="AH74" s="5"/>
      <c r="AI74" s="110"/>
    </row>
    <row r="75" spans="1:35" x14ac:dyDescent="0.3">
      <c r="A75">
        <f>SUM(D$2:D75)/SUM(D$2:D$76)</f>
        <v>0.99866844207723038</v>
      </c>
      <c r="B75" s="3">
        <v>73</v>
      </c>
      <c r="C75" s="4">
        <v>73</v>
      </c>
      <c r="D75" s="4">
        <v>84</v>
      </c>
      <c r="E75" s="4">
        <v>17252.833332999999</v>
      </c>
      <c r="F75" s="4">
        <v>4232.2142860000004</v>
      </c>
      <c r="G75" s="4">
        <v>21</v>
      </c>
      <c r="H75" s="4">
        <v>10</v>
      </c>
      <c r="I75" s="4">
        <v>11</v>
      </c>
      <c r="J75" s="5">
        <f t="shared" si="9"/>
        <v>0.25</v>
      </c>
      <c r="K75" s="5">
        <f t="shared" si="10"/>
        <v>0.11904761904761904</v>
      </c>
      <c r="L75" s="5">
        <f t="shared" si="11"/>
        <v>0.13095238095238096</v>
      </c>
      <c r="M75" s="4">
        <v>5237.0833329999996</v>
      </c>
      <c r="N75" s="4">
        <v>13567.547619000001</v>
      </c>
      <c r="O75" s="4">
        <v>20377.380952</v>
      </c>
      <c r="P75" s="4">
        <v>13297.309524</v>
      </c>
      <c r="Q75" s="4">
        <v>0.85535700000000003</v>
      </c>
      <c r="R75" s="4">
        <v>13297.309524</v>
      </c>
      <c r="S75" s="9">
        <v>12862.272727</v>
      </c>
      <c r="T75" s="9">
        <v>4712.0909089999996</v>
      </c>
      <c r="U75" s="35">
        <v>21485.047619000001</v>
      </c>
      <c r="V75" s="35">
        <v>17574.363635999998</v>
      </c>
      <c r="W75" s="35">
        <f t="shared" si="12"/>
        <v>-3910.6839830000026</v>
      </c>
      <c r="X75" s="32">
        <v>14.2</v>
      </c>
      <c r="Y75" s="7">
        <v>1025.2</v>
      </c>
      <c r="Z75" s="5">
        <v>0.85545499999999997</v>
      </c>
      <c r="AA75" s="29">
        <f t="shared" si="13"/>
        <v>0.24530546399616115</v>
      </c>
      <c r="AB75" s="30">
        <f t="shared" si="14"/>
        <v>1</v>
      </c>
      <c r="AC75" s="30">
        <f t="shared" si="15"/>
        <v>0.64831509940884058</v>
      </c>
      <c r="AD75" s="2">
        <f t="shared" si="16"/>
        <v>0.13219616204690832</v>
      </c>
      <c r="AE75" s="2">
        <f t="shared" si="17"/>
        <v>0.27209681042228212</v>
      </c>
      <c r="AF75" s="2"/>
      <c r="AG75" s="5"/>
      <c r="AH75" s="5"/>
      <c r="AI75" s="110"/>
    </row>
    <row r="76" spans="1:35" x14ac:dyDescent="0.3">
      <c r="A76">
        <f>SUM(D$2:D76)/SUM(D$2:D$76)</f>
        <v>1</v>
      </c>
      <c r="B76" s="3">
        <v>74</v>
      </c>
      <c r="C76" s="4">
        <v>74</v>
      </c>
      <c r="D76" s="4">
        <v>41</v>
      </c>
      <c r="E76" s="4">
        <v>15593.487805000001</v>
      </c>
      <c r="F76" s="4">
        <v>5179.1951220000001</v>
      </c>
      <c r="G76" s="4">
        <v>5</v>
      </c>
      <c r="H76" s="4">
        <v>3</v>
      </c>
      <c r="I76" s="4">
        <v>4</v>
      </c>
      <c r="J76" s="5">
        <f t="shared" si="9"/>
        <v>0.12195121951219512</v>
      </c>
      <c r="K76" s="5">
        <f t="shared" si="10"/>
        <v>7.3170731707317069E-2</v>
      </c>
      <c r="L76" s="5">
        <f t="shared" si="11"/>
        <v>9.7560975609756101E-2</v>
      </c>
      <c r="M76" s="4">
        <v>5946.4146339999998</v>
      </c>
      <c r="N76" s="4">
        <v>10934.536585</v>
      </c>
      <c r="O76" s="4">
        <v>15502.439023999999</v>
      </c>
      <c r="P76" s="4">
        <v>13408.609756</v>
      </c>
      <c r="Q76" s="4">
        <v>0.89243899999999998</v>
      </c>
      <c r="R76" s="4">
        <v>13408.609756</v>
      </c>
      <c r="S76" s="9">
        <v>10661.75</v>
      </c>
      <c r="T76" s="9">
        <v>16446</v>
      </c>
      <c r="U76" s="35">
        <v>20772.682927000002</v>
      </c>
      <c r="V76" s="35">
        <v>27107.75</v>
      </c>
      <c r="W76" s="35">
        <f t="shared" si="12"/>
        <v>6335.0670729999983</v>
      </c>
      <c r="X76" s="32">
        <v>17.5</v>
      </c>
      <c r="Y76" s="7">
        <v>1377</v>
      </c>
      <c r="Z76" s="5">
        <v>0.72499999999999998</v>
      </c>
      <c r="AA76" s="29">
        <f t="shared" si="13"/>
        <v>0.30019388827535953</v>
      </c>
      <c r="AB76" s="30">
        <f t="shared" si="14"/>
        <v>0.90382185372265089</v>
      </c>
      <c r="AC76" s="30">
        <f t="shared" si="15"/>
        <v>1</v>
      </c>
      <c r="AD76" s="2">
        <f t="shared" si="16"/>
        <v>8.1252275209319255E-2</v>
      </c>
      <c r="AE76" s="2">
        <f t="shared" si="17"/>
        <v>0.20271514035895077</v>
      </c>
      <c r="AF76" s="2"/>
      <c r="AG76" s="5"/>
      <c r="AH76" s="5"/>
      <c r="AI76" s="110"/>
    </row>
    <row r="78" spans="1:35" x14ac:dyDescent="0.3">
      <c r="I78" s="108">
        <v>9285</v>
      </c>
      <c r="J78" s="2">
        <f>I78/SUM(I$78:I$80)</f>
        <v>0.32248541261461516</v>
      </c>
    </row>
    <row r="79" spans="1:35" x14ac:dyDescent="0.3">
      <c r="I79" s="108">
        <v>9778</v>
      </c>
      <c r="J79" s="2">
        <f t="shared" ref="J79:J80" si="18">I79/SUM(I$78:I$80)</f>
        <v>0.33960822450680744</v>
      </c>
    </row>
    <row r="80" spans="1:35" x14ac:dyDescent="0.3">
      <c r="I80">
        <v>9729</v>
      </c>
      <c r="J80" s="2">
        <f t="shared" si="18"/>
        <v>0.33790636287857739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8538-A361-4552-82BF-E4EF044ADB90}">
  <dimension ref="B1:W41"/>
  <sheetViews>
    <sheetView workbookViewId="0">
      <selection activeCell="W8" sqref="W8"/>
    </sheetView>
  </sheetViews>
  <sheetFormatPr defaultRowHeight="16.5" x14ac:dyDescent="0.3"/>
  <cols>
    <col min="5" max="5" width="9" style="7"/>
    <col min="8" max="9" width="10.625" bestFit="1" customWidth="1"/>
    <col min="11" max="11" width="9.625" style="7" bestFit="1" customWidth="1"/>
    <col min="13" max="13" width="9" style="2"/>
    <col min="14" max="14" width="9" style="7"/>
    <col min="19" max="19" width="9" style="7"/>
    <col min="21" max="21" width="9" style="2"/>
    <col min="22" max="22" width="10.5" bestFit="1" customWidth="1"/>
  </cols>
  <sheetData>
    <row r="1" spans="2:23" ht="40.5" x14ac:dyDescent="0.3">
      <c r="B1" s="3"/>
      <c r="C1" s="3" t="s">
        <v>61</v>
      </c>
      <c r="D1" s="3" t="s">
        <v>5</v>
      </c>
      <c r="E1" s="8" t="s">
        <v>62</v>
      </c>
      <c r="F1" s="3" t="s">
        <v>59</v>
      </c>
      <c r="G1" s="3" t="s">
        <v>6</v>
      </c>
      <c r="H1" s="3" t="s">
        <v>153</v>
      </c>
      <c r="I1" s="3" t="s">
        <v>154</v>
      </c>
      <c r="J1" s="3" t="s">
        <v>11</v>
      </c>
      <c r="K1" s="8" t="s">
        <v>8</v>
      </c>
      <c r="L1" s="3" t="s">
        <v>9</v>
      </c>
      <c r="M1" s="6" t="s">
        <v>10</v>
      </c>
      <c r="N1" s="8" t="s">
        <v>55</v>
      </c>
      <c r="O1" s="3" t="s">
        <v>13</v>
      </c>
      <c r="P1" s="3" t="s">
        <v>97</v>
      </c>
      <c r="Q1" s="3" t="s">
        <v>98</v>
      </c>
      <c r="R1" s="3" t="s">
        <v>99</v>
      </c>
      <c r="S1" s="8" t="s">
        <v>100</v>
      </c>
      <c r="T1" s="3" t="s">
        <v>101</v>
      </c>
      <c r="U1" s="6" t="s">
        <v>102</v>
      </c>
      <c r="V1" s="27" t="s">
        <v>182</v>
      </c>
    </row>
    <row r="2" spans="2:23" x14ac:dyDescent="0.3">
      <c r="B2" s="3">
        <v>0</v>
      </c>
      <c r="C2" s="4" t="s">
        <v>22</v>
      </c>
      <c r="D2" s="4">
        <v>10960</v>
      </c>
      <c r="E2" s="9">
        <v>306.33695299999999</v>
      </c>
      <c r="F2" s="4">
        <v>4440</v>
      </c>
      <c r="G2" s="4">
        <v>4570</v>
      </c>
      <c r="H2" s="5">
        <f>F2/D2</f>
        <v>0.4051094890510949</v>
      </c>
      <c r="I2" s="5">
        <f>G2/D2</f>
        <v>0.41697080291970801</v>
      </c>
      <c r="J2" s="4">
        <v>702.44215299999996</v>
      </c>
      <c r="K2" s="9">
        <v>13375.925182000001</v>
      </c>
      <c r="L2" s="4">
        <v>2561.049818</v>
      </c>
      <c r="M2" s="5">
        <v>0.34987000000000001</v>
      </c>
      <c r="N2" s="9">
        <v>4078</v>
      </c>
      <c r="O2" s="4">
        <v>22.649453000000001</v>
      </c>
      <c r="P2" s="4">
        <v>1649.6799900000001</v>
      </c>
      <c r="Q2" s="4">
        <v>6439.0335949999999</v>
      </c>
      <c r="R2" s="4">
        <v>25.922266</v>
      </c>
      <c r="S2" s="9">
        <v>14971.275135</v>
      </c>
      <c r="T2" s="4">
        <v>6928.9646890000004</v>
      </c>
      <c r="U2" s="5">
        <v>0.57959799999999995</v>
      </c>
      <c r="V2" s="7">
        <f>SUMPRODUCT(D2:D41,K2:K41)/SUM(D2:D41)</f>
        <v>14405.088175026402</v>
      </c>
    </row>
    <row r="3" spans="2:23" x14ac:dyDescent="0.3">
      <c r="B3" s="3">
        <v>1</v>
      </c>
      <c r="C3" s="4" t="s">
        <v>23</v>
      </c>
      <c r="D3" s="4">
        <v>5981</v>
      </c>
      <c r="E3" s="9">
        <v>595.13007900000002</v>
      </c>
      <c r="F3" s="4">
        <v>2518</v>
      </c>
      <c r="G3" s="4">
        <v>2633</v>
      </c>
      <c r="H3" s="5">
        <f t="shared" ref="H3:H41" si="0">F3/D3</f>
        <v>0.42099983280387893</v>
      </c>
      <c r="I3" s="5">
        <f t="shared" ref="I3:I41" si="1">G3/D3</f>
        <v>0.44022738672462797</v>
      </c>
      <c r="J3" s="4">
        <v>5178.9219190000003</v>
      </c>
      <c r="K3" s="9">
        <v>9866.7798029999994</v>
      </c>
      <c r="L3" s="4">
        <v>6491.8963379999996</v>
      </c>
      <c r="M3" s="5">
        <v>0.77604600000000001</v>
      </c>
      <c r="N3" s="9">
        <v>1662</v>
      </c>
      <c r="O3" s="4">
        <v>32.074903999999997</v>
      </c>
      <c r="P3" s="4">
        <v>2014.149819</v>
      </c>
      <c r="Q3" s="4">
        <v>8337.0589650000002</v>
      </c>
      <c r="R3" s="4">
        <v>27.335740000000001</v>
      </c>
      <c r="S3" s="9">
        <v>12101.756918999999</v>
      </c>
      <c r="T3" s="4">
        <v>8899.4578820000006</v>
      </c>
      <c r="U3" s="5">
        <v>0.79968700000000004</v>
      </c>
      <c r="V3" s="7">
        <f>SUMPRODUCT(D2:D41,S2:S41)/SUM(D2:D41)</f>
        <v>13460.463750288951</v>
      </c>
    </row>
    <row r="4" spans="2:23" ht="27" x14ac:dyDescent="0.3">
      <c r="B4" s="3">
        <v>2</v>
      </c>
      <c r="C4" s="4" t="s">
        <v>24</v>
      </c>
      <c r="D4" s="4">
        <v>5552</v>
      </c>
      <c r="E4" s="9">
        <v>1224.277918</v>
      </c>
      <c r="F4" s="4">
        <v>1986</v>
      </c>
      <c r="G4" s="4">
        <v>2232</v>
      </c>
      <c r="H4" s="5">
        <f t="shared" si="0"/>
        <v>0.35770893371757922</v>
      </c>
      <c r="I4" s="5">
        <f t="shared" si="1"/>
        <v>0.40201729106628242</v>
      </c>
      <c r="J4" s="4">
        <v>10129.072947000001</v>
      </c>
      <c r="K4" s="9">
        <v>13605.434078</v>
      </c>
      <c r="L4" s="4">
        <v>10997.949388000001</v>
      </c>
      <c r="M4" s="5">
        <v>0.87064799999999998</v>
      </c>
      <c r="N4" s="9">
        <v>1189</v>
      </c>
      <c r="O4" s="4">
        <v>35.661203</v>
      </c>
      <c r="P4" s="4">
        <v>1350.867115</v>
      </c>
      <c r="Q4" s="4">
        <v>5784.894029</v>
      </c>
      <c r="R4" s="4">
        <v>19.523969999999998</v>
      </c>
      <c r="S4" s="9">
        <v>11606.148024</v>
      </c>
      <c r="T4" s="4">
        <v>8390.4087469999995</v>
      </c>
      <c r="U4" s="5">
        <v>0.78580300000000003</v>
      </c>
    </row>
    <row r="5" spans="2:23" ht="27" x14ac:dyDescent="0.3">
      <c r="B5" s="3">
        <v>3</v>
      </c>
      <c r="C5" s="4" t="s">
        <v>25</v>
      </c>
      <c r="D5" s="4">
        <v>3308</v>
      </c>
      <c r="E5" s="9">
        <v>2440.5389960000002</v>
      </c>
      <c r="F5" s="4">
        <v>871</v>
      </c>
      <c r="G5" s="4">
        <v>1126</v>
      </c>
      <c r="H5" s="5">
        <f t="shared" si="0"/>
        <v>0.26330108827085852</v>
      </c>
      <c r="I5" s="5">
        <f t="shared" si="1"/>
        <v>0.34038694074969772</v>
      </c>
      <c r="J5" s="4">
        <v>14714.605502</v>
      </c>
      <c r="K5" s="9">
        <v>16565.716444999998</v>
      </c>
      <c r="L5" s="4">
        <v>14427.78688</v>
      </c>
      <c r="M5" s="5">
        <v>0.91326499999999999</v>
      </c>
      <c r="N5" s="9">
        <v>618</v>
      </c>
      <c r="O5" s="4">
        <v>40.553809000000001</v>
      </c>
      <c r="P5" s="4">
        <v>1464.446602</v>
      </c>
      <c r="Q5" s="4">
        <v>2611.6132689999999</v>
      </c>
      <c r="R5" s="4">
        <v>20.514562999999999</v>
      </c>
      <c r="S5" s="9">
        <v>11603.042071</v>
      </c>
      <c r="T5" s="4">
        <v>8242.3333330000005</v>
      </c>
      <c r="U5" s="5">
        <v>0.80711999999999995</v>
      </c>
    </row>
    <row r="6" spans="2:23" ht="27" x14ac:dyDescent="0.3">
      <c r="B6" s="3">
        <v>4</v>
      </c>
      <c r="C6" s="4" t="s">
        <v>26</v>
      </c>
      <c r="D6" s="4">
        <v>2245</v>
      </c>
      <c r="E6" s="9">
        <v>4250.6534519999996</v>
      </c>
      <c r="F6" s="4">
        <v>429</v>
      </c>
      <c r="G6" s="4">
        <v>601</v>
      </c>
      <c r="H6" s="5">
        <f t="shared" si="0"/>
        <v>0.1910913140311804</v>
      </c>
      <c r="I6" s="5">
        <f t="shared" si="1"/>
        <v>0.26770601336302896</v>
      </c>
      <c r="J6" s="4">
        <v>19443.447660999998</v>
      </c>
      <c r="K6" s="9">
        <v>19344.881959999999</v>
      </c>
      <c r="L6" s="4">
        <v>17171.589309999999</v>
      </c>
      <c r="M6" s="5">
        <v>0.92612899999999998</v>
      </c>
      <c r="N6" s="9">
        <v>548</v>
      </c>
      <c r="O6" s="4">
        <v>42.582628</v>
      </c>
      <c r="P6" s="4">
        <v>1406.427007</v>
      </c>
      <c r="Q6" s="4">
        <v>2342.6313869999999</v>
      </c>
      <c r="R6" s="4">
        <v>19.478102</v>
      </c>
      <c r="S6" s="9">
        <v>12613.868613000001</v>
      </c>
      <c r="T6" s="4">
        <v>9661.0602190000009</v>
      </c>
      <c r="U6" s="5">
        <v>0.82237199999999999</v>
      </c>
    </row>
    <row r="7" spans="2:23" ht="27" x14ac:dyDescent="0.3">
      <c r="B7" s="3">
        <v>5</v>
      </c>
      <c r="C7" s="4" t="s">
        <v>27</v>
      </c>
      <c r="D7" s="4">
        <v>1160</v>
      </c>
      <c r="E7" s="9">
        <v>6513.4560339999998</v>
      </c>
      <c r="F7" s="4">
        <v>185</v>
      </c>
      <c r="G7" s="4">
        <v>264</v>
      </c>
      <c r="H7" s="5">
        <f t="shared" si="0"/>
        <v>0.15948275862068967</v>
      </c>
      <c r="I7" s="5">
        <f t="shared" si="1"/>
        <v>0.22758620689655173</v>
      </c>
      <c r="J7" s="4">
        <v>23904.225861999999</v>
      </c>
      <c r="K7" s="9">
        <v>21307.827585999999</v>
      </c>
      <c r="L7" s="4">
        <v>19430.410345</v>
      </c>
      <c r="M7" s="5">
        <v>0.94024099999999999</v>
      </c>
      <c r="N7" s="9">
        <v>318</v>
      </c>
      <c r="O7" s="4">
        <v>47.089655</v>
      </c>
      <c r="P7" s="4">
        <v>1623.4339620000001</v>
      </c>
      <c r="Q7" s="4">
        <v>1788.333333</v>
      </c>
      <c r="R7" s="4">
        <v>20.827044000000001</v>
      </c>
      <c r="S7" s="9">
        <v>15498.207547</v>
      </c>
      <c r="T7" s="4">
        <v>11925.981132000001</v>
      </c>
      <c r="U7" s="5">
        <v>0.83610099999999998</v>
      </c>
      <c r="W7" t="s">
        <v>193</v>
      </c>
    </row>
    <row r="8" spans="2:23" ht="27" x14ac:dyDescent="0.3">
      <c r="B8" s="3">
        <v>6</v>
      </c>
      <c r="C8" s="4" t="s">
        <v>63</v>
      </c>
      <c r="D8" s="4">
        <v>602</v>
      </c>
      <c r="E8" s="9">
        <v>8101.5033219999996</v>
      </c>
      <c r="F8" s="4">
        <v>72</v>
      </c>
      <c r="G8" s="4">
        <v>120</v>
      </c>
      <c r="H8" s="5">
        <f t="shared" si="0"/>
        <v>0.11960132890365449</v>
      </c>
      <c r="I8" s="5">
        <f t="shared" si="1"/>
        <v>0.19933554817275748</v>
      </c>
      <c r="J8" s="4">
        <v>28945.872093000002</v>
      </c>
      <c r="K8" s="9">
        <v>23019.61794</v>
      </c>
      <c r="L8" s="4">
        <v>21339.294020000001</v>
      </c>
      <c r="M8" s="5">
        <v>0.94805600000000001</v>
      </c>
      <c r="N8" s="9">
        <v>206</v>
      </c>
      <c r="O8" s="4">
        <v>44.294020000000003</v>
      </c>
      <c r="P8" s="4">
        <v>1693.606796</v>
      </c>
      <c r="Q8" s="4">
        <v>2057.053398</v>
      </c>
      <c r="R8" s="4">
        <v>22.271844999999999</v>
      </c>
      <c r="S8" s="9">
        <v>16394.660194</v>
      </c>
      <c r="T8" s="4">
        <v>12911.043689</v>
      </c>
      <c r="U8" s="5">
        <v>0.86121400000000004</v>
      </c>
    </row>
    <row r="9" spans="2:23" ht="27" x14ac:dyDescent="0.3">
      <c r="B9" s="3">
        <v>7</v>
      </c>
      <c r="C9" s="4" t="s">
        <v>64</v>
      </c>
      <c r="D9" s="4">
        <v>292</v>
      </c>
      <c r="E9" s="9">
        <v>9870.2363010000008</v>
      </c>
      <c r="F9" s="4">
        <v>28</v>
      </c>
      <c r="G9" s="4">
        <v>69</v>
      </c>
      <c r="H9" s="5">
        <f t="shared" si="0"/>
        <v>9.5890410958904104E-2</v>
      </c>
      <c r="I9" s="5">
        <f t="shared" si="1"/>
        <v>0.2363013698630137</v>
      </c>
      <c r="J9" s="4">
        <v>33905.089040999999</v>
      </c>
      <c r="K9" s="9">
        <v>23839.657534000002</v>
      </c>
      <c r="L9" s="4">
        <v>22500.715753</v>
      </c>
      <c r="M9" s="5">
        <v>0.95506800000000003</v>
      </c>
      <c r="N9" s="9">
        <v>108</v>
      </c>
      <c r="O9" s="4">
        <v>42.380136999999998</v>
      </c>
      <c r="P9" s="4">
        <v>1414.75</v>
      </c>
      <c r="Q9" s="4">
        <v>2064.8148150000002</v>
      </c>
      <c r="R9" s="4">
        <v>21.074074</v>
      </c>
      <c r="S9" s="9">
        <v>16830.370370000001</v>
      </c>
      <c r="T9" s="4">
        <v>13564.537037</v>
      </c>
      <c r="U9" s="5">
        <v>0.88203699999999996</v>
      </c>
    </row>
    <row r="10" spans="2:23" ht="27" x14ac:dyDescent="0.3">
      <c r="B10" s="3">
        <v>8</v>
      </c>
      <c r="C10" s="4" t="s">
        <v>65</v>
      </c>
      <c r="D10" s="4">
        <v>186</v>
      </c>
      <c r="E10" s="9">
        <v>8253.9516129999993</v>
      </c>
      <c r="F10" s="4">
        <v>27</v>
      </c>
      <c r="G10" s="4">
        <v>33</v>
      </c>
      <c r="H10" s="5">
        <f t="shared" si="0"/>
        <v>0.14516129032258066</v>
      </c>
      <c r="I10" s="5">
        <f t="shared" si="1"/>
        <v>0.17741935483870969</v>
      </c>
      <c r="J10" s="4" t="s">
        <v>185</v>
      </c>
      <c r="K10" s="9">
        <v>24405.16129</v>
      </c>
      <c r="L10" s="4">
        <v>22424.247312</v>
      </c>
      <c r="M10" s="5">
        <v>0.94096800000000003</v>
      </c>
      <c r="N10" s="9">
        <v>84</v>
      </c>
      <c r="O10" s="4">
        <v>27.526882000000001</v>
      </c>
      <c r="P10" s="4">
        <v>12386.083333</v>
      </c>
      <c r="Q10" s="4">
        <v>4329.9880949999997</v>
      </c>
      <c r="R10" s="4">
        <v>21.130952000000001</v>
      </c>
      <c r="S10" s="9">
        <v>23308.333332999999</v>
      </c>
      <c r="T10" s="4">
        <v>20429.904761999998</v>
      </c>
      <c r="U10" s="5">
        <v>0.87297599999999997</v>
      </c>
    </row>
    <row r="11" spans="2:23" ht="27" x14ac:dyDescent="0.3">
      <c r="B11" s="3">
        <v>9</v>
      </c>
      <c r="C11" s="4" t="s">
        <v>66</v>
      </c>
      <c r="D11" s="4">
        <v>100</v>
      </c>
      <c r="E11" s="9">
        <v>13037.14</v>
      </c>
      <c r="F11" s="4">
        <v>8</v>
      </c>
      <c r="G11" s="4">
        <v>20</v>
      </c>
      <c r="H11" s="5">
        <f t="shared" si="0"/>
        <v>0.08</v>
      </c>
      <c r="I11" s="5">
        <f t="shared" si="1"/>
        <v>0.2</v>
      </c>
      <c r="J11" s="4">
        <v>43616.32</v>
      </c>
      <c r="K11" s="9">
        <v>22672.9</v>
      </c>
      <c r="L11" s="4">
        <v>20774.650000000001</v>
      </c>
      <c r="M11" s="5">
        <v>0.94259999999999999</v>
      </c>
      <c r="N11" s="9">
        <v>49</v>
      </c>
      <c r="O11" s="4">
        <v>32.409999999999997</v>
      </c>
      <c r="P11" s="4">
        <v>3698.693878</v>
      </c>
      <c r="Q11" s="4">
        <v>3112.7142859999999</v>
      </c>
      <c r="R11" s="4">
        <v>22.979592</v>
      </c>
      <c r="S11" s="9">
        <v>17593.877551000001</v>
      </c>
      <c r="T11" s="4">
        <v>15074.510204</v>
      </c>
      <c r="U11" s="5">
        <v>0.88489799999999996</v>
      </c>
    </row>
    <row r="12" spans="2:23" ht="27" x14ac:dyDescent="0.3">
      <c r="B12" s="3">
        <v>10</v>
      </c>
      <c r="C12" s="4" t="s">
        <v>67</v>
      </c>
      <c r="D12" s="4">
        <v>88</v>
      </c>
      <c r="E12" s="9">
        <v>13643.897727</v>
      </c>
      <c r="F12" s="4">
        <v>15</v>
      </c>
      <c r="G12" s="4">
        <v>28</v>
      </c>
      <c r="H12" s="5">
        <f t="shared" si="0"/>
        <v>0.17045454545454544</v>
      </c>
      <c r="I12" s="5">
        <f t="shared" si="1"/>
        <v>0.31818181818181818</v>
      </c>
      <c r="J12" s="4">
        <v>35636.977272999997</v>
      </c>
      <c r="K12" s="9">
        <v>26128.522727</v>
      </c>
      <c r="L12" s="4">
        <v>24051.090908999999</v>
      </c>
      <c r="M12" s="5">
        <v>0.94420499999999996</v>
      </c>
      <c r="N12" s="9">
        <v>54</v>
      </c>
      <c r="O12" s="4">
        <v>18.875</v>
      </c>
      <c r="P12" s="4">
        <v>8310.6296299999995</v>
      </c>
      <c r="Q12" s="4">
        <v>1135.5925930000001</v>
      </c>
      <c r="R12" s="4">
        <v>14.333333</v>
      </c>
      <c r="S12" s="9">
        <v>23137.037036999998</v>
      </c>
      <c r="T12" s="4">
        <v>20966.5</v>
      </c>
      <c r="U12" s="5">
        <v>0.89963000000000004</v>
      </c>
    </row>
    <row r="13" spans="2:23" ht="27" x14ac:dyDescent="0.3">
      <c r="B13" s="3">
        <v>11</v>
      </c>
      <c r="C13" s="4" t="s">
        <v>68</v>
      </c>
      <c r="D13" s="4">
        <v>48</v>
      </c>
      <c r="E13" s="9">
        <v>15925.041667</v>
      </c>
      <c r="F13" s="4">
        <v>6</v>
      </c>
      <c r="G13" s="4">
        <v>8</v>
      </c>
      <c r="H13" s="5">
        <f t="shared" si="0"/>
        <v>0.125</v>
      </c>
      <c r="I13" s="5">
        <f t="shared" si="1"/>
        <v>0.16666666666666666</v>
      </c>
      <c r="J13" s="4">
        <v>53264.9375</v>
      </c>
      <c r="K13" s="9">
        <v>20570.833332999999</v>
      </c>
      <c r="L13" s="4">
        <v>19798.395832999999</v>
      </c>
      <c r="M13" s="5">
        <v>0.96125000000000005</v>
      </c>
      <c r="N13" s="9">
        <v>29</v>
      </c>
      <c r="O13" s="4">
        <v>20.895833</v>
      </c>
      <c r="P13" s="4">
        <v>4745.2413790000001</v>
      </c>
      <c r="Q13" s="4">
        <v>2782.0344829999999</v>
      </c>
      <c r="R13" s="4">
        <v>21.448276</v>
      </c>
      <c r="S13" s="9">
        <v>21079.310345000002</v>
      </c>
      <c r="T13" s="4">
        <v>17383.068965999999</v>
      </c>
      <c r="U13" s="5">
        <v>0.88275899999999996</v>
      </c>
    </row>
    <row r="14" spans="2:23" ht="27" x14ac:dyDescent="0.3">
      <c r="B14" s="3">
        <v>12</v>
      </c>
      <c r="C14" s="4" t="s">
        <v>69</v>
      </c>
      <c r="D14" s="4">
        <v>51</v>
      </c>
      <c r="E14" s="9">
        <v>10165.803921999999</v>
      </c>
      <c r="F14" s="4">
        <v>10</v>
      </c>
      <c r="G14" s="4">
        <v>10</v>
      </c>
      <c r="H14" s="5">
        <f t="shared" si="0"/>
        <v>0.19607843137254902</v>
      </c>
      <c r="I14" s="5">
        <f t="shared" si="1"/>
        <v>0.19607843137254902</v>
      </c>
      <c r="J14" s="4">
        <v>60107.333333000002</v>
      </c>
      <c r="K14" s="9">
        <v>24645.098039</v>
      </c>
      <c r="L14" s="4">
        <v>23107.509804000001</v>
      </c>
      <c r="M14" s="5">
        <v>0.95529399999999998</v>
      </c>
      <c r="N14" s="9">
        <v>25</v>
      </c>
      <c r="O14" s="4">
        <v>15.509804000000001</v>
      </c>
      <c r="P14" s="4">
        <v>3668.72</v>
      </c>
      <c r="Q14" s="4">
        <v>3125.68</v>
      </c>
      <c r="R14" s="4">
        <v>24.04</v>
      </c>
      <c r="S14" s="9">
        <v>15520</v>
      </c>
      <c r="T14" s="4">
        <v>14494.04</v>
      </c>
      <c r="U14" s="5">
        <v>0.93799999999999994</v>
      </c>
    </row>
    <row r="15" spans="2:23" ht="27" x14ac:dyDescent="0.3">
      <c r="B15" s="3">
        <v>13</v>
      </c>
      <c r="C15" s="4" t="s">
        <v>70</v>
      </c>
      <c r="D15" s="4">
        <v>30</v>
      </c>
      <c r="E15" s="9">
        <v>12952.8</v>
      </c>
      <c r="F15" s="4">
        <v>1</v>
      </c>
      <c r="G15" s="4">
        <v>8</v>
      </c>
      <c r="H15" s="5">
        <f t="shared" si="0"/>
        <v>3.3333333333333333E-2</v>
      </c>
      <c r="I15" s="5">
        <f t="shared" si="1"/>
        <v>0.26666666666666666</v>
      </c>
      <c r="J15" s="4">
        <v>66616.066667000006</v>
      </c>
      <c r="K15" s="9">
        <v>25379.666667000001</v>
      </c>
      <c r="L15" s="4">
        <v>23180.7</v>
      </c>
      <c r="M15" s="5">
        <v>0.94866700000000004</v>
      </c>
      <c r="N15" s="9">
        <v>15</v>
      </c>
      <c r="O15" s="4">
        <v>12.033333000000001</v>
      </c>
      <c r="P15" s="4">
        <v>1647.4666669999999</v>
      </c>
      <c r="Q15" s="4">
        <v>1134.4000000000001</v>
      </c>
      <c r="R15" s="4">
        <v>22.8</v>
      </c>
      <c r="S15" s="9">
        <v>16500</v>
      </c>
      <c r="T15" s="4">
        <v>13184.8</v>
      </c>
      <c r="U15" s="5">
        <v>0.81666700000000003</v>
      </c>
    </row>
    <row r="16" spans="2:23" ht="27" x14ac:dyDescent="0.3">
      <c r="B16" s="3">
        <v>14</v>
      </c>
      <c r="C16" s="4" t="s">
        <v>71</v>
      </c>
      <c r="D16" s="4">
        <v>31</v>
      </c>
      <c r="E16" s="9">
        <v>12125.967742000001</v>
      </c>
      <c r="F16" s="4">
        <v>2</v>
      </c>
      <c r="G16" s="4">
        <v>4</v>
      </c>
      <c r="H16" s="5">
        <f t="shared" si="0"/>
        <v>6.4516129032258063E-2</v>
      </c>
      <c r="I16" s="5">
        <f t="shared" si="1"/>
        <v>0.12903225806451613</v>
      </c>
      <c r="J16" s="4">
        <v>71289.903225999995</v>
      </c>
      <c r="K16" s="9">
        <v>28167.741934999998</v>
      </c>
      <c r="L16" s="4">
        <v>25745.290323000001</v>
      </c>
      <c r="M16" s="5">
        <v>0.93838699999999997</v>
      </c>
      <c r="N16" s="9">
        <v>13</v>
      </c>
      <c r="O16" s="4">
        <v>15.806452</v>
      </c>
      <c r="P16" s="4">
        <v>1766.538462</v>
      </c>
      <c r="Q16" s="4">
        <v>3533.7692310000002</v>
      </c>
      <c r="R16" s="4">
        <v>25.769231000000001</v>
      </c>
      <c r="S16" s="9">
        <v>18060</v>
      </c>
      <c r="T16" s="4">
        <v>14835.153845999999</v>
      </c>
      <c r="U16" s="5">
        <v>0.788462</v>
      </c>
    </row>
    <row r="17" spans="2:21" ht="27" x14ac:dyDescent="0.3">
      <c r="B17" s="3">
        <v>15</v>
      </c>
      <c r="C17" s="4" t="s">
        <v>72</v>
      </c>
      <c r="D17" s="4">
        <v>22</v>
      </c>
      <c r="E17" s="9">
        <v>12578.681817999999</v>
      </c>
      <c r="F17" s="4">
        <v>2</v>
      </c>
      <c r="G17" s="4">
        <v>4</v>
      </c>
      <c r="H17" s="5">
        <f t="shared" si="0"/>
        <v>9.0909090909090912E-2</v>
      </c>
      <c r="I17" s="5">
        <f t="shared" si="1"/>
        <v>0.18181818181818182</v>
      </c>
      <c r="J17" s="4">
        <v>77000.909090999994</v>
      </c>
      <c r="K17" s="9">
        <v>34077.272727000003</v>
      </c>
      <c r="L17" s="4">
        <v>30551.136364000002</v>
      </c>
      <c r="M17" s="5">
        <v>0.91318200000000005</v>
      </c>
      <c r="N17" s="9">
        <v>11</v>
      </c>
      <c r="O17" s="4">
        <v>14.727273</v>
      </c>
      <c r="P17" s="4">
        <v>1011.4545450000001</v>
      </c>
      <c r="Q17" s="4">
        <v>1834</v>
      </c>
      <c r="R17" s="4">
        <v>17.363636</v>
      </c>
      <c r="S17" s="9">
        <v>16645.454545000001</v>
      </c>
      <c r="T17" s="4">
        <v>13914.818182000001</v>
      </c>
      <c r="U17" s="5">
        <v>0.84090900000000002</v>
      </c>
    </row>
    <row r="18" spans="2:21" ht="27" x14ac:dyDescent="0.3">
      <c r="B18" s="3">
        <v>16</v>
      </c>
      <c r="C18" s="4" t="s">
        <v>73</v>
      </c>
      <c r="D18" s="4">
        <v>29</v>
      </c>
      <c r="E18" s="9">
        <v>14234.344827999999</v>
      </c>
      <c r="F18" s="4">
        <v>3</v>
      </c>
      <c r="G18" s="4">
        <v>5</v>
      </c>
      <c r="H18" s="5">
        <f t="shared" si="0"/>
        <v>0.10344827586206896</v>
      </c>
      <c r="I18" s="5">
        <f t="shared" si="1"/>
        <v>0.17241379310344829</v>
      </c>
      <c r="J18" s="4">
        <v>80886.551724000004</v>
      </c>
      <c r="K18" s="9">
        <v>29434.482758999999</v>
      </c>
      <c r="L18" s="4">
        <v>27675.448275999999</v>
      </c>
      <c r="M18" s="5">
        <v>0.96</v>
      </c>
      <c r="N18" s="9">
        <v>14</v>
      </c>
      <c r="O18" s="4">
        <v>13.62069</v>
      </c>
      <c r="P18" s="4">
        <v>1533.2142859999999</v>
      </c>
      <c r="Q18" s="4">
        <v>1327.5</v>
      </c>
      <c r="R18" s="4">
        <v>23.571428999999998</v>
      </c>
      <c r="S18" s="9">
        <v>19835.714285999999</v>
      </c>
      <c r="T18" s="4">
        <v>16639.5</v>
      </c>
      <c r="U18" s="5">
        <v>0.84928599999999999</v>
      </c>
    </row>
    <row r="19" spans="2:21" ht="27" x14ac:dyDescent="0.3">
      <c r="B19" s="3">
        <v>17</v>
      </c>
      <c r="C19" s="4" t="s">
        <v>74</v>
      </c>
      <c r="D19" s="4">
        <v>13</v>
      </c>
      <c r="E19" s="9">
        <v>15385.307692</v>
      </c>
      <c r="F19" s="4">
        <v>0</v>
      </c>
      <c r="G19" s="4">
        <v>1</v>
      </c>
      <c r="H19" s="5">
        <f t="shared" si="0"/>
        <v>0</v>
      </c>
      <c r="I19" s="5">
        <f t="shared" si="1"/>
        <v>7.6923076923076927E-2</v>
      </c>
      <c r="J19" s="4">
        <v>86286.153846000001</v>
      </c>
      <c r="K19" s="9">
        <v>36429.230769000002</v>
      </c>
      <c r="L19" s="4">
        <v>32229.230769000002</v>
      </c>
      <c r="M19" s="5">
        <v>0.93076899999999996</v>
      </c>
      <c r="N19" s="9">
        <v>8</v>
      </c>
      <c r="O19" s="4">
        <v>14.692308000000001</v>
      </c>
      <c r="P19" s="4">
        <v>1793.5</v>
      </c>
      <c r="Q19" s="4">
        <v>15.875</v>
      </c>
      <c r="R19" s="4">
        <v>24.125</v>
      </c>
      <c r="S19" s="9">
        <v>20437.5</v>
      </c>
      <c r="T19" s="4">
        <v>20043.875</v>
      </c>
      <c r="U19" s="5">
        <v>0.96375</v>
      </c>
    </row>
    <row r="20" spans="2:21" ht="27" x14ac:dyDescent="0.3">
      <c r="B20" s="3">
        <v>18</v>
      </c>
      <c r="C20" s="4" t="s">
        <v>75</v>
      </c>
      <c r="D20" s="4">
        <v>9</v>
      </c>
      <c r="E20" s="9">
        <v>22610.444444000001</v>
      </c>
      <c r="F20" s="4">
        <v>0</v>
      </c>
      <c r="G20" s="4">
        <v>2</v>
      </c>
      <c r="H20" s="5">
        <f t="shared" si="0"/>
        <v>0</v>
      </c>
      <c r="I20" s="5">
        <f t="shared" si="1"/>
        <v>0.22222222222222221</v>
      </c>
      <c r="J20" s="4">
        <v>92264.333333000002</v>
      </c>
      <c r="K20" s="9">
        <v>25833.333332999999</v>
      </c>
      <c r="L20" s="4">
        <v>24255.555555999999</v>
      </c>
      <c r="M20" s="5">
        <v>0.93666700000000003</v>
      </c>
      <c r="N20" s="9">
        <v>5</v>
      </c>
      <c r="O20" s="4">
        <v>10.333333</v>
      </c>
      <c r="P20" s="4">
        <v>482.6</v>
      </c>
      <c r="Q20" s="4">
        <v>1.4</v>
      </c>
      <c r="R20" s="4">
        <v>6.6</v>
      </c>
      <c r="S20" s="9">
        <v>20700</v>
      </c>
      <c r="T20" s="4">
        <v>15120</v>
      </c>
      <c r="U20" s="5">
        <v>0.86599999999999999</v>
      </c>
    </row>
    <row r="21" spans="2:21" ht="27" x14ac:dyDescent="0.3">
      <c r="B21" s="3">
        <v>19</v>
      </c>
      <c r="C21" s="4" t="s">
        <v>76</v>
      </c>
      <c r="D21" s="4">
        <v>17</v>
      </c>
      <c r="E21" s="9">
        <v>21267.117646999999</v>
      </c>
      <c r="F21" s="4">
        <v>0</v>
      </c>
      <c r="G21" s="4">
        <v>2</v>
      </c>
      <c r="H21" s="5">
        <f t="shared" si="0"/>
        <v>0</v>
      </c>
      <c r="I21" s="5">
        <f t="shared" si="1"/>
        <v>0.11764705882352941</v>
      </c>
      <c r="J21" s="4">
        <v>96511.470587999996</v>
      </c>
      <c r="K21" s="9">
        <v>34517.647059000003</v>
      </c>
      <c r="L21" s="4">
        <v>30584.647058999999</v>
      </c>
      <c r="M21" s="5">
        <v>0.88117599999999996</v>
      </c>
      <c r="N21" s="9">
        <v>9</v>
      </c>
      <c r="O21" s="4">
        <v>16.823529000000001</v>
      </c>
      <c r="P21" s="4">
        <v>1238.8888890000001</v>
      </c>
      <c r="Q21" s="4">
        <v>805.44444399999998</v>
      </c>
      <c r="R21" s="4">
        <v>17</v>
      </c>
      <c r="S21" s="9">
        <v>16677.777778</v>
      </c>
      <c r="T21" s="4">
        <v>13601.555555999999</v>
      </c>
      <c r="U21" s="5">
        <v>0.82777800000000001</v>
      </c>
    </row>
    <row r="22" spans="2:21" ht="27" x14ac:dyDescent="0.3">
      <c r="B22" s="3">
        <v>20</v>
      </c>
      <c r="C22" s="4" t="s">
        <v>77</v>
      </c>
      <c r="D22" s="4">
        <v>21</v>
      </c>
      <c r="E22" s="9">
        <v>13677.857142999999</v>
      </c>
      <c r="F22" s="4">
        <v>0</v>
      </c>
      <c r="G22" s="4">
        <v>0</v>
      </c>
      <c r="H22" s="5">
        <f t="shared" si="0"/>
        <v>0</v>
      </c>
      <c r="I22" s="5">
        <f t="shared" si="1"/>
        <v>0</v>
      </c>
      <c r="J22" s="4">
        <v>100924.285714</v>
      </c>
      <c r="K22" s="9">
        <v>38461.904761999998</v>
      </c>
      <c r="L22" s="4">
        <v>37458.666666999998</v>
      </c>
      <c r="M22" s="5">
        <v>0.97666699999999995</v>
      </c>
      <c r="N22" s="9">
        <v>12</v>
      </c>
      <c r="O22" s="4">
        <v>9.4761900000000008</v>
      </c>
      <c r="P22" s="4">
        <v>3042.416667</v>
      </c>
      <c r="Q22" s="4">
        <v>3074.833333</v>
      </c>
      <c r="R22" s="4">
        <v>41.25</v>
      </c>
      <c r="S22" s="9">
        <v>18675</v>
      </c>
      <c r="T22" s="4">
        <v>17609.166667000001</v>
      </c>
      <c r="U22" s="5">
        <v>0.94833299999999998</v>
      </c>
    </row>
    <row r="23" spans="2:21" ht="27" x14ac:dyDescent="0.3">
      <c r="B23" s="3">
        <v>21</v>
      </c>
      <c r="C23" s="4" t="s">
        <v>78</v>
      </c>
      <c r="D23" s="4">
        <v>11</v>
      </c>
      <c r="E23" s="9">
        <v>26688.636364000002</v>
      </c>
      <c r="F23" s="4">
        <v>0</v>
      </c>
      <c r="G23" s="4">
        <v>1</v>
      </c>
      <c r="H23" s="5">
        <f t="shared" si="0"/>
        <v>0</v>
      </c>
      <c r="I23" s="5">
        <f t="shared" si="1"/>
        <v>9.0909090909090912E-2</v>
      </c>
      <c r="J23" s="4">
        <v>106277.454545</v>
      </c>
      <c r="K23" s="9">
        <v>29709.090908999999</v>
      </c>
      <c r="L23" s="4">
        <v>27554.545454999999</v>
      </c>
      <c r="M23" s="5">
        <v>0.94909100000000002</v>
      </c>
      <c r="N23" s="9">
        <v>6</v>
      </c>
      <c r="O23" s="4">
        <v>14.727273</v>
      </c>
      <c r="P23" s="4">
        <v>992.83333300000004</v>
      </c>
      <c r="Q23" s="4">
        <v>837</v>
      </c>
      <c r="R23" s="4">
        <v>13.166667</v>
      </c>
      <c r="S23" s="9">
        <v>18283.333332999999</v>
      </c>
      <c r="T23" s="4">
        <v>16362.5</v>
      </c>
      <c r="U23" s="5">
        <v>0.92833299999999996</v>
      </c>
    </row>
    <row r="24" spans="2:21" ht="27" x14ac:dyDescent="0.3">
      <c r="B24" s="3">
        <v>22</v>
      </c>
      <c r="C24" s="4" t="s">
        <v>79</v>
      </c>
      <c r="D24" s="4">
        <v>7</v>
      </c>
      <c r="E24" s="9">
        <v>23193.714285999999</v>
      </c>
      <c r="F24" s="4">
        <v>0</v>
      </c>
      <c r="G24" s="4">
        <v>1</v>
      </c>
      <c r="H24" s="5">
        <f t="shared" si="0"/>
        <v>0</v>
      </c>
      <c r="I24" s="5">
        <f t="shared" si="1"/>
        <v>0.14285714285714285</v>
      </c>
      <c r="J24" s="4">
        <v>112038.285714</v>
      </c>
      <c r="K24" s="9">
        <v>38128.571429000003</v>
      </c>
      <c r="L24" s="4">
        <v>35300</v>
      </c>
      <c r="M24" s="5">
        <v>0.80571400000000004</v>
      </c>
      <c r="N24" s="9">
        <v>4</v>
      </c>
      <c r="O24" s="4">
        <v>18.857143000000001</v>
      </c>
      <c r="P24" s="4">
        <v>2091.75</v>
      </c>
      <c r="Q24" s="4">
        <v>1213</v>
      </c>
      <c r="R24" s="4">
        <v>37.25</v>
      </c>
      <c r="S24" s="9">
        <v>34125</v>
      </c>
      <c r="T24" s="4">
        <v>23494</v>
      </c>
      <c r="U24" s="5">
        <v>0.8</v>
      </c>
    </row>
    <row r="25" spans="2:21" ht="27" x14ac:dyDescent="0.3">
      <c r="B25" s="3">
        <v>23</v>
      </c>
      <c r="C25" s="4" t="s">
        <v>80</v>
      </c>
      <c r="D25" s="4">
        <v>5</v>
      </c>
      <c r="E25" s="9">
        <v>24105.599999999999</v>
      </c>
      <c r="F25" s="4">
        <v>1</v>
      </c>
      <c r="G25" s="4">
        <v>0</v>
      </c>
      <c r="H25" s="5">
        <f t="shared" si="0"/>
        <v>0.2</v>
      </c>
      <c r="I25" s="5">
        <f t="shared" si="1"/>
        <v>0</v>
      </c>
      <c r="J25" s="4">
        <v>115446</v>
      </c>
      <c r="K25" s="9">
        <v>35600</v>
      </c>
      <c r="L25" s="4">
        <v>35083.199999999997</v>
      </c>
      <c r="M25" s="5">
        <v>0.99199999999999999</v>
      </c>
      <c r="N25" s="9">
        <v>2</v>
      </c>
      <c r="O25" s="4">
        <v>19.2</v>
      </c>
      <c r="P25" s="4">
        <v>450</v>
      </c>
      <c r="Q25" s="4">
        <v>1.5</v>
      </c>
      <c r="R25" s="4">
        <v>6.5</v>
      </c>
      <c r="S25" s="9">
        <v>24050</v>
      </c>
      <c r="T25" s="4">
        <v>23058.5</v>
      </c>
      <c r="U25" s="5">
        <v>0.97499999999999998</v>
      </c>
    </row>
    <row r="26" spans="2:21" ht="27" x14ac:dyDescent="0.3">
      <c r="B26" s="3">
        <v>24</v>
      </c>
      <c r="C26" s="4" t="s">
        <v>81</v>
      </c>
      <c r="D26" s="4">
        <v>4</v>
      </c>
      <c r="E26" s="9">
        <v>33201.75</v>
      </c>
      <c r="F26" s="4">
        <v>0</v>
      </c>
      <c r="G26" s="4">
        <v>1</v>
      </c>
      <c r="H26" s="5">
        <f t="shared" si="0"/>
        <v>0</v>
      </c>
      <c r="I26" s="5">
        <f t="shared" si="1"/>
        <v>0.25</v>
      </c>
      <c r="J26" s="4">
        <v>120287</v>
      </c>
      <c r="K26" s="9">
        <v>27775</v>
      </c>
      <c r="L26" s="4">
        <v>27775</v>
      </c>
      <c r="M26" s="5">
        <v>1</v>
      </c>
      <c r="N26" s="9">
        <v>3</v>
      </c>
      <c r="O26" s="4">
        <v>7.75</v>
      </c>
      <c r="P26" s="4">
        <v>2369</v>
      </c>
      <c r="Q26" s="4">
        <v>7</v>
      </c>
      <c r="R26" s="4">
        <v>39.666666999999997</v>
      </c>
      <c r="S26" s="9">
        <v>22933.333332999999</v>
      </c>
      <c r="T26" s="4">
        <v>22933.333332999999</v>
      </c>
      <c r="U26" s="5">
        <v>1</v>
      </c>
    </row>
    <row r="27" spans="2:21" ht="27" x14ac:dyDescent="0.3">
      <c r="B27" s="3">
        <v>25</v>
      </c>
      <c r="C27" s="4" t="s">
        <v>82</v>
      </c>
      <c r="D27" s="4">
        <v>5</v>
      </c>
      <c r="E27" s="9">
        <v>23856.400000000001</v>
      </c>
      <c r="F27" s="4">
        <v>1</v>
      </c>
      <c r="G27" s="4">
        <v>0</v>
      </c>
      <c r="H27" s="5">
        <f t="shared" si="0"/>
        <v>0.2</v>
      </c>
      <c r="I27" s="5">
        <f t="shared" si="1"/>
        <v>0</v>
      </c>
      <c r="J27" s="4">
        <v>125484.4</v>
      </c>
      <c r="K27" s="9">
        <v>48440</v>
      </c>
      <c r="L27" s="4">
        <v>44065.4</v>
      </c>
      <c r="M27" s="5">
        <v>0.89600000000000002</v>
      </c>
      <c r="N27" s="9">
        <v>3</v>
      </c>
      <c r="O27" s="4">
        <v>23</v>
      </c>
      <c r="P27" s="4">
        <v>1593</v>
      </c>
      <c r="Q27" s="4">
        <v>2500</v>
      </c>
      <c r="R27" s="4">
        <v>22</v>
      </c>
      <c r="S27" s="9">
        <v>29100</v>
      </c>
      <c r="T27" s="4">
        <v>27329</v>
      </c>
      <c r="U27" s="5">
        <v>0.9</v>
      </c>
    </row>
    <row r="28" spans="2:21" ht="27" x14ac:dyDescent="0.3">
      <c r="B28" s="3">
        <v>26</v>
      </c>
      <c r="C28" s="4" t="s">
        <v>83</v>
      </c>
      <c r="D28" s="4">
        <v>6</v>
      </c>
      <c r="E28" s="9">
        <v>26443.5</v>
      </c>
      <c r="F28" s="4">
        <v>0</v>
      </c>
      <c r="G28" s="4">
        <v>0</v>
      </c>
      <c r="H28" s="5">
        <f t="shared" si="0"/>
        <v>0</v>
      </c>
      <c r="I28" s="5">
        <f t="shared" si="1"/>
        <v>0</v>
      </c>
      <c r="J28" s="4">
        <v>131071.166667</v>
      </c>
      <c r="K28" s="9">
        <v>42866.666666999998</v>
      </c>
      <c r="L28" s="4">
        <v>39812.833333000002</v>
      </c>
      <c r="M28" s="5">
        <v>0.93500000000000005</v>
      </c>
      <c r="N28" s="9">
        <v>5</v>
      </c>
      <c r="O28" s="4">
        <v>7</v>
      </c>
      <c r="P28" s="4">
        <v>2583.1999999999998</v>
      </c>
      <c r="Q28" s="4">
        <v>1468</v>
      </c>
      <c r="R28" s="4">
        <v>36.200000000000003</v>
      </c>
      <c r="S28" s="9">
        <v>22420</v>
      </c>
      <c r="T28" s="4">
        <v>14440</v>
      </c>
      <c r="U28" s="5">
        <v>0.8</v>
      </c>
    </row>
    <row r="29" spans="2:21" ht="27" x14ac:dyDescent="0.3">
      <c r="B29" s="3">
        <v>27</v>
      </c>
      <c r="C29" s="4" t="s">
        <v>84</v>
      </c>
      <c r="D29" s="4">
        <v>3</v>
      </c>
      <c r="E29" s="9">
        <v>24808</v>
      </c>
      <c r="F29" s="4">
        <v>0</v>
      </c>
      <c r="G29" s="4">
        <v>0</v>
      </c>
      <c r="H29" s="5">
        <f t="shared" si="0"/>
        <v>0</v>
      </c>
      <c r="I29" s="5">
        <f t="shared" si="1"/>
        <v>0</v>
      </c>
      <c r="J29" s="4">
        <v>137501.33333299999</v>
      </c>
      <c r="K29" s="9">
        <v>45133.333333000002</v>
      </c>
      <c r="L29" s="4">
        <v>45133.333333000002</v>
      </c>
      <c r="M29" s="5">
        <v>1</v>
      </c>
      <c r="N29" s="9">
        <v>2</v>
      </c>
      <c r="O29" s="4">
        <v>14.666667</v>
      </c>
      <c r="P29" s="4">
        <v>230.5</v>
      </c>
      <c r="Q29" s="4">
        <v>3.5</v>
      </c>
      <c r="R29" s="4">
        <v>3.5</v>
      </c>
      <c r="S29" s="9">
        <v>21850</v>
      </c>
      <c r="T29" s="4">
        <v>6450</v>
      </c>
      <c r="U29" s="5">
        <v>0.315</v>
      </c>
    </row>
    <row r="30" spans="2:21" ht="27" x14ac:dyDescent="0.3">
      <c r="B30" s="3">
        <v>28</v>
      </c>
      <c r="C30" s="4" t="s">
        <v>85</v>
      </c>
      <c r="D30" s="4">
        <v>2</v>
      </c>
      <c r="E30" s="9">
        <v>49619.5</v>
      </c>
      <c r="F30" s="4">
        <v>0</v>
      </c>
      <c r="G30" s="4">
        <v>0</v>
      </c>
      <c r="H30" s="5">
        <f t="shared" si="0"/>
        <v>0</v>
      </c>
      <c r="I30" s="5">
        <f t="shared" si="1"/>
        <v>0</v>
      </c>
      <c r="J30" s="4">
        <v>139390.5</v>
      </c>
      <c r="K30" s="9">
        <v>22350</v>
      </c>
      <c r="L30" s="4">
        <v>22350</v>
      </c>
      <c r="M30" s="5">
        <v>1</v>
      </c>
      <c r="N30" s="9">
        <v>1</v>
      </c>
      <c r="O30" s="4">
        <v>19.5</v>
      </c>
      <c r="P30" s="4">
        <v>244</v>
      </c>
      <c r="Q30" s="4">
        <v>0</v>
      </c>
      <c r="R30" s="4">
        <v>5</v>
      </c>
      <c r="S30" s="9">
        <v>19700</v>
      </c>
      <c r="T30" s="4">
        <v>19700</v>
      </c>
      <c r="U30" s="5">
        <v>1</v>
      </c>
    </row>
    <row r="31" spans="2:21" ht="27" x14ac:dyDescent="0.3">
      <c r="B31" s="3">
        <v>29</v>
      </c>
      <c r="C31" s="4" t="s">
        <v>86</v>
      </c>
      <c r="D31" s="4">
        <v>0</v>
      </c>
      <c r="E31" s="9" t="s">
        <v>31</v>
      </c>
      <c r="F31" s="4">
        <v>0</v>
      </c>
      <c r="G31" s="4">
        <v>0</v>
      </c>
      <c r="H31" s="5" t="e">
        <f t="shared" si="0"/>
        <v>#DIV/0!</v>
      </c>
      <c r="I31" s="5" t="e">
        <f t="shared" si="1"/>
        <v>#DIV/0!</v>
      </c>
      <c r="J31" s="4" t="s">
        <v>31</v>
      </c>
      <c r="K31" s="9" t="s">
        <v>30</v>
      </c>
      <c r="L31" s="4" t="s">
        <v>31</v>
      </c>
      <c r="M31" s="5" t="s">
        <v>30</v>
      </c>
      <c r="N31" s="9">
        <v>0</v>
      </c>
      <c r="O31" s="4" t="s">
        <v>30</v>
      </c>
      <c r="P31" s="4" t="s">
        <v>31</v>
      </c>
      <c r="Q31" s="4" t="s">
        <v>31</v>
      </c>
      <c r="R31" s="4" t="s">
        <v>31</v>
      </c>
      <c r="S31" s="9" t="s">
        <v>30</v>
      </c>
      <c r="T31" s="4" t="s">
        <v>31</v>
      </c>
      <c r="U31" s="5" t="s">
        <v>30</v>
      </c>
    </row>
    <row r="32" spans="2:21" ht="27" x14ac:dyDescent="0.3">
      <c r="B32" s="3">
        <v>30</v>
      </c>
      <c r="C32" s="4" t="s">
        <v>87</v>
      </c>
      <c r="D32" s="4">
        <v>0</v>
      </c>
      <c r="E32" s="9" t="s">
        <v>31</v>
      </c>
      <c r="F32" s="4">
        <v>0</v>
      </c>
      <c r="G32" s="4">
        <v>0</v>
      </c>
      <c r="H32" s="5" t="e">
        <f t="shared" si="0"/>
        <v>#DIV/0!</v>
      </c>
      <c r="I32" s="5" t="e">
        <f t="shared" si="1"/>
        <v>#DIV/0!</v>
      </c>
      <c r="J32" s="4" t="s">
        <v>31</v>
      </c>
      <c r="K32" s="9" t="s">
        <v>30</v>
      </c>
      <c r="L32" s="4" t="s">
        <v>31</v>
      </c>
      <c r="M32" s="5" t="s">
        <v>30</v>
      </c>
      <c r="N32" s="9">
        <v>0</v>
      </c>
      <c r="O32" s="4" t="s">
        <v>30</v>
      </c>
      <c r="P32" s="4" t="s">
        <v>31</v>
      </c>
      <c r="Q32" s="4" t="s">
        <v>31</v>
      </c>
      <c r="R32" s="4" t="s">
        <v>31</v>
      </c>
      <c r="S32" s="9" t="s">
        <v>30</v>
      </c>
      <c r="T32" s="4" t="s">
        <v>31</v>
      </c>
      <c r="U32" s="5" t="s">
        <v>30</v>
      </c>
    </row>
    <row r="33" spans="2:21" ht="27" x14ac:dyDescent="0.3">
      <c r="B33" s="3">
        <v>31</v>
      </c>
      <c r="C33" s="4" t="s">
        <v>88</v>
      </c>
      <c r="D33" s="4">
        <v>0</v>
      </c>
      <c r="E33" s="9" t="s">
        <v>31</v>
      </c>
      <c r="F33" s="4">
        <v>0</v>
      </c>
      <c r="G33" s="4">
        <v>0</v>
      </c>
      <c r="H33" s="5" t="e">
        <f t="shared" si="0"/>
        <v>#DIV/0!</v>
      </c>
      <c r="I33" s="5" t="e">
        <f t="shared" si="1"/>
        <v>#DIV/0!</v>
      </c>
      <c r="J33" s="4" t="s">
        <v>31</v>
      </c>
      <c r="K33" s="9" t="s">
        <v>30</v>
      </c>
      <c r="L33" s="4" t="s">
        <v>31</v>
      </c>
      <c r="M33" s="5" t="s">
        <v>30</v>
      </c>
      <c r="N33" s="9">
        <v>0</v>
      </c>
      <c r="O33" s="4" t="s">
        <v>30</v>
      </c>
      <c r="P33" s="4" t="s">
        <v>31</v>
      </c>
      <c r="Q33" s="4" t="s">
        <v>31</v>
      </c>
      <c r="R33" s="4" t="s">
        <v>31</v>
      </c>
      <c r="S33" s="9" t="s">
        <v>30</v>
      </c>
      <c r="T33" s="4" t="s">
        <v>31</v>
      </c>
      <c r="U33" s="5" t="s">
        <v>30</v>
      </c>
    </row>
    <row r="34" spans="2:21" ht="27" x14ac:dyDescent="0.3">
      <c r="B34" s="3">
        <v>32</v>
      </c>
      <c r="C34" s="4" t="s">
        <v>89</v>
      </c>
      <c r="D34" s="4">
        <v>0</v>
      </c>
      <c r="E34" s="9" t="s">
        <v>31</v>
      </c>
      <c r="F34" s="4">
        <v>0</v>
      </c>
      <c r="G34" s="4">
        <v>0</v>
      </c>
      <c r="H34" s="5" t="e">
        <f t="shared" si="0"/>
        <v>#DIV/0!</v>
      </c>
      <c r="I34" s="5" t="e">
        <f t="shared" si="1"/>
        <v>#DIV/0!</v>
      </c>
      <c r="J34" s="4" t="s">
        <v>31</v>
      </c>
      <c r="K34" s="9" t="s">
        <v>30</v>
      </c>
      <c r="L34" s="4" t="s">
        <v>31</v>
      </c>
      <c r="M34" s="5" t="s">
        <v>30</v>
      </c>
      <c r="N34" s="9">
        <v>0</v>
      </c>
      <c r="O34" s="4" t="s">
        <v>30</v>
      </c>
      <c r="P34" s="4" t="s">
        <v>31</v>
      </c>
      <c r="Q34" s="4" t="s">
        <v>31</v>
      </c>
      <c r="R34" s="4" t="s">
        <v>31</v>
      </c>
      <c r="S34" s="9" t="s">
        <v>30</v>
      </c>
      <c r="T34" s="4" t="s">
        <v>31</v>
      </c>
      <c r="U34" s="5" t="s">
        <v>30</v>
      </c>
    </row>
    <row r="35" spans="2:21" ht="27" x14ac:dyDescent="0.3">
      <c r="B35" s="3">
        <v>33</v>
      </c>
      <c r="C35" s="4" t="s">
        <v>90</v>
      </c>
      <c r="D35" s="4">
        <v>0</v>
      </c>
      <c r="E35" s="9" t="s">
        <v>31</v>
      </c>
      <c r="F35" s="4">
        <v>0</v>
      </c>
      <c r="G35" s="4">
        <v>0</v>
      </c>
      <c r="H35" s="5" t="e">
        <f t="shared" si="0"/>
        <v>#DIV/0!</v>
      </c>
      <c r="I35" s="5" t="e">
        <f t="shared" si="1"/>
        <v>#DIV/0!</v>
      </c>
      <c r="J35" s="4" t="s">
        <v>31</v>
      </c>
      <c r="K35" s="9" t="s">
        <v>30</v>
      </c>
      <c r="L35" s="4" t="s">
        <v>31</v>
      </c>
      <c r="M35" s="5" t="s">
        <v>30</v>
      </c>
      <c r="N35" s="9">
        <v>0</v>
      </c>
      <c r="O35" s="4" t="s">
        <v>30</v>
      </c>
      <c r="P35" s="4" t="s">
        <v>31</v>
      </c>
      <c r="Q35" s="4" t="s">
        <v>31</v>
      </c>
      <c r="R35" s="4" t="s">
        <v>31</v>
      </c>
      <c r="S35" s="9" t="s">
        <v>30</v>
      </c>
      <c r="T35" s="4" t="s">
        <v>31</v>
      </c>
      <c r="U35" s="5" t="s">
        <v>30</v>
      </c>
    </row>
    <row r="36" spans="2:21" ht="27" x14ac:dyDescent="0.3">
      <c r="B36" s="3">
        <v>34</v>
      </c>
      <c r="C36" s="4" t="s">
        <v>91</v>
      </c>
      <c r="D36" s="4">
        <v>0</v>
      </c>
      <c r="E36" s="9" t="s">
        <v>31</v>
      </c>
      <c r="F36" s="4">
        <v>0</v>
      </c>
      <c r="G36" s="4">
        <v>0</v>
      </c>
      <c r="H36" s="5" t="e">
        <f t="shared" si="0"/>
        <v>#DIV/0!</v>
      </c>
      <c r="I36" s="5" t="e">
        <f t="shared" si="1"/>
        <v>#DIV/0!</v>
      </c>
      <c r="J36" s="4" t="s">
        <v>31</v>
      </c>
      <c r="K36" s="9" t="s">
        <v>30</v>
      </c>
      <c r="L36" s="4" t="s">
        <v>31</v>
      </c>
      <c r="M36" s="5" t="s">
        <v>30</v>
      </c>
      <c r="N36" s="9">
        <v>0</v>
      </c>
      <c r="O36" s="4" t="s">
        <v>30</v>
      </c>
      <c r="P36" s="4" t="s">
        <v>31</v>
      </c>
      <c r="Q36" s="4" t="s">
        <v>31</v>
      </c>
      <c r="R36" s="4" t="s">
        <v>31</v>
      </c>
      <c r="S36" s="9" t="s">
        <v>30</v>
      </c>
      <c r="T36" s="4" t="s">
        <v>31</v>
      </c>
      <c r="U36" s="5" t="s">
        <v>30</v>
      </c>
    </row>
    <row r="37" spans="2:21" ht="27" x14ac:dyDescent="0.3">
      <c r="B37" s="3">
        <v>35</v>
      </c>
      <c r="C37" s="4" t="s">
        <v>92</v>
      </c>
      <c r="D37" s="4">
        <v>1</v>
      </c>
      <c r="E37" s="9">
        <v>31246</v>
      </c>
      <c r="F37" s="4">
        <v>0</v>
      </c>
      <c r="G37" s="4">
        <v>0</v>
      </c>
      <c r="H37" s="5">
        <f t="shared" si="0"/>
        <v>0</v>
      </c>
      <c r="I37" s="5">
        <f t="shared" si="1"/>
        <v>0</v>
      </c>
      <c r="J37" s="4">
        <v>177081</v>
      </c>
      <c r="K37" s="9">
        <v>57400</v>
      </c>
      <c r="L37" s="4">
        <v>57400</v>
      </c>
      <c r="M37" s="5">
        <v>1</v>
      </c>
      <c r="N37" s="9">
        <v>0</v>
      </c>
      <c r="O37" s="4">
        <v>2</v>
      </c>
      <c r="P37" s="4" t="s">
        <v>31</v>
      </c>
      <c r="Q37" s="4" t="s">
        <v>31</v>
      </c>
      <c r="R37" s="4" t="s">
        <v>31</v>
      </c>
      <c r="S37" s="9" t="s">
        <v>30</v>
      </c>
      <c r="T37" s="4" t="s">
        <v>31</v>
      </c>
      <c r="U37" s="5" t="s">
        <v>30</v>
      </c>
    </row>
    <row r="38" spans="2:21" ht="27" x14ac:dyDescent="0.3">
      <c r="B38" s="3">
        <v>36</v>
      </c>
      <c r="C38" s="4" t="s">
        <v>93</v>
      </c>
      <c r="D38" s="4">
        <v>1</v>
      </c>
      <c r="E38" s="9">
        <v>3225</v>
      </c>
      <c r="F38" s="4">
        <v>0</v>
      </c>
      <c r="G38" s="4">
        <v>0</v>
      </c>
      <c r="H38" s="5">
        <f t="shared" si="0"/>
        <v>0</v>
      </c>
      <c r="I38" s="5">
        <f t="shared" si="1"/>
        <v>0</v>
      </c>
      <c r="J38" s="4">
        <v>175026</v>
      </c>
      <c r="K38" s="9">
        <v>180200</v>
      </c>
      <c r="L38" s="4">
        <v>180200</v>
      </c>
      <c r="M38" s="5">
        <v>1</v>
      </c>
      <c r="N38" s="9">
        <v>0</v>
      </c>
      <c r="O38" s="4">
        <v>62</v>
      </c>
      <c r="P38" s="4" t="s">
        <v>31</v>
      </c>
      <c r="Q38" s="4" t="s">
        <v>31</v>
      </c>
      <c r="R38" s="4" t="s">
        <v>31</v>
      </c>
      <c r="S38" s="9" t="s">
        <v>30</v>
      </c>
      <c r="T38" s="4" t="s">
        <v>31</v>
      </c>
      <c r="U38" s="5" t="s">
        <v>30</v>
      </c>
    </row>
    <row r="39" spans="2:21" ht="27" x14ac:dyDescent="0.3">
      <c r="B39" s="3">
        <v>37</v>
      </c>
      <c r="C39" s="4" t="s">
        <v>94</v>
      </c>
      <c r="D39" s="4">
        <v>0</v>
      </c>
      <c r="E39" s="9" t="s">
        <v>31</v>
      </c>
      <c r="F39" s="4">
        <v>0</v>
      </c>
      <c r="G39" s="4">
        <v>0</v>
      </c>
      <c r="H39" s="5" t="e">
        <f t="shared" si="0"/>
        <v>#DIV/0!</v>
      </c>
      <c r="I39" s="5" t="e">
        <f t="shared" si="1"/>
        <v>#DIV/0!</v>
      </c>
      <c r="J39" s="4" t="s">
        <v>31</v>
      </c>
      <c r="K39" s="9" t="s">
        <v>30</v>
      </c>
      <c r="L39" s="4" t="s">
        <v>31</v>
      </c>
      <c r="M39" s="5" t="s">
        <v>30</v>
      </c>
      <c r="N39" s="9">
        <v>0</v>
      </c>
      <c r="O39" s="4" t="s">
        <v>30</v>
      </c>
      <c r="P39" s="4" t="s">
        <v>31</v>
      </c>
      <c r="Q39" s="4" t="s">
        <v>31</v>
      </c>
      <c r="R39" s="4" t="s">
        <v>31</v>
      </c>
      <c r="S39" s="9" t="s">
        <v>30</v>
      </c>
      <c r="T39" s="4" t="s">
        <v>31</v>
      </c>
      <c r="U39" s="5" t="s">
        <v>30</v>
      </c>
    </row>
    <row r="40" spans="2:21" ht="27" x14ac:dyDescent="0.3">
      <c r="B40" s="3">
        <v>38</v>
      </c>
      <c r="C40" s="4" t="s">
        <v>95</v>
      </c>
      <c r="D40" s="4">
        <v>0</v>
      </c>
      <c r="E40" s="9" t="s">
        <v>31</v>
      </c>
      <c r="F40" s="4">
        <v>0</v>
      </c>
      <c r="G40" s="4">
        <v>0</v>
      </c>
      <c r="H40" s="5" t="e">
        <f t="shared" si="0"/>
        <v>#DIV/0!</v>
      </c>
      <c r="I40" s="5" t="e">
        <f t="shared" si="1"/>
        <v>#DIV/0!</v>
      </c>
      <c r="J40" s="4" t="s">
        <v>31</v>
      </c>
      <c r="K40" s="9" t="s">
        <v>30</v>
      </c>
      <c r="L40" s="4" t="s">
        <v>31</v>
      </c>
      <c r="M40" s="5" t="s">
        <v>30</v>
      </c>
      <c r="N40" s="9">
        <v>0</v>
      </c>
      <c r="O40" s="4" t="s">
        <v>30</v>
      </c>
      <c r="P40" s="4" t="s">
        <v>31</v>
      </c>
      <c r="Q40" s="4" t="s">
        <v>31</v>
      </c>
      <c r="R40" s="4" t="s">
        <v>31</v>
      </c>
      <c r="S40" s="9" t="s">
        <v>30</v>
      </c>
      <c r="T40" s="4" t="s">
        <v>31</v>
      </c>
      <c r="U40" s="5" t="s">
        <v>30</v>
      </c>
    </row>
    <row r="41" spans="2:21" ht="27" x14ac:dyDescent="0.3">
      <c r="B41" s="3">
        <v>39</v>
      </c>
      <c r="C41" s="4" t="s">
        <v>96</v>
      </c>
      <c r="D41" s="4">
        <v>1</v>
      </c>
      <c r="E41" s="9">
        <v>0</v>
      </c>
      <c r="F41" s="4">
        <v>1</v>
      </c>
      <c r="G41" s="4">
        <v>1</v>
      </c>
      <c r="H41" s="5">
        <f t="shared" si="0"/>
        <v>1</v>
      </c>
      <c r="I41" s="5">
        <f t="shared" si="1"/>
        <v>1</v>
      </c>
      <c r="J41" s="4">
        <v>193783</v>
      </c>
      <c r="K41" s="9">
        <v>143000</v>
      </c>
      <c r="L41" s="4">
        <v>104998</v>
      </c>
      <c r="M41" s="5">
        <v>0.73</v>
      </c>
      <c r="N41" s="9">
        <v>0</v>
      </c>
      <c r="O41" s="4">
        <v>67</v>
      </c>
      <c r="P41" s="4" t="s">
        <v>31</v>
      </c>
      <c r="Q41" s="4" t="s">
        <v>31</v>
      </c>
      <c r="R41" s="4" t="s">
        <v>31</v>
      </c>
      <c r="S41" s="9" t="s">
        <v>30</v>
      </c>
      <c r="T41" s="4" t="s">
        <v>31</v>
      </c>
      <c r="U41" s="5" t="s">
        <v>30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C49B-51EE-4DAC-A758-608081826B76}">
  <dimension ref="A1:Y51"/>
  <sheetViews>
    <sheetView workbookViewId="0">
      <selection activeCell="U11" sqref="U11"/>
    </sheetView>
  </sheetViews>
  <sheetFormatPr defaultRowHeight="16.5" x14ac:dyDescent="0.3"/>
  <cols>
    <col min="12" max="12" width="10.625" style="2" bestFit="1" customWidth="1"/>
    <col min="13" max="13" width="10.625" bestFit="1" customWidth="1"/>
  </cols>
  <sheetData>
    <row r="1" spans="1:25" ht="27" x14ac:dyDescent="0.3">
      <c r="A1" s="3"/>
      <c r="B1" s="3" t="s">
        <v>19</v>
      </c>
      <c r="C1" s="3" t="s">
        <v>17</v>
      </c>
      <c r="D1" s="43" t="s">
        <v>56</v>
      </c>
      <c r="E1" s="44"/>
      <c r="F1" s="44"/>
      <c r="G1" s="45"/>
      <c r="H1" s="3" t="s">
        <v>5</v>
      </c>
      <c r="I1" s="3" t="s">
        <v>59</v>
      </c>
      <c r="J1" s="3" t="s">
        <v>6</v>
      </c>
      <c r="K1" s="3" t="s">
        <v>55</v>
      </c>
      <c r="L1" s="6"/>
      <c r="M1" s="3" t="s">
        <v>191</v>
      </c>
      <c r="N1" s="3" t="s">
        <v>7</v>
      </c>
      <c r="O1" s="3" t="s">
        <v>20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43" t="s">
        <v>13</v>
      </c>
      <c r="V1" s="44"/>
      <c r="W1" s="45"/>
    </row>
    <row r="2" spans="1:25" x14ac:dyDescent="0.3">
      <c r="A2" s="3"/>
      <c r="B2" s="3"/>
      <c r="C2" s="3"/>
      <c r="D2" s="3" t="s">
        <v>16</v>
      </c>
      <c r="E2" s="3" t="s">
        <v>15</v>
      </c>
      <c r="F2" s="3" t="s">
        <v>57</v>
      </c>
      <c r="G2" s="3" t="s">
        <v>29</v>
      </c>
      <c r="H2" s="3" t="s">
        <v>14</v>
      </c>
      <c r="I2" s="3" t="s">
        <v>32</v>
      </c>
      <c r="J2" s="3" t="s">
        <v>32</v>
      </c>
      <c r="K2" s="3" t="s">
        <v>14</v>
      </c>
      <c r="L2" s="6"/>
      <c r="M2" s="3"/>
      <c r="N2" s="3" t="s">
        <v>15</v>
      </c>
      <c r="O2" s="3" t="s">
        <v>15</v>
      </c>
      <c r="P2" s="3" t="s">
        <v>15</v>
      </c>
      <c r="Q2" s="3" t="s">
        <v>15</v>
      </c>
      <c r="R2" s="3" t="s">
        <v>15</v>
      </c>
      <c r="S2" s="3" t="s">
        <v>15</v>
      </c>
      <c r="T2" s="3" t="s">
        <v>15</v>
      </c>
      <c r="U2" s="3" t="s">
        <v>16</v>
      </c>
      <c r="V2" s="3" t="s">
        <v>15</v>
      </c>
      <c r="W2" s="3" t="s">
        <v>29</v>
      </c>
    </row>
    <row r="3" spans="1:25" x14ac:dyDescent="0.3">
      <c r="A3" s="3">
        <v>0</v>
      </c>
      <c r="B3" s="4" t="s">
        <v>22</v>
      </c>
      <c r="C3" s="4" t="s">
        <v>22</v>
      </c>
      <c r="D3" s="4">
        <v>559</v>
      </c>
      <c r="E3" s="4">
        <v>545.69795499999998</v>
      </c>
      <c r="F3" s="4">
        <v>110</v>
      </c>
      <c r="G3" s="4">
        <v>841</v>
      </c>
      <c r="H3" s="4">
        <v>1907</v>
      </c>
      <c r="I3" s="4">
        <v>611</v>
      </c>
      <c r="J3" s="4">
        <v>1018</v>
      </c>
      <c r="K3" s="4">
        <v>480</v>
      </c>
      <c r="L3" s="5">
        <f>J3/H3</f>
        <v>0.53382275825904557</v>
      </c>
      <c r="M3" s="4">
        <f>SUM(N3:O3)</f>
        <v>2902.2312529999999</v>
      </c>
      <c r="N3" s="4">
        <v>2122.7582590000002</v>
      </c>
      <c r="O3" s="4">
        <v>779.47299399999997</v>
      </c>
      <c r="P3" s="4">
        <v>16971.683271999998</v>
      </c>
      <c r="Q3" s="4">
        <v>994.36130000000003</v>
      </c>
      <c r="R3" s="4">
        <v>7.6660000000000006E-2</v>
      </c>
      <c r="S3" s="4">
        <v>535.22968000000003</v>
      </c>
      <c r="T3" s="4">
        <v>626.15783999999996</v>
      </c>
      <c r="U3" s="4">
        <v>13</v>
      </c>
      <c r="V3" s="4">
        <v>15.941269</v>
      </c>
      <c r="W3" s="4">
        <v>71</v>
      </c>
      <c r="X3">
        <f>SUMPRODUCT(H3:H8,V3:V8)/SUM(H3:H8)</f>
        <v>18.250499717166214</v>
      </c>
      <c r="Y3">
        <f>Q3/R3</f>
        <v>12971.057918079832</v>
      </c>
    </row>
    <row r="4" spans="1:25" x14ac:dyDescent="0.3">
      <c r="A4" s="3">
        <v>1</v>
      </c>
      <c r="B4" s="4" t="s">
        <v>22</v>
      </c>
      <c r="C4" s="4" t="s">
        <v>23</v>
      </c>
      <c r="D4" s="4">
        <v>574</v>
      </c>
      <c r="E4" s="4">
        <v>569.94683299999997</v>
      </c>
      <c r="F4" s="4">
        <v>151</v>
      </c>
      <c r="G4" s="4">
        <v>824</v>
      </c>
      <c r="H4" s="4">
        <v>1279</v>
      </c>
      <c r="I4" s="4">
        <v>345</v>
      </c>
      <c r="J4" s="4">
        <v>535</v>
      </c>
      <c r="K4" s="4">
        <v>521</v>
      </c>
      <c r="L4" s="5">
        <f t="shared" ref="L4:L51" si="0">J4/H4</f>
        <v>0.41829554339327601</v>
      </c>
      <c r="M4" s="4">
        <f t="shared" ref="M4:M8" si="1">SUM(N4:O4)</f>
        <v>8267.1712269999989</v>
      </c>
      <c r="N4" s="4">
        <v>7296.1055509999997</v>
      </c>
      <c r="O4" s="4">
        <v>971.06567600000005</v>
      </c>
      <c r="P4" s="4">
        <v>18153.838937</v>
      </c>
      <c r="Q4" s="4">
        <v>1274.316654</v>
      </c>
      <c r="R4" s="4">
        <v>9.2658000000000004E-2</v>
      </c>
      <c r="S4" s="4">
        <v>288.17435499999999</v>
      </c>
      <c r="T4" s="4">
        <v>922.61766999999998</v>
      </c>
      <c r="U4" s="4">
        <v>16</v>
      </c>
      <c r="V4" s="4">
        <v>18.350273999999999</v>
      </c>
      <c r="W4" s="4">
        <v>71</v>
      </c>
      <c r="X4">
        <f>SUMPRODUCT(H3:H8,M3:M8)/SUM(H3:H8)</f>
        <v>10692.374023443415</v>
      </c>
      <c r="Y4">
        <f t="shared" ref="Y4:Y15" si="2">Q4/R4</f>
        <v>13752.904811241338</v>
      </c>
    </row>
    <row r="5" spans="1:25" ht="27" x14ac:dyDescent="0.3">
      <c r="A5" s="3">
        <v>2</v>
      </c>
      <c r="B5" s="4" t="s">
        <v>22</v>
      </c>
      <c r="C5" s="4" t="s">
        <v>24</v>
      </c>
      <c r="D5" s="4">
        <v>581</v>
      </c>
      <c r="E5" s="4">
        <v>583.75051299999996</v>
      </c>
      <c r="F5" s="4">
        <v>190</v>
      </c>
      <c r="G5" s="4">
        <v>839</v>
      </c>
      <c r="H5" s="4">
        <v>974</v>
      </c>
      <c r="I5" s="4">
        <v>272</v>
      </c>
      <c r="J5" s="4">
        <v>332</v>
      </c>
      <c r="K5" s="4">
        <v>459</v>
      </c>
      <c r="L5" s="5">
        <f t="shared" si="0"/>
        <v>0.34086242299794661</v>
      </c>
      <c r="M5" s="4">
        <f t="shared" si="1"/>
        <v>13785.676590999999</v>
      </c>
      <c r="N5" s="4">
        <v>12470.149896999999</v>
      </c>
      <c r="O5" s="4">
        <v>1315.5266939999999</v>
      </c>
      <c r="P5" s="4">
        <v>19130.462012</v>
      </c>
      <c r="Q5" s="4">
        <v>1622.8028750000001</v>
      </c>
      <c r="R5" s="4">
        <v>0.11001</v>
      </c>
      <c r="S5" s="4">
        <v>489.09753599999999</v>
      </c>
      <c r="T5" s="4">
        <v>1225.0349080000001</v>
      </c>
      <c r="U5" s="4">
        <v>19</v>
      </c>
      <c r="V5" s="4">
        <v>20.073922</v>
      </c>
      <c r="W5" s="4">
        <v>73</v>
      </c>
      <c r="Y5">
        <f t="shared" si="2"/>
        <v>14751.412371602582</v>
      </c>
    </row>
    <row r="6" spans="1:25" ht="27" x14ac:dyDescent="0.3">
      <c r="A6" s="3">
        <v>3</v>
      </c>
      <c r="B6" s="4" t="s">
        <v>22</v>
      </c>
      <c r="C6" s="4" t="s">
        <v>25</v>
      </c>
      <c r="D6" s="4">
        <v>582.5</v>
      </c>
      <c r="E6" s="4">
        <v>588.48603400000002</v>
      </c>
      <c r="F6" s="4">
        <v>270</v>
      </c>
      <c r="G6" s="4">
        <v>819</v>
      </c>
      <c r="H6" s="4">
        <v>716</v>
      </c>
      <c r="I6" s="4">
        <v>180</v>
      </c>
      <c r="J6" s="4">
        <v>203</v>
      </c>
      <c r="K6" s="4">
        <v>398</v>
      </c>
      <c r="L6" s="5">
        <f t="shared" si="0"/>
        <v>0.28351955307262572</v>
      </c>
      <c r="M6" s="4">
        <f t="shared" si="1"/>
        <v>18701.168995</v>
      </c>
      <c r="N6" s="4">
        <v>17266.484637000001</v>
      </c>
      <c r="O6" s="4">
        <v>1434.684358</v>
      </c>
      <c r="P6" s="4">
        <v>21282.625698</v>
      </c>
      <c r="Q6" s="4">
        <v>1537.174581</v>
      </c>
      <c r="R6" s="4">
        <v>9.4189999999999996E-2</v>
      </c>
      <c r="S6" s="4">
        <v>321.40223500000002</v>
      </c>
      <c r="T6" s="4">
        <v>1362.938547</v>
      </c>
      <c r="U6" s="4">
        <v>19</v>
      </c>
      <c r="V6" s="4">
        <v>20.374302</v>
      </c>
      <c r="W6" s="4">
        <v>74</v>
      </c>
      <c r="Y6">
        <f t="shared" si="2"/>
        <v>16319.933973882578</v>
      </c>
    </row>
    <row r="7" spans="1:25" ht="27" x14ac:dyDescent="0.3">
      <c r="A7" s="3">
        <v>4</v>
      </c>
      <c r="B7" s="4" t="s">
        <v>22</v>
      </c>
      <c r="C7" s="4" t="s">
        <v>26</v>
      </c>
      <c r="D7" s="4">
        <v>597</v>
      </c>
      <c r="E7" s="4">
        <v>597.55875300000002</v>
      </c>
      <c r="F7" s="4">
        <v>293</v>
      </c>
      <c r="G7" s="4">
        <v>822</v>
      </c>
      <c r="H7" s="4">
        <v>417</v>
      </c>
      <c r="I7" s="4">
        <v>93</v>
      </c>
      <c r="J7" s="4">
        <v>119</v>
      </c>
      <c r="K7" s="4">
        <v>250</v>
      </c>
      <c r="L7" s="5">
        <f t="shared" si="0"/>
        <v>0.28537170263788969</v>
      </c>
      <c r="M7" s="4">
        <f t="shared" si="1"/>
        <v>23675.112710000001</v>
      </c>
      <c r="N7" s="4">
        <v>22164.508393</v>
      </c>
      <c r="O7" s="4">
        <v>1510.604317</v>
      </c>
      <c r="P7" s="4">
        <v>23229.280576000001</v>
      </c>
      <c r="Q7" s="4">
        <v>1750.7002399999999</v>
      </c>
      <c r="R7" s="4">
        <v>9.8464999999999997E-2</v>
      </c>
      <c r="S7" s="4">
        <v>339.85611499999999</v>
      </c>
      <c r="T7" s="4">
        <v>1481.390887</v>
      </c>
      <c r="U7" s="4">
        <v>21</v>
      </c>
      <c r="V7" s="4">
        <v>21.047961999999998</v>
      </c>
      <c r="W7" s="4">
        <v>73</v>
      </c>
      <c r="Y7">
        <f t="shared" si="2"/>
        <v>17779.92423703854</v>
      </c>
    </row>
    <row r="8" spans="1:25" ht="27" x14ac:dyDescent="0.3">
      <c r="A8" s="3">
        <v>5</v>
      </c>
      <c r="B8" s="4" t="s">
        <v>22</v>
      </c>
      <c r="C8" s="4" t="s">
        <v>27</v>
      </c>
      <c r="D8" s="4">
        <v>594.5</v>
      </c>
      <c r="E8" s="4">
        <v>604.31603800000005</v>
      </c>
      <c r="F8" s="4">
        <v>311</v>
      </c>
      <c r="G8" s="4">
        <v>807</v>
      </c>
      <c r="H8" s="4">
        <v>212</v>
      </c>
      <c r="I8" s="4">
        <v>38</v>
      </c>
      <c r="J8" s="4">
        <v>56</v>
      </c>
      <c r="K8" s="4">
        <v>140</v>
      </c>
      <c r="L8" s="5">
        <f t="shared" si="0"/>
        <v>0.26415094339622641</v>
      </c>
      <c r="M8" s="4">
        <f t="shared" si="1"/>
        <v>28601.150943999997</v>
      </c>
      <c r="N8" s="4">
        <v>27108.278301999999</v>
      </c>
      <c r="O8" s="4">
        <v>1492.872642</v>
      </c>
      <c r="P8" s="4">
        <v>25935.754717</v>
      </c>
      <c r="Q8" s="4">
        <v>1636.2358489999999</v>
      </c>
      <c r="R8" s="4">
        <v>8.1321000000000004E-2</v>
      </c>
      <c r="S8" s="4">
        <v>371</v>
      </c>
      <c r="T8" s="4">
        <v>1359.584906</v>
      </c>
      <c r="U8" s="4">
        <v>14</v>
      </c>
      <c r="V8" s="4">
        <v>17.367925</v>
      </c>
      <c r="W8" s="4">
        <v>56</v>
      </c>
      <c r="Y8">
        <f t="shared" si="2"/>
        <v>20120.704971655538</v>
      </c>
    </row>
    <row r="9" spans="1:25" x14ac:dyDescent="0.3">
      <c r="A9" s="3">
        <v>6</v>
      </c>
      <c r="B9" s="4" t="s">
        <v>22</v>
      </c>
      <c r="C9" s="4" t="s">
        <v>18</v>
      </c>
      <c r="D9" s="4">
        <v>593</v>
      </c>
      <c r="E9" s="4">
        <v>593.11688300000003</v>
      </c>
      <c r="F9" s="4">
        <v>259</v>
      </c>
      <c r="G9" s="4">
        <v>812</v>
      </c>
      <c r="H9" s="4">
        <v>154</v>
      </c>
      <c r="I9" s="4">
        <v>25</v>
      </c>
      <c r="J9" s="4">
        <v>33</v>
      </c>
      <c r="K9" s="4">
        <v>118</v>
      </c>
      <c r="L9" s="5">
        <f t="shared" si="0"/>
        <v>0.21428571428571427</v>
      </c>
      <c r="M9" s="4"/>
      <c r="N9" s="4">
        <v>35152.636363999998</v>
      </c>
      <c r="O9" s="4">
        <v>1522.149351</v>
      </c>
      <c r="P9" s="4">
        <v>31395.324675</v>
      </c>
      <c r="Q9" s="4">
        <v>2008.441558</v>
      </c>
      <c r="R9" s="4">
        <v>9.6169000000000004E-2</v>
      </c>
      <c r="S9" s="4">
        <v>469.11688299999997</v>
      </c>
      <c r="T9" s="4">
        <v>1468.220779</v>
      </c>
      <c r="U9" s="4">
        <v>14</v>
      </c>
      <c r="V9" s="4">
        <v>17.240259999999999</v>
      </c>
      <c r="W9" s="4">
        <v>58</v>
      </c>
      <c r="Y9">
        <f t="shared" si="2"/>
        <v>20884.500805872995</v>
      </c>
    </row>
    <row r="10" spans="1:25" x14ac:dyDescent="0.3">
      <c r="A10" s="3">
        <v>7</v>
      </c>
      <c r="B10" s="4" t="s">
        <v>23</v>
      </c>
      <c r="C10" s="4" t="s">
        <v>22</v>
      </c>
      <c r="D10" s="4">
        <v>580</v>
      </c>
      <c r="E10" s="4">
        <v>559.59440600000005</v>
      </c>
      <c r="F10" s="4">
        <v>109</v>
      </c>
      <c r="G10" s="4">
        <v>803</v>
      </c>
      <c r="H10" s="4">
        <v>143</v>
      </c>
      <c r="I10" s="4">
        <v>53</v>
      </c>
      <c r="J10" s="4">
        <v>50</v>
      </c>
      <c r="K10" s="4">
        <v>116</v>
      </c>
      <c r="L10" s="5">
        <f t="shared" si="0"/>
        <v>0.34965034965034963</v>
      </c>
      <c r="M10" s="4"/>
      <c r="N10" s="4">
        <v>1065.006993</v>
      </c>
      <c r="O10" s="4">
        <v>7110.2517479999997</v>
      </c>
      <c r="P10" s="4">
        <v>17628.251747999999</v>
      </c>
      <c r="Q10" s="4">
        <v>4604.1118880000004</v>
      </c>
      <c r="R10" s="4">
        <v>0.36237799999999998</v>
      </c>
      <c r="S10" s="4">
        <v>6416.6503499999999</v>
      </c>
      <c r="T10" s="4">
        <v>1796.7832169999999</v>
      </c>
      <c r="U10" s="4">
        <v>27</v>
      </c>
      <c r="V10" s="4">
        <v>28.090909</v>
      </c>
      <c r="W10" s="4">
        <v>71</v>
      </c>
      <c r="Y10">
        <f t="shared" si="2"/>
        <v>12705.274293693328</v>
      </c>
    </row>
    <row r="11" spans="1:25" x14ac:dyDescent="0.3">
      <c r="A11" s="3">
        <v>8</v>
      </c>
      <c r="B11" s="4" t="s">
        <v>23</v>
      </c>
      <c r="C11" s="4" t="s">
        <v>23</v>
      </c>
      <c r="D11" s="4">
        <v>623.5</v>
      </c>
      <c r="E11" s="4">
        <v>612.30555600000002</v>
      </c>
      <c r="F11" s="4">
        <v>391</v>
      </c>
      <c r="G11" s="4">
        <v>774</v>
      </c>
      <c r="H11" s="4">
        <v>36</v>
      </c>
      <c r="I11" s="4">
        <v>16</v>
      </c>
      <c r="J11" s="4">
        <v>14</v>
      </c>
      <c r="K11" s="4">
        <v>30</v>
      </c>
      <c r="L11" s="5">
        <f t="shared" si="0"/>
        <v>0.3888888888888889</v>
      </c>
      <c r="M11" s="4"/>
      <c r="N11" s="4">
        <v>7378.6666670000004</v>
      </c>
      <c r="O11" s="4">
        <v>6061.3055560000003</v>
      </c>
      <c r="P11" s="4">
        <v>16283.333333</v>
      </c>
      <c r="Q11" s="4">
        <v>4459.0833329999996</v>
      </c>
      <c r="R11" s="4">
        <v>0.33638899999999999</v>
      </c>
      <c r="S11" s="4">
        <v>5595.4444439999997</v>
      </c>
      <c r="T11" s="4">
        <v>1789.3611109999999</v>
      </c>
      <c r="U11" s="4">
        <v>26</v>
      </c>
      <c r="V11" s="4">
        <v>25.222221999999999</v>
      </c>
      <c r="W11" s="4">
        <v>65</v>
      </c>
      <c r="Y11">
        <f t="shared" si="2"/>
        <v>13255.734679195812</v>
      </c>
    </row>
    <row r="12" spans="1:25" ht="27" x14ac:dyDescent="0.3">
      <c r="A12" s="3">
        <v>9</v>
      </c>
      <c r="B12" s="4" t="s">
        <v>23</v>
      </c>
      <c r="C12" s="4" t="s">
        <v>24</v>
      </c>
      <c r="D12" s="4">
        <v>539.5</v>
      </c>
      <c r="E12" s="4">
        <v>563.28125</v>
      </c>
      <c r="F12" s="4">
        <v>366</v>
      </c>
      <c r="G12" s="4">
        <v>807</v>
      </c>
      <c r="H12" s="4">
        <v>32</v>
      </c>
      <c r="I12" s="4">
        <v>8</v>
      </c>
      <c r="J12" s="4">
        <v>5</v>
      </c>
      <c r="K12" s="4">
        <v>28</v>
      </c>
      <c r="L12" s="5">
        <f t="shared" si="0"/>
        <v>0.15625</v>
      </c>
      <c r="M12" s="4"/>
      <c r="N12" s="4">
        <v>12263.65625</v>
      </c>
      <c r="O12" s="4">
        <v>6368.09375</v>
      </c>
      <c r="P12" s="4">
        <v>17821.875</v>
      </c>
      <c r="Q12" s="4">
        <v>5540.53125</v>
      </c>
      <c r="R12" s="4">
        <v>0.44093700000000002</v>
      </c>
      <c r="S12" s="4">
        <v>5855</v>
      </c>
      <c r="T12" s="4">
        <v>2343.375</v>
      </c>
      <c r="U12" s="4">
        <v>29</v>
      </c>
      <c r="V12" s="4">
        <v>31.625</v>
      </c>
      <c r="W12" s="4">
        <v>72</v>
      </c>
      <c r="Y12">
        <f t="shared" si="2"/>
        <v>12565.35797630954</v>
      </c>
    </row>
    <row r="13" spans="1:25" ht="27" x14ac:dyDescent="0.3">
      <c r="A13" s="3">
        <v>10</v>
      </c>
      <c r="B13" s="4" t="s">
        <v>23</v>
      </c>
      <c r="C13" s="4" t="s">
        <v>25</v>
      </c>
      <c r="D13" s="4">
        <v>560.5</v>
      </c>
      <c r="E13" s="4">
        <v>558.88888899999995</v>
      </c>
      <c r="F13" s="4">
        <v>382</v>
      </c>
      <c r="G13" s="4">
        <v>740</v>
      </c>
      <c r="H13" s="4">
        <v>18</v>
      </c>
      <c r="I13" s="4">
        <v>8</v>
      </c>
      <c r="J13" s="4">
        <v>3</v>
      </c>
      <c r="K13" s="4">
        <v>14</v>
      </c>
      <c r="L13" s="5">
        <f t="shared" si="0"/>
        <v>0.16666666666666666</v>
      </c>
      <c r="M13" s="4"/>
      <c r="N13" s="4">
        <v>17078.888889000002</v>
      </c>
      <c r="O13" s="4">
        <v>6963.9444439999997</v>
      </c>
      <c r="P13" s="4">
        <v>23305.555555999999</v>
      </c>
      <c r="Q13" s="4">
        <v>5246.2777779999997</v>
      </c>
      <c r="R13" s="4">
        <v>0.30444399999999999</v>
      </c>
      <c r="S13" s="4">
        <v>5629.2222220000003</v>
      </c>
      <c r="T13" s="4">
        <v>2517.833333</v>
      </c>
      <c r="U13" s="4">
        <v>28.5</v>
      </c>
      <c r="V13" s="4">
        <v>30.888888999999999</v>
      </c>
      <c r="W13" s="4">
        <v>73</v>
      </c>
      <c r="Y13">
        <f t="shared" si="2"/>
        <v>17232.324427480915</v>
      </c>
    </row>
    <row r="14" spans="1:25" ht="27" x14ac:dyDescent="0.3">
      <c r="A14" s="3">
        <v>11</v>
      </c>
      <c r="B14" s="4" t="s">
        <v>23</v>
      </c>
      <c r="C14" s="4" t="s">
        <v>26</v>
      </c>
      <c r="D14" s="4">
        <v>561</v>
      </c>
      <c r="E14" s="4">
        <v>601.05882399999996</v>
      </c>
      <c r="F14" s="4">
        <v>441</v>
      </c>
      <c r="G14" s="4">
        <v>801</v>
      </c>
      <c r="H14" s="4">
        <v>17</v>
      </c>
      <c r="I14" s="4">
        <v>2</v>
      </c>
      <c r="J14" s="4">
        <v>2</v>
      </c>
      <c r="K14" s="4">
        <v>16</v>
      </c>
      <c r="L14" s="5">
        <f t="shared" si="0"/>
        <v>0.11764705882352941</v>
      </c>
      <c r="M14" s="4"/>
      <c r="N14" s="4">
        <v>22165.764706000002</v>
      </c>
      <c r="O14" s="4">
        <v>6896.4117649999998</v>
      </c>
      <c r="P14" s="4">
        <v>16328.235294</v>
      </c>
      <c r="Q14" s="4">
        <v>5914.2352940000001</v>
      </c>
      <c r="R14" s="4">
        <v>0.518235</v>
      </c>
      <c r="S14" s="4">
        <v>6011.882353</v>
      </c>
      <c r="T14" s="4">
        <v>2569.7058820000002</v>
      </c>
      <c r="U14" s="4">
        <v>29</v>
      </c>
      <c r="V14" s="4">
        <v>29.882352999999998</v>
      </c>
      <c r="W14" s="4">
        <v>62</v>
      </c>
      <c r="Y14">
        <f t="shared" si="2"/>
        <v>11412.26527347632</v>
      </c>
    </row>
    <row r="15" spans="1:25" ht="27" x14ac:dyDescent="0.3">
      <c r="A15" s="3">
        <v>12</v>
      </c>
      <c r="B15" s="4" t="s">
        <v>23</v>
      </c>
      <c r="C15" s="4" t="s">
        <v>27</v>
      </c>
      <c r="D15" s="4">
        <v>640</v>
      </c>
      <c r="E15" s="4">
        <v>614.42857100000003</v>
      </c>
      <c r="F15" s="4">
        <v>413</v>
      </c>
      <c r="G15" s="4">
        <v>730</v>
      </c>
      <c r="H15" s="4">
        <v>7</v>
      </c>
      <c r="I15" s="4">
        <v>0</v>
      </c>
      <c r="J15" s="4">
        <v>0</v>
      </c>
      <c r="K15" s="4">
        <v>5</v>
      </c>
      <c r="L15" s="5">
        <f t="shared" si="0"/>
        <v>0</v>
      </c>
      <c r="M15" s="4"/>
      <c r="N15" s="4">
        <v>27861.857143000001</v>
      </c>
      <c r="O15" s="4">
        <v>5594.7142860000004</v>
      </c>
      <c r="P15" s="4">
        <v>18214.285714000001</v>
      </c>
      <c r="Q15" s="4">
        <v>3705.5714290000001</v>
      </c>
      <c r="R15" s="4">
        <v>0.29428599999999999</v>
      </c>
      <c r="S15" s="4">
        <v>1382.142857</v>
      </c>
      <c r="T15" s="4">
        <v>4432</v>
      </c>
      <c r="U15" s="4">
        <v>41</v>
      </c>
      <c r="V15" s="4">
        <v>48</v>
      </c>
      <c r="W15" s="4">
        <v>71</v>
      </c>
      <c r="Y15">
        <f t="shared" si="2"/>
        <v>12591.735349286069</v>
      </c>
    </row>
    <row r="16" spans="1:25" x14ac:dyDescent="0.3">
      <c r="A16" s="3">
        <v>13</v>
      </c>
      <c r="B16" s="4" t="s">
        <v>23</v>
      </c>
      <c r="C16" s="4" t="s">
        <v>18</v>
      </c>
      <c r="D16" s="4">
        <v>572</v>
      </c>
      <c r="E16" s="4">
        <v>577.4</v>
      </c>
      <c r="F16" s="4">
        <v>453</v>
      </c>
      <c r="G16" s="4">
        <v>686</v>
      </c>
      <c r="H16" s="4">
        <v>10</v>
      </c>
      <c r="I16" s="4">
        <v>2</v>
      </c>
      <c r="J16" s="4">
        <v>3</v>
      </c>
      <c r="K16" s="4">
        <v>7</v>
      </c>
      <c r="L16" s="5">
        <f t="shared" si="0"/>
        <v>0.3</v>
      </c>
      <c r="M16" s="4"/>
      <c r="N16" s="4">
        <v>38627.699999999997</v>
      </c>
      <c r="O16" s="4">
        <v>6757.8</v>
      </c>
      <c r="P16" s="4">
        <v>54710</v>
      </c>
      <c r="Q16" s="4">
        <v>3479.5</v>
      </c>
      <c r="R16" s="4">
        <v>0.39700000000000002</v>
      </c>
      <c r="S16" s="4">
        <v>2625.4</v>
      </c>
      <c r="T16" s="4">
        <v>3410.9</v>
      </c>
      <c r="U16" s="4">
        <v>31</v>
      </c>
      <c r="V16" s="4">
        <v>34.799999999999997</v>
      </c>
      <c r="W16" s="4">
        <v>73</v>
      </c>
      <c r="Y16">
        <f>Q16/R16</f>
        <v>8764.4836272040302</v>
      </c>
    </row>
    <row r="17" spans="1:23" ht="27" x14ac:dyDescent="0.3">
      <c r="A17" s="3">
        <v>14</v>
      </c>
      <c r="B17" s="4" t="s">
        <v>24</v>
      </c>
      <c r="C17" s="4" t="s">
        <v>22</v>
      </c>
      <c r="D17" s="4">
        <v>592</v>
      </c>
      <c r="E17" s="4">
        <v>577.43038000000001</v>
      </c>
      <c r="F17" s="4">
        <v>202</v>
      </c>
      <c r="G17" s="4">
        <v>841</v>
      </c>
      <c r="H17" s="4">
        <v>79</v>
      </c>
      <c r="I17" s="4">
        <v>18</v>
      </c>
      <c r="J17" s="4">
        <v>29</v>
      </c>
      <c r="K17" s="4">
        <v>70</v>
      </c>
      <c r="L17" s="5">
        <f t="shared" si="0"/>
        <v>0.36708860759493672</v>
      </c>
      <c r="M17" s="4"/>
      <c r="N17" s="4">
        <v>774.886076</v>
      </c>
      <c r="O17" s="4">
        <v>12189.037974999999</v>
      </c>
      <c r="P17" s="4">
        <v>15733.924051</v>
      </c>
      <c r="Q17" s="4">
        <v>6879.4050630000002</v>
      </c>
      <c r="R17" s="4">
        <v>0.50038000000000005</v>
      </c>
      <c r="S17" s="4">
        <v>11417.202531999999</v>
      </c>
      <c r="T17" s="4">
        <v>1899.9873419999999</v>
      </c>
      <c r="U17" s="4">
        <v>35</v>
      </c>
      <c r="V17" s="4">
        <v>33.582278000000002</v>
      </c>
      <c r="W17" s="4">
        <v>67</v>
      </c>
    </row>
    <row r="18" spans="1:23" ht="27" x14ac:dyDescent="0.3">
      <c r="A18" s="3">
        <v>15</v>
      </c>
      <c r="B18" s="4" t="s">
        <v>24</v>
      </c>
      <c r="C18" s="4" t="s">
        <v>23</v>
      </c>
      <c r="D18" s="4">
        <v>599</v>
      </c>
      <c r="E18" s="4">
        <v>598.85714299999995</v>
      </c>
      <c r="F18" s="4">
        <v>282</v>
      </c>
      <c r="G18" s="4">
        <v>812</v>
      </c>
      <c r="H18" s="4">
        <v>21</v>
      </c>
      <c r="I18" s="4">
        <v>4</v>
      </c>
      <c r="J18" s="4">
        <v>3</v>
      </c>
      <c r="K18" s="4">
        <v>20</v>
      </c>
      <c r="L18" s="5">
        <f t="shared" si="0"/>
        <v>0.14285714285714285</v>
      </c>
      <c r="M18" s="4"/>
      <c r="N18" s="4">
        <v>7187.4761900000003</v>
      </c>
      <c r="O18" s="4">
        <v>12190.095238</v>
      </c>
      <c r="P18" s="4">
        <v>18773.333332999999</v>
      </c>
      <c r="Q18" s="4">
        <v>8149.1904759999998</v>
      </c>
      <c r="R18" s="4">
        <v>0.46428599999999998</v>
      </c>
      <c r="S18" s="4">
        <v>13202.380952</v>
      </c>
      <c r="T18" s="4">
        <v>2099.7142859999999</v>
      </c>
      <c r="U18" s="4">
        <v>31</v>
      </c>
      <c r="V18" s="4">
        <v>28.666667</v>
      </c>
      <c r="W18" s="4">
        <v>72</v>
      </c>
    </row>
    <row r="19" spans="1:23" ht="27" x14ac:dyDescent="0.3">
      <c r="A19" s="3">
        <v>16</v>
      </c>
      <c r="B19" s="4" t="s">
        <v>24</v>
      </c>
      <c r="C19" s="4" t="s">
        <v>24</v>
      </c>
      <c r="D19" s="4">
        <v>620</v>
      </c>
      <c r="E19" s="4">
        <v>619.46153800000002</v>
      </c>
      <c r="F19" s="4">
        <v>488</v>
      </c>
      <c r="G19" s="4">
        <v>780</v>
      </c>
      <c r="H19" s="4">
        <v>13</v>
      </c>
      <c r="I19" s="4">
        <v>2</v>
      </c>
      <c r="J19" s="4">
        <v>2</v>
      </c>
      <c r="K19" s="4">
        <v>11</v>
      </c>
      <c r="L19" s="5">
        <f t="shared" si="0"/>
        <v>0.15384615384615385</v>
      </c>
      <c r="M19" s="4"/>
      <c r="N19" s="4">
        <v>12607.230769</v>
      </c>
      <c r="O19" s="4">
        <v>12161</v>
      </c>
      <c r="P19" s="4">
        <v>38653.846153999999</v>
      </c>
      <c r="Q19" s="4">
        <v>11933.307692</v>
      </c>
      <c r="R19" s="4">
        <v>0.55076899999999995</v>
      </c>
      <c r="S19" s="4">
        <v>15286.153845999999</v>
      </c>
      <c r="T19" s="4">
        <v>2427.9230769999999</v>
      </c>
      <c r="U19" s="4">
        <v>34</v>
      </c>
      <c r="V19" s="4">
        <v>36</v>
      </c>
      <c r="W19" s="4">
        <v>65</v>
      </c>
    </row>
    <row r="20" spans="1:23" ht="27" x14ac:dyDescent="0.3">
      <c r="A20" s="3">
        <v>17</v>
      </c>
      <c r="B20" s="4" t="s">
        <v>24</v>
      </c>
      <c r="C20" s="4" t="s">
        <v>25</v>
      </c>
      <c r="D20" s="4">
        <v>512</v>
      </c>
      <c r="E20" s="4">
        <v>506.09090900000001</v>
      </c>
      <c r="F20" s="4">
        <v>404</v>
      </c>
      <c r="G20" s="4">
        <v>596</v>
      </c>
      <c r="H20" s="4">
        <v>11</v>
      </c>
      <c r="I20" s="4">
        <v>0</v>
      </c>
      <c r="J20" s="4">
        <v>0</v>
      </c>
      <c r="K20" s="4">
        <v>11</v>
      </c>
      <c r="L20" s="5">
        <f t="shared" si="0"/>
        <v>0</v>
      </c>
      <c r="M20" s="4"/>
      <c r="N20" s="4">
        <v>17039.818181999999</v>
      </c>
      <c r="O20" s="4">
        <v>12539.636364</v>
      </c>
      <c r="P20" s="4">
        <v>15618.181817999999</v>
      </c>
      <c r="Q20" s="4">
        <v>6178.636364</v>
      </c>
      <c r="R20" s="4">
        <v>0.39818199999999998</v>
      </c>
      <c r="S20" s="4">
        <v>18254.363635999998</v>
      </c>
      <c r="T20" s="4">
        <v>2255.090909</v>
      </c>
      <c r="U20" s="4">
        <v>28</v>
      </c>
      <c r="V20" s="4">
        <v>32.181818</v>
      </c>
      <c r="W20" s="4">
        <v>62</v>
      </c>
    </row>
    <row r="21" spans="1:23" ht="27" x14ac:dyDescent="0.3">
      <c r="A21" s="3">
        <v>18</v>
      </c>
      <c r="B21" s="4" t="s">
        <v>24</v>
      </c>
      <c r="C21" s="4" t="s">
        <v>26</v>
      </c>
      <c r="D21" s="4">
        <v>622</v>
      </c>
      <c r="E21" s="4">
        <v>628</v>
      </c>
      <c r="F21" s="4">
        <v>601</v>
      </c>
      <c r="G21" s="4">
        <v>661</v>
      </c>
      <c r="H21" s="4">
        <v>3</v>
      </c>
      <c r="I21" s="4">
        <v>0</v>
      </c>
      <c r="J21" s="4">
        <v>0</v>
      </c>
      <c r="K21" s="4">
        <v>2</v>
      </c>
      <c r="L21" s="5">
        <f t="shared" si="0"/>
        <v>0</v>
      </c>
      <c r="M21" s="4"/>
      <c r="N21" s="4">
        <v>21029.666667000001</v>
      </c>
      <c r="O21" s="4">
        <v>12549</v>
      </c>
      <c r="P21" s="4">
        <v>12666.666667</v>
      </c>
      <c r="Q21" s="4">
        <v>7500</v>
      </c>
      <c r="R21" s="4">
        <v>0.66666700000000001</v>
      </c>
      <c r="S21" s="4">
        <v>15684.333333</v>
      </c>
      <c r="T21" s="4">
        <v>3728.666667</v>
      </c>
      <c r="U21" s="4">
        <v>49</v>
      </c>
      <c r="V21" s="4">
        <v>50.333333000000003</v>
      </c>
      <c r="W21" s="4">
        <v>68</v>
      </c>
    </row>
    <row r="22" spans="1:23" ht="27" x14ac:dyDescent="0.3">
      <c r="A22" s="3">
        <v>19</v>
      </c>
      <c r="B22" s="4" t="s">
        <v>24</v>
      </c>
      <c r="C22" s="4" t="s">
        <v>27</v>
      </c>
      <c r="D22" s="4">
        <v>518</v>
      </c>
      <c r="E22" s="4">
        <v>527</v>
      </c>
      <c r="F22" s="4">
        <v>470</v>
      </c>
      <c r="G22" s="4">
        <v>593</v>
      </c>
      <c r="H22" s="4">
        <v>3</v>
      </c>
      <c r="I22" s="4">
        <v>1</v>
      </c>
      <c r="J22" s="4">
        <v>0</v>
      </c>
      <c r="K22" s="4">
        <v>3</v>
      </c>
      <c r="L22" s="5">
        <f t="shared" si="0"/>
        <v>0</v>
      </c>
      <c r="M22" s="4"/>
      <c r="N22" s="4">
        <v>27544.666667000001</v>
      </c>
      <c r="O22" s="4">
        <v>12026.333333</v>
      </c>
      <c r="P22" s="4">
        <v>12766.666667</v>
      </c>
      <c r="Q22" s="4">
        <v>10970.666667</v>
      </c>
      <c r="R22" s="4">
        <v>0.88666699999999998</v>
      </c>
      <c r="S22" s="4">
        <v>14786.333333</v>
      </c>
      <c r="T22" s="4">
        <v>2307.333333</v>
      </c>
      <c r="U22" s="4">
        <v>29</v>
      </c>
      <c r="V22" s="4">
        <v>22</v>
      </c>
      <c r="W22" s="4">
        <v>30</v>
      </c>
    </row>
    <row r="23" spans="1:23" ht="27" x14ac:dyDescent="0.3">
      <c r="A23" s="3">
        <v>20</v>
      </c>
      <c r="B23" s="4" t="s">
        <v>24</v>
      </c>
      <c r="C23" s="4" t="s">
        <v>18</v>
      </c>
      <c r="D23" s="4" t="s">
        <v>31</v>
      </c>
      <c r="E23" s="4" t="s">
        <v>31</v>
      </c>
      <c r="F23" s="4" t="s">
        <v>31</v>
      </c>
      <c r="G23" s="4" t="s">
        <v>31</v>
      </c>
      <c r="H23" s="4">
        <v>0</v>
      </c>
      <c r="I23" s="4">
        <v>0</v>
      </c>
      <c r="J23" s="4">
        <v>0</v>
      </c>
      <c r="K23" s="4">
        <v>0</v>
      </c>
      <c r="L23" s="5" t="e">
        <f t="shared" si="0"/>
        <v>#DIV/0!</v>
      </c>
      <c r="M23" s="4"/>
      <c r="N23" s="4" t="s">
        <v>30</v>
      </c>
      <c r="O23" s="4" t="s">
        <v>31</v>
      </c>
      <c r="P23" s="4" t="s">
        <v>30</v>
      </c>
      <c r="Q23" s="4" t="s">
        <v>31</v>
      </c>
      <c r="R23" s="4" t="s">
        <v>30</v>
      </c>
      <c r="S23" s="4" t="s">
        <v>31</v>
      </c>
      <c r="T23" s="4" t="s">
        <v>31</v>
      </c>
      <c r="U23" s="4" t="s">
        <v>30</v>
      </c>
      <c r="V23" s="4" t="s">
        <v>30</v>
      </c>
      <c r="W23" s="4" t="s">
        <v>30</v>
      </c>
    </row>
    <row r="24" spans="1:23" ht="27" x14ac:dyDescent="0.3">
      <c r="A24" s="3">
        <v>21</v>
      </c>
      <c r="B24" s="4" t="s">
        <v>25</v>
      </c>
      <c r="C24" s="4" t="s">
        <v>22</v>
      </c>
      <c r="D24" s="4">
        <v>584</v>
      </c>
      <c r="E24" s="4">
        <v>574.11764700000003</v>
      </c>
      <c r="F24" s="4">
        <v>331</v>
      </c>
      <c r="G24" s="4">
        <v>804</v>
      </c>
      <c r="H24" s="4">
        <v>68</v>
      </c>
      <c r="I24" s="4">
        <v>12</v>
      </c>
      <c r="J24" s="4">
        <v>15</v>
      </c>
      <c r="K24" s="4">
        <v>59</v>
      </c>
      <c r="L24" s="5">
        <f t="shared" si="0"/>
        <v>0.22058823529411764</v>
      </c>
      <c r="M24" s="4"/>
      <c r="N24" s="4">
        <v>655.45588199999997</v>
      </c>
      <c r="O24" s="4">
        <v>17204.867646999999</v>
      </c>
      <c r="P24" s="4">
        <v>19817.647058999999</v>
      </c>
      <c r="Q24" s="4">
        <v>8445.1911760000003</v>
      </c>
      <c r="R24" s="4">
        <v>0.47279399999999999</v>
      </c>
      <c r="S24" s="4">
        <v>16591.044118000002</v>
      </c>
      <c r="T24" s="4">
        <v>2361.8970589999999</v>
      </c>
      <c r="U24" s="4">
        <v>43</v>
      </c>
      <c r="V24" s="4">
        <v>39.294117999999997</v>
      </c>
      <c r="W24" s="4">
        <v>71</v>
      </c>
    </row>
    <row r="25" spans="1:23" ht="27" x14ac:dyDescent="0.3">
      <c r="A25" s="3">
        <v>22</v>
      </c>
      <c r="B25" s="4" t="s">
        <v>25</v>
      </c>
      <c r="C25" s="4" t="s">
        <v>23</v>
      </c>
      <c r="D25" s="4">
        <v>443</v>
      </c>
      <c r="E25" s="4">
        <v>443</v>
      </c>
      <c r="F25" s="4">
        <v>443</v>
      </c>
      <c r="G25" s="4">
        <v>443</v>
      </c>
      <c r="H25" s="4">
        <v>1</v>
      </c>
      <c r="I25" s="4">
        <v>0</v>
      </c>
      <c r="J25" s="4">
        <v>0</v>
      </c>
      <c r="K25" s="4">
        <v>1</v>
      </c>
      <c r="L25" s="5">
        <f t="shared" si="0"/>
        <v>0</v>
      </c>
      <c r="M25" s="4"/>
      <c r="N25" s="4">
        <v>6336</v>
      </c>
      <c r="O25" s="4">
        <v>16648</v>
      </c>
      <c r="P25" s="4">
        <v>15900</v>
      </c>
      <c r="Q25" s="4">
        <v>0</v>
      </c>
      <c r="R25" s="4">
        <v>0</v>
      </c>
      <c r="S25" s="4">
        <v>16703</v>
      </c>
      <c r="T25" s="4">
        <v>131</v>
      </c>
      <c r="U25" s="4">
        <v>3</v>
      </c>
      <c r="V25" s="4">
        <v>3</v>
      </c>
      <c r="W25" s="4">
        <v>3</v>
      </c>
    </row>
    <row r="26" spans="1:23" ht="27" x14ac:dyDescent="0.3">
      <c r="A26" s="3">
        <v>23</v>
      </c>
      <c r="B26" s="4" t="s">
        <v>25</v>
      </c>
      <c r="C26" s="4" t="s">
        <v>24</v>
      </c>
      <c r="D26" s="4" t="s">
        <v>31</v>
      </c>
      <c r="E26" s="4" t="s">
        <v>31</v>
      </c>
      <c r="F26" s="4" t="s">
        <v>31</v>
      </c>
      <c r="G26" s="4" t="s">
        <v>31</v>
      </c>
      <c r="H26" s="4">
        <v>0</v>
      </c>
      <c r="I26" s="4">
        <v>0</v>
      </c>
      <c r="J26" s="4">
        <v>0</v>
      </c>
      <c r="K26" s="4">
        <v>0</v>
      </c>
      <c r="L26" s="5" t="e">
        <f t="shared" si="0"/>
        <v>#DIV/0!</v>
      </c>
      <c r="M26" s="4"/>
      <c r="N26" s="4" t="s">
        <v>30</v>
      </c>
      <c r="O26" s="4" t="s">
        <v>31</v>
      </c>
      <c r="P26" s="4" t="s">
        <v>30</v>
      </c>
      <c r="Q26" s="4" t="s">
        <v>31</v>
      </c>
      <c r="R26" s="4" t="s">
        <v>30</v>
      </c>
      <c r="S26" s="4" t="s">
        <v>31</v>
      </c>
      <c r="T26" s="4" t="s">
        <v>31</v>
      </c>
      <c r="U26" s="4" t="s">
        <v>30</v>
      </c>
      <c r="V26" s="4" t="s">
        <v>30</v>
      </c>
      <c r="W26" s="4" t="s">
        <v>30</v>
      </c>
    </row>
    <row r="27" spans="1:23" ht="27" x14ac:dyDescent="0.3">
      <c r="A27" s="3">
        <v>24</v>
      </c>
      <c r="B27" s="4" t="s">
        <v>25</v>
      </c>
      <c r="C27" s="4" t="s">
        <v>25</v>
      </c>
      <c r="D27" s="4">
        <v>737</v>
      </c>
      <c r="E27" s="4">
        <v>684.8</v>
      </c>
      <c r="F27" s="4">
        <v>537</v>
      </c>
      <c r="G27" s="4">
        <v>807</v>
      </c>
      <c r="H27" s="4">
        <v>5</v>
      </c>
      <c r="I27" s="4">
        <v>2</v>
      </c>
      <c r="J27" s="4">
        <v>1</v>
      </c>
      <c r="K27" s="4">
        <v>5</v>
      </c>
      <c r="L27" s="5">
        <f t="shared" si="0"/>
        <v>0.2</v>
      </c>
      <c r="M27" s="4"/>
      <c r="N27" s="4">
        <v>16547.400000000001</v>
      </c>
      <c r="O27" s="4">
        <v>16037.2</v>
      </c>
      <c r="P27" s="4">
        <v>39100</v>
      </c>
      <c r="Q27" s="4">
        <v>10025.200000000001</v>
      </c>
      <c r="R27" s="4">
        <v>0.378</v>
      </c>
      <c r="S27" s="4">
        <v>17095.8</v>
      </c>
      <c r="T27" s="4">
        <v>1671.6</v>
      </c>
      <c r="U27" s="4">
        <v>18</v>
      </c>
      <c r="V27" s="4">
        <v>25.6</v>
      </c>
      <c r="W27" s="4">
        <v>55</v>
      </c>
    </row>
    <row r="28" spans="1:23" ht="27" x14ac:dyDescent="0.3">
      <c r="A28" s="3">
        <v>25</v>
      </c>
      <c r="B28" s="4" t="s">
        <v>25</v>
      </c>
      <c r="C28" s="4" t="s">
        <v>26</v>
      </c>
      <c r="D28" s="4">
        <v>573.5</v>
      </c>
      <c r="E28" s="4">
        <v>601.25</v>
      </c>
      <c r="F28" s="4">
        <v>506</v>
      </c>
      <c r="G28" s="4">
        <v>752</v>
      </c>
      <c r="H28" s="4">
        <v>4</v>
      </c>
      <c r="I28" s="4">
        <v>0</v>
      </c>
      <c r="J28" s="4">
        <v>0</v>
      </c>
      <c r="K28" s="4">
        <v>3</v>
      </c>
      <c r="L28" s="5">
        <f t="shared" si="0"/>
        <v>0</v>
      </c>
      <c r="M28" s="4"/>
      <c r="N28" s="4">
        <v>22788.5</v>
      </c>
      <c r="O28" s="4">
        <v>17688.5</v>
      </c>
      <c r="P28" s="4">
        <v>13125</v>
      </c>
      <c r="Q28" s="4">
        <v>12821.75</v>
      </c>
      <c r="R28" s="4">
        <v>0.98250000000000004</v>
      </c>
      <c r="S28" s="4">
        <v>23283</v>
      </c>
      <c r="T28" s="4">
        <v>2753.5</v>
      </c>
      <c r="U28" s="4">
        <v>27.5</v>
      </c>
      <c r="V28" s="4">
        <v>25.25</v>
      </c>
      <c r="W28" s="4">
        <v>31</v>
      </c>
    </row>
    <row r="29" spans="1:23" ht="27" x14ac:dyDescent="0.3">
      <c r="A29" s="3">
        <v>26</v>
      </c>
      <c r="B29" s="4" t="s">
        <v>25</v>
      </c>
      <c r="C29" s="4" t="s">
        <v>27</v>
      </c>
      <c r="D29" s="4" t="s">
        <v>31</v>
      </c>
      <c r="E29" s="4" t="s">
        <v>31</v>
      </c>
      <c r="F29" s="4" t="s">
        <v>31</v>
      </c>
      <c r="G29" s="4" t="s">
        <v>31</v>
      </c>
      <c r="H29" s="4">
        <v>0</v>
      </c>
      <c r="I29" s="4">
        <v>0</v>
      </c>
      <c r="J29" s="4">
        <v>0</v>
      </c>
      <c r="K29" s="4">
        <v>0</v>
      </c>
      <c r="L29" s="5" t="e">
        <f t="shared" si="0"/>
        <v>#DIV/0!</v>
      </c>
      <c r="M29" s="4"/>
      <c r="N29" s="4" t="s">
        <v>30</v>
      </c>
      <c r="O29" s="4" t="s">
        <v>31</v>
      </c>
      <c r="P29" s="4" t="s">
        <v>30</v>
      </c>
      <c r="Q29" s="4" t="s">
        <v>31</v>
      </c>
      <c r="R29" s="4" t="s">
        <v>30</v>
      </c>
      <c r="S29" s="4" t="s">
        <v>31</v>
      </c>
      <c r="T29" s="4" t="s">
        <v>31</v>
      </c>
      <c r="U29" s="4" t="s">
        <v>30</v>
      </c>
      <c r="V29" s="4" t="s">
        <v>30</v>
      </c>
      <c r="W29" s="4" t="s">
        <v>30</v>
      </c>
    </row>
    <row r="30" spans="1:23" ht="27" x14ac:dyDescent="0.3">
      <c r="A30" s="3">
        <v>27</v>
      </c>
      <c r="B30" s="4" t="s">
        <v>25</v>
      </c>
      <c r="C30" s="4" t="s">
        <v>18</v>
      </c>
      <c r="D30" s="4" t="s">
        <v>31</v>
      </c>
      <c r="E30" s="4" t="s">
        <v>31</v>
      </c>
      <c r="F30" s="4" t="s">
        <v>31</v>
      </c>
      <c r="G30" s="4" t="s">
        <v>31</v>
      </c>
      <c r="H30" s="4">
        <v>0</v>
      </c>
      <c r="I30" s="4">
        <v>0</v>
      </c>
      <c r="J30" s="4">
        <v>0</v>
      </c>
      <c r="K30" s="4">
        <v>0</v>
      </c>
      <c r="L30" s="5" t="e">
        <f t="shared" si="0"/>
        <v>#DIV/0!</v>
      </c>
      <c r="M30" s="4"/>
      <c r="N30" s="4" t="s">
        <v>30</v>
      </c>
      <c r="O30" s="4" t="s">
        <v>31</v>
      </c>
      <c r="P30" s="4" t="s">
        <v>30</v>
      </c>
      <c r="Q30" s="4" t="s">
        <v>31</v>
      </c>
      <c r="R30" s="4" t="s">
        <v>30</v>
      </c>
      <c r="S30" s="4" t="s">
        <v>31</v>
      </c>
      <c r="T30" s="4" t="s">
        <v>31</v>
      </c>
      <c r="U30" s="4" t="s">
        <v>30</v>
      </c>
      <c r="V30" s="4" t="s">
        <v>30</v>
      </c>
      <c r="W30" s="4" t="s">
        <v>30</v>
      </c>
    </row>
    <row r="31" spans="1:23" ht="27" x14ac:dyDescent="0.3">
      <c r="A31" s="3">
        <v>28</v>
      </c>
      <c r="B31" s="4" t="s">
        <v>26</v>
      </c>
      <c r="C31" s="4" t="s">
        <v>22</v>
      </c>
      <c r="D31" s="4">
        <v>622</v>
      </c>
      <c r="E31" s="4">
        <v>598.06122400000004</v>
      </c>
      <c r="F31" s="4">
        <v>294</v>
      </c>
      <c r="G31" s="4">
        <v>800</v>
      </c>
      <c r="H31" s="4">
        <v>49</v>
      </c>
      <c r="I31" s="4">
        <v>7</v>
      </c>
      <c r="J31" s="4">
        <v>12</v>
      </c>
      <c r="K31" s="4">
        <v>49</v>
      </c>
      <c r="L31" s="5">
        <f t="shared" si="0"/>
        <v>0.24489795918367346</v>
      </c>
      <c r="M31" s="4"/>
      <c r="N31" s="4">
        <v>797.87755100000004</v>
      </c>
      <c r="O31" s="4">
        <v>22259.877551000001</v>
      </c>
      <c r="P31" s="4">
        <v>18589.795918</v>
      </c>
      <c r="Q31" s="4">
        <v>11220.918367</v>
      </c>
      <c r="R31" s="4">
        <v>0.58714299999999997</v>
      </c>
      <c r="S31" s="4">
        <v>23899.714285999999</v>
      </c>
      <c r="T31" s="4">
        <v>2390.183673</v>
      </c>
      <c r="U31" s="4">
        <v>42</v>
      </c>
      <c r="V31" s="4">
        <v>35.408163000000002</v>
      </c>
      <c r="W31" s="4">
        <v>69</v>
      </c>
    </row>
    <row r="32" spans="1:23" ht="27" x14ac:dyDescent="0.3">
      <c r="A32" s="3">
        <v>29</v>
      </c>
      <c r="B32" s="4" t="s">
        <v>26</v>
      </c>
      <c r="C32" s="4" t="s">
        <v>23</v>
      </c>
      <c r="D32" s="4">
        <v>685</v>
      </c>
      <c r="E32" s="4">
        <v>635.16666699999996</v>
      </c>
      <c r="F32" s="4">
        <v>419</v>
      </c>
      <c r="G32" s="4">
        <v>749</v>
      </c>
      <c r="H32" s="4">
        <v>6</v>
      </c>
      <c r="I32" s="4">
        <v>1</v>
      </c>
      <c r="J32" s="4">
        <v>0</v>
      </c>
      <c r="K32" s="4">
        <v>5</v>
      </c>
      <c r="L32" s="5">
        <f t="shared" si="0"/>
        <v>0</v>
      </c>
      <c r="M32" s="4"/>
      <c r="N32" s="4">
        <v>6645.1666670000004</v>
      </c>
      <c r="O32" s="4">
        <v>22420.166667000001</v>
      </c>
      <c r="P32" s="4">
        <v>19633.333332999999</v>
      </c>
      <c r="Q32" s="4">
        <v>11489.666667</v>
      </c>
      <c r="R32" s="4">
        <v>0.656667</v>
      </c>
      <c r="S32" s="4">
        <v>29361.666667000001</v>
      </c>
      <c r="T32" s="4">
        <v>1465.5</v>
      </c>
      <c r="U32" s="4">
        <v>18</v>
      </c>
      <c r="V32" s="4">
        <v>20.166667</v>
      </c>
      <c r="W32" s="4">
        <v>47</v>
      </c>
    </row>
    <row r="33" spans="1:23" ht="27" x14ac:dyDescent="0.3">
      <c r="A33" s="3">
        <v>30</v>
      </c>
      <c r="B33" s="4" t="s">
        <v>26</v>
      </c>
      <c r="C33" s="4" t="s">
        <v>24</v>
      </c>
      <c r="D33" s="4">
        <v>674</v>
      </c>
      <c r="E33" s="4">
        <v>707.33333300000004</v>
      </c>
      <c r="F33" s="4">
        <v>635</v>
      </c>
      <c r="G33" s="4">
        <v>813</v>
      </c>
      <c r="H33" s="4">
        <v>3</v>
      </c>
      <c r="I33" s="4">
        <v>0</v>
      </c>
      <c r="J33" s="4">
        <v>0</v>
      </c>
      <c r="K33" s="4">
        <v>3</v>
      </c>
      <c r="L33" s="5">
        <f t="shared" si="0"/>
        <v>0</v>
      </c>
      <c r="M33" s="4"/>
      <c r="N33" s="4">
        <v>10432</v>
      </c>
      <c r="O33" s="4">
        <v>23240.333332999999</v>
      </c>
      <c r="P33" s="4">
        <v>15833.333333</v>
      </c>
      <c r="Q33" s="4">
        <v>12628.333333</v>
      </c>
      <c r="R33" s="4">
        <v>0.67333299999999996</v>
      </c>
      <c r="S33" s="4">
        <v>36247.666666999998</v>
      </c>
      <c r="T33" s="4">
        <v>2048.333333</v>
      </c>
      <c r="U33" s="4">
        <v>44</v>
      </c>
      <c r="V33" s="4">
        <v>30.666667</v>
      </c>
      <c r="W33" s="4">
        <v>47</v>
      </c>
    </row>
    <row r="34" spans="1:23" ht="27" x14ac:dyDescent="0.3">
      <c r="A34" s="3">
        <v>31</v>
      </c>
      <c r="B34" s="4" t="s">
        <v>26</v>
      </c>
      <c r="C34" s="4" t="s">
        <v>25</v>
      </c>
      <c r="D34" s="4">
        <v>666</v>
      </c>
      <c r="E34" s="4">
        <v>666</v>
      </c>
      <c r="F34" s="4">
        <v>537</v>
      </c>
      <c r="G34" s="4">
        <v>795</v>
      </c>
      <c r="H34" s="4">
        <v>2</v>
      </c>
      <c r="I34" s="4">
        <v>0</v>
      </c>
      <c r="J34" s="4">
        <v>0</v>
      </c>
      <c r="K34" s="4">
        <v>2</v>
      </c>
      <c r="L34" s="5">
        <f t="shared" si="0"/>
        <v>0</v>
      </c>
      <c r="M34" s="4"/>
      <c r="N34" s="4">
        <v>17698.5</v>
      </c>
      <c r="O34" s="4">
        <v>21255.5</v>
      </c>
      <c r="P34" s="4">
        <v>14900</v>
      </c>
      <c r="Q34" s="4">
        <v>12269.5</v>
      </c>
      <c r="R34" s="4">
        <v>0.81</v>
      </c>
      <c r="S34" s="4">
        <v>20161</v>
      </c>
      <c r="T34" s="4">
        <v>1212.5</v>
      </c>
      <c r="U34" s="4">
        <v>15</v>
      </c>
      <c r="V34" s="4">
        <v>15</v>
      </c>
      <c r="W34" s="4">
        <v>29</v>
      </c>
    </row>
    <row r="35" spans="1:23" ht="27" x14ac:dyDescent="0.3">
      <c r="A35" s="3">
        <v>32</v>
      </c>
      <c r="B35" s="4" t="s">
        <v>26</v>
      </c>
      <c r="C35" s="4" t="s">
        <v>26</v>
      </c>
      <c r="D35" s="4" t="s">
        <v>31</v>
      </c>
      <c r="E35" s="4" t="s">
        <v>31</v>
      </c>
      <c r="F35" s="4" t="s">
        <v>31</v>
      </c>
      <c r="G35" s="4" t="s">
        <v>31</v>
      </c>
      <c r="H35" s="4">
        <v>0</v>
      </c>
      <c r="I35" s="4">
        <v>0</v>
      </c>
      <c r="J35" s="4">
        <v>0</v>
      </c>
      <c r="K35" s="4">
        <v>0</v>
      </c>
      <c r="L35" s="5" t="e">
        <f t="shared" si="0"/>
        <v>#DIV/0!</v>
      </c>
      <c r="M35" s="4"/>
      <c r="N35" s="4" t="s">
        <v>30</v>
      </c>
      <c r="O35" s="4" t="s">
        <v>31</v>
      </c>
      <c r="P35" s="4" t="s">
        <v>30</v>
      </c>
      <c r="Q35" s="4" t="s">
        <v>31</v>
      </c>
      <c r="R35" s="4" t="s">
        <v>30</v>
      </c>
      <c r="S35" s="4" t="s">
        <v>31</v>
      </c>
      <c r="T35" s="4" t="s">
        <v>31</v>
      </c>
      <c r="U35" s="4" t="s">
        <v>30</v>
      </c>
      <c r="V35" s="4" t="s">
        <v>30</v>
      </c>
      <c r="W35" s="4" t="s">
        <v>30</v>
      </c>
    </row>
    <row r="36" spans="1:23" ht="27" x14ac:dyDescent="0.3">
      <c r="A36" s="3">
        <v>33</v>
      </c>
      <c r="B36" s="4" t="s">
        <v>26</v>
      </c>
      <c r="C36" s="4" t="s">
        <v>27</v>
      </c>
      <c r="D36" s="4" t="s">
        <v>31</v>
      </c>
      <c r="E36" s="4" t="s">
        <v>31</v>
      </c>
      <c r="F36" s="4" t="s">
        <v>31</v>
      </c>
      <c r="G36" s="4" t="s">
        <v>31</v>
      </c>
      <c r="H36" s="4">
        <v>0</v>
      </c>
      <c r="I36" s="4">
        <v>0</v>
      </c>
      <c r="J36" s="4">
        <v>0</v>
      </c>
      <c r="K36" s="4">
        <v>0</v>
      </c>
      <c r="L36" s="5" t="e">
        <f t="shared" si="0"/>
        <v>#DIV/0!</v>
      </c>
      <c r="M36" s="4"/>
      <c r="N36" s="4" t="s">
        <v>30</v>
      </c>
      <c r="O36" s="4" t="s">
        <v>31</v>
      </c>
      <c r="P36" s="4" t="s">
        <v>30</v>
      </c>
      <c r="Q36" s="4" t="s">
        <v>31</v>
      </c>
      <c r="R36" s="4" t="s">
        <v>30</v>
      </c>
      <c r="S36" s="4" t="s">
        <v>31</v>
      </c>
      <c r="T36" s="4" t="s">
        <v>31</v>
      </c>
      <c r="U36" s="4" t="s">
        <v>30</v>
      </c>
      <c r="V36" s="4" t="s">
        <v>30</v>
      </c>
      <c r="W36" s="4" t="s">
        <v>30</v>
      </c>
    </row>
    <row r="37" spans="1:23" ht="27" x14ac:dyDescent="0.3">
      <c r="A37" s="3">
        <v>34</v>
      </c>
      <c r="B37" s="4" t="s">
        <v>26</v>
      </c>
      <c r="C37" s="4" t="s">
        <v>18</v>
      </c>
      <c r="D37" s="4">
        <v>611</v>
      </c>
      <c r="E37" s="4">
        <v>611</v>
      </c>
      <c r="F37" s="4">
        <v>611</v>
      </c>
      <c r="G37" s="4">
        <v>611</v>
      </c>
      <c r="H37" s="4">
        <v>1</v>
      </c>
      <c r="I37" s="4">
        <v>0</v>
      </c>
      <c r="J37" s="4">
        <v>1</v>
      </c>
      <c r="K37" s="4">
        <v>1</v>
      </c>
      <c r="L37" s="5">
        <f t="shared" si="0"/>
        <v>1</v>
      </c>
      <c r="M37" s="4"/>
      <c r="N37" s="4">
        <v>36927</v>
      </c>
      <c r="O37" s="4">
        <v>22104</v>
      </c>
      <c r="P37" s="4">
        <v>12900</v>
      </c>
      <c r="Q37" s="4">
        <v>0</v>
      </c>
      <c r="R37" s="4">
        <v>0</v>
      </c>
      <c r="S37" s="4">
        <v>34566</v>
      </c>
      <c r="T37" s="4">
        <v>3909</v>
      </c>
      <c r="U37" s="4">
        <v>34</v>
      </c>
      <c r="V37" s="4">
        <v>34</v>
      </c>
      <c r="W37" s="4">
        <v>34</v>
      </c>
    </row>
    <row r="38" spans="1:23" ht="27" x14ac:dyDescent="0.3">
      <c r="A38" s="3">
        <v>35</v>
      </c>
      <c r="B38" s="4" t="s">
        <v>27</v>
      </c>
      <c r="C38" s="4" t="s">
        <v>22</v>
      </c>
      <c r="D38" s="4">
        <v>598</v>
      </c>
      <c r="E38" s="4">
        <v>588.81481499999995</v>
      </c>
      <c r="F38" s="4">
        <v>301</v>
      </c>
      <c r="G38" s="4">
        <v>811</v>
      </c>
      <c r="H38" s="4">
        <v>27</v>
      </c>
      <c r="I38" s="4">
        <v>3</v>
      </c>
      <c r="J38" s="4">
        <v>7</v>
      </c>
      <c r="K38" s="4">
        <v>23</v>
      </c>
      <c r="L38" s="5">
        <f t="shared" si="0"/>
        <v>0.25925925925925924</v>
      </c>
      <c r="M38" s="4"/>
      <c r="N38" s="4">
        <v>748.37036999999998</v>
      </c>
      <c r="O38" s="4">
        <v>27762.555555999999</v>
      </c>
      <c r="P38" s="4">
        <v>18262.962963000002</v>
      </c>
      <c r="Q38" s="4">
        <v>10516.925926</v>
      </c>
      <c r="R38" s="4">
        <v>0.48074099999999997</v>
      </c>
      <c r="S38" s="4">
        <v>27308.777778</v>
      </c>
      <c r="T38" s="4">
        <v>3404.5185190000002</v>
      </c>
      <c r="U38" s="4">
        <v>53</v>
      </c>
      <c r="V38" s="4">
        <v>46.407406999999999</v>
      </c>
      <c r="W38" s="4">
        <v>71</v>
      </c>
    </row>
    <row r="39" spans="1:23" ht="27" x14ac:dyDescent="0.3">
      <c r="A39" s="3">
        <v>36</v>
      </c>
      <c r="B39" s="4" t="s">
        <v>27</v>
      </c>
      <c r="C39" s="4" t="s">
        <v>23</v>
      </c>
      <c r="D39" s="4">
        <v>683</v>
      </c>
      <c r="E39" s="4">
        <v>683</v>
      </c>
      <c r="F39" s="4">
        <v>683</v>
      </c>
      <c r="G39" s="4">
        <v>683</v>
      </c>
      <c r="H39" s="4">
        <v>1</v>
      </c>
      <c r="I39" s="4">
        <v>0</v>
      </c>
      <c r="J39" s="4">
        <v>0</v>
      </c>
      <c r="K39" s="4">
        <v>1</v>
      </c>
      <c r="L39" s="5">
        <f t="shared" si="0"/>
        <v>0</v>
      </c>
      <c r="M39" s="4"/>
      <c r="N39" s="4">
        <v>5987</v>
      </c>
      <c r="O39" s="4">
        <v>25000</v>
      </c>
      <c r="P39" s="4">
        <v>25400</v>
      </c>
      <c r="Q39" s="4">
        <v>25000</v>
      </c>
      <c r="R39" s="4">
        <v>0.98</v>
      </c>
      <c r="S39" s="4">
        <v>50001</v>
      </c>
      <c r="T39" s="4">
        <v>15</v>
      </c>
      <c r="U39" s="4">
        <v>1</v>
      </c>
      <c r="V39" s="4">
        <v>1</v>
      </c>
      <c r="W39" s="4">
        <v>1</v>
      </c>
    </row>
    <row r="40" spans="1:23" ht="27" x14ac:dyDescent="0.3">
      <c r="A40" s="3">
        <v>37</v>
      </c>
      <c r="B40" s="4" t="s">
        <v>27</v>
      </c>
      <c r="C40" s="4" t="s">
        <v>24</v>
      </c>
      <c r="D40" s="4" t="s">
        <v>31</v>
      </c>
      <c r="E40" s="4" t="s">
        <v>31</v>
      </c>
      <c r="F40" s="4" t="s">
        <v>31</v>
      </c>
      <c r="G40" s="4" t="s">
        <v>31</v>
      </c>
      <c r="H40" s="4">
        <v>0</v>
      </c>
      <c r="I40" s="4">
        <v>0</v>
      </c>
      <c r="J40" s="4">
        <v>0</v>
      </c>
      <c r="K40" s="4">
        <v>0</v>
      </c>
      <c r="L40" s="5" t="e">
        <f t="shared" si="0"/>
        <v>#DIV/0!</v>
      </c>
      <c r="M40" s="4"/>
      <c r="N40" s="4" t="s">
        <v>30</v>
      </c>
      <c r="O40" s="4" t="s">
        <v>31</v>
      </c>
      <c r="P40" s="4" t="s">
        <v>30</v>
      </c>
      <c r="Q40" s="4" t="s">
        <v>31</v>
      </c>
      <c r="R40" s="4" t="s">
        <v>30</v>
      </c>
      <c r="S40" s="4" t="s">
        <v>31</v>
      </c>
      <c r="T40" s="4" t="s">
        <v>31</v>
      </c>
      <c r="U40" s="4" t="s">
        <v>30</v>
      </c>
      <c r="V40" s="4" t="s">
        <v>30</v>
      </c>
      <c r="W40" s="4" t="s">
        <v>30</v>
      </c>
    </row>
    <row r="41" spans="1:23" ht="27" x14ac:dyDescent="0.3">
      <c r="A41" s="3">
        <v>38</v>
      </c>
      <c r="B41" s="4" t="s">
        <v>27</v>
      </c>
      <c r="C41" s="4" t="s">
        <v>25</v>
      </c>
      <c r="D41" s="4">
        <v>577</v>
      </c>
      <c r="E41" s="4">
        <v>577</v>
      </c>
      <c r="F41" s="4">
        <v>577</v>
      </c>
      <c r="G41" s="4">
        <v>577</v>
      </c>
      <c r="H41" s="4">
        <v>1</v>
      </c>
      <c r="I41" s="4">
        <v>1</v>
      </c>
      <c r="J41" s="4">
        <v>0</v>
      </c>
      <c r="K41" s="4">
        <v>1</v>
      </c>
      <c r="L41" s="5">
        <f t="shared" si="0"/>
        <v>0</v>
      </c>
      <c r="M41" s="4"/>
      <c r="N41" s="4">
        <v>16924</v>
      </c>
      <c r="O41" s="4">
        <v>26180</v>
      </c>
      <c r="P41" s="4">
        <v>27800</v>
      </c>
      <c r="Q41" s="4">
        <v>26276</v>
      </c>
      <c r="R41" s="4">
        <v>0.95</v>
      </c>
      <c r="S41" s="4">
        <v>50381</v>
      </c>
      <c r="T41" s="4">
        <v>1085</v>
      </c>
      <c r="U41" s="4">
        <v>6</v>
      </c>
      <c r="V41" s="4">
        <v>6</v>
      </c>
      <c r="W41" s="4">
        <v>6</v>
      </c>
    </row>
    <row r="42" spans="1:23" ht="27" x14ac:dyDescent="0.3">
      <c r="A42" s="3">
        <v>39</v>
      </c>
      <c r="B42" s="4" t="s">
        <v>27</v>
      </c>
      <c r="C42" s="4" t="s">
        <v>26</v>
      </c>
      <c r="D42" s="4" t="s">
        <v>31</v>
      </c>
      <c r="E42" s="4" t="s">
        <v>31</v>
      </c>
      <c r="F42" s="4" t="s">
        <v>31</v>
      </c>
      <c r="G42" s="4" t="s">
        <v>31</v>
      </c>
      <c r="H42" s="4">
        <v>0</v>
      </c>
      <c r="I42" s="4">
        <v>0</v>
      </c>
      <c r="J42" s="4">
        <v>0</v>
      </c>
      <c r="K42" s="4">
        <v>0</v>
      </c>
      <c r="L42" s="5" t="e">
        <f t="shared" si="0"/>
        <v>#DIV/0!</v>
      </c>
      <c r="M42" s="4"/>
      <c r="N42" s="4" t="s">
        <v>30</v>
      </c>
      <c r="O42" s="4" t="s">
        <v>31</v>
      </c>
      <c r="P42" s="4" t="s">
        <v>30</v>
      </c>
      <c r="Q42" s="4" t="s">
        <v>31</v>
      </c>
      <c r="R42" s="4" t="s">
        <v>30</v>
      </c>
      <c r="S42" s="4" t="s">
        <v>31</v>
      </c>
      <c r="T42" s="4" t="s">
        <v>31</v>
      </c>
      <c r="U42" s="4" t="s">
        <v>30</v>
      </c>
      <c r="V42" s="4" t="s">
        <v>30</v>
      </c>
      <c r="W42" s="4" t="s">
        <v>30</v>
      </c>
    </row>
    <row r="43" spans="1:23" ht="27" x14ac:dyDescent="0.3">
      <c r="A43" s="3">
        <v>40</v>
      </c>
      <c r="B43" s="4" t="s">
        <v>27</v>
      </c>
      <c r="C43" s="4" t="s">
        <v>27</v>
      </c>
      <c r="D43" s="4" t="s">
        <v>31</v>
      </c>
      <c r="E43" s="4" t="s">
        <v>31</v>
      </c>
      <c r="F43" s="4" t="s">
        <v>31</v>
      </c>
      <c r="G43" s="4" t="s">
        <v>31</v>
      </c>
      <c r="H43" s="4">
        <v>0</v>
      </c>
      <c r="I43" s="4">
        <v>0</v>
      </c>
      <c r="J43" s="4">
        <v>0</v>
      </c>
      <c r="K43" s="4">
        <v>0</v>
      </c>
      <c r="L43" s="5" t="e">
        <f t="shared" si="0"/>
        <v>#DIV/0!</v>
      </c>
      <c r="M43" s="4"/>
      <c r="N43" s="4" t="s">
        <v>30</v>
      </c>
      <c r="O43" s="4" t="s">
        <v>31</v>
      </c>
      <c r="P43" s="4" t="s">
        <v>30</v>
      </c>
      <c r="Q43" s="4" t="s">
        <v>31</v>
      </c>
      <c r="R43" s="4" t="s">
        <v>30</v>
      </c>
      <c r="S43" s="4" t="s">
        <v>31</v>
      </c>
      <c r="T43" s="4" t="s">
        <v>31</v>
      </c>
      <c r="U43" s="4" t="s">
        <v>30</v>
      </c>
      <c r="V43" s="4" t="s">
        <v>30</v>
      </c>
      <c r="W43" s="4" t="s">
        <v>30</v>
      </c>
    </row>
    <row r="44" spans="1:23" ht="27" x14ac:dyDescent="0.3">
      <c r="A44" s="3">
        <v>41</v>
      </c>
      <c r="B44" s="4" t="s">
        <v>27</v>
      </c>
      <c r="C44" s="4" t="s">
        <v>18</v>
      </c>
      <c r="D44" s="4" t="s">
        <v>31</v>
      </c>
      <c r="E44" s="4" t="s">
        <v>31</v>
      </c>
      <c r="F44" s="4" t="s">
        <v>31</v>
      </c>
      <c r="G44" s="4" t="s">
        <v>31</v>
      </c>
      <c r="H44" s="4">
        <v>0</v>
      </c>
      <c r="I44" s="4">
        <v>0</v>
      </c>
      <c r="J44" s="4">
        <v>0</v>
      </c>
      <c r="K44" s="4">
        <v>0</v>
      </c>
      <c r="L44" s="5" t="e">
        <f t="shared" si="0"/>
        <v>#DIV/0!</v>
      </c>
      <c r="M44" s="4"/>
      <c r="N44" s="4" t="s">
        <v>30</v>
      </c>
      <c r="O44" s="4" t="s">
        <v>31</v>
      </c>
      <c r="P44" s="4" t="s">
        <v>30</v>
      </c>
      <c r="Q44" s="4" t="s">
        <v>31</v>
      </c>
      <c r="R44" s="4" t="s">
        <v>30</v>
      </c>
      <c r="S44" s="4" t="s">
        <v>31</v>
      </c>
      <c r="T44" s="4" t="s">
        <v>31</v>
      </c>
      <c r="U44" s="4" t="s">
        <v>30</v>
      </c>
      <c r="V44" s="4" t="s">
        <v>30</v>
      </c>
      <c r="W44" s="4" t="s">
        <v>30</v>
      </c>
    </row>
    <row r="45" spans="1:23" x14ac:dyDescent="0.3">
      <c r="A45" s="3">
        <v>42</v>
      </c>
      <c r="B45" s="4" t="s">
        <v>18</v>
      </c>
      <c r="C45" s="4" t="s">
        <v>22</v>
      </c>
      <c r="D45" s="4">
        <v>632</v>
      </c>
      <c r="E45" s="4">
        <v>603.78125</v>
      </c>
      <c r="F45" s="4">
        <v>156</v>
      </c>
      <c r="G45" s="4">
        <v>784</v>
      </c>
      <c r="H45" s="4">
        <v>32</v>
      </c>
      <c r="I45" s="4">
        <v>5</v>
      </c>
      <c r="J45" s="4">
        <v>3</v>
      </c>
      <c r="K45" s="4">
        <v>30</v>
      </c>
      <c r="L45" s="5">
        <f t="shared" si="0"/>
        <v>9.375E-2</v>
      </c>
      <c r="M45" s="4"/>
      <c r="N45" s="4">
        <v>1098.625</v>
      </c>
      <c r="O45" s="4">
        <v>42331.78125</v>
      </c>
      <c r="P45" s="4">
        <v>26968.75</v>
      </c>
      <c r="Q45" s="4">
        <v>17720.25</v>
      </c>
      <c r="R45" s="4">
        <v>0.6</v>
      </c>
      <c r="S45" s="4">
        <v>41840.75</v>
      </c>
      <c r="T45" s="4">
        <v>13831.625</v>
      </c>
      <c r="U45" s="4">
        <v>20.5</v>
      </c>
      <c r="V45" s="4">
        <v>27.40625</v>
      </c>
      <c r="W45" s="4">
        <v>73</v>
      </c>
    </row>
    <row r="46" spans="1:23" x14ac:dyDescent="0.3">
      <c r="A46" s="3">
        <v>43</v>
      </c>
      <c r="B46" s="4" t="s">
        <v>18</v>
      </c>
      <c r="C46" s="4" t="s">
        <v>23</v>
      </c>
      <c r="D46" s="4">
        <v>614</v>
      </c>
      <c r="E46" s="4">
        <v>619.85714299999995</v>
      </c>
      <c r="F46" s="4">
        <v>537</v>
      </c>
      <c r="G46" s="4">
        <v>726</v>
      </c>
      <c r="H46" s="4">
        <v>7</v>
      </c>
      <c r="I46" s="4">
        <v>1</v>
      </c>
      <c r="J46" s="4">
        <v>1</v>
      </c>
      <c r="K46" s="4">
        <v>5</v>
      </c>
      <c r="L46" s="5">
        <f t="shared" si="0"/>
        <v>0.14285714285714285</v>
      </c>
      <c r="M46" s="4"/>
      <c r="N46" s="4">
        <v>6894.5714289999996</v>
      </c>
      <c r="O46" s="4">
        <v>40242</v>
      </c>
      <c r="P46" s="4">
        <v>31600</v>
      </c>
      <c r="Q46" s="4">
        <v>23628</v>
      </c>
      <c r="R46" s="4">
        <v>0.66857100000000003</v>
      </c>
      <c r="S46" s="4">
        <v>63970.714286000002</v>
      </c>
      <c r="T46" s="4">
        <v>1665.857143</v>
      </c>
      <c r="U46" s="4">
        <v>29</v>
      </c>
      <c r="V46" s="4">
        <v>22.142856999999999</v>
      </c>
      <c r="W46" s="4">
        <v>48</v>
      </c>
    </row>
    <row r="47" spans="1:23" ht="27" x14ac:dyDescent="0.3">
      <c r="A47" s="3">
        <v>44</v>
      </c>
      <c r="B47" s="4" t="s">
        <v>18</v>
      </c>
      <c r="C47" s="4" t="s">
        <v>24</v>
      </c>
      <c r="D47" s="4" t="s">
        <v>31</v>
      </c>
      <c r="E47" s="4" t="s">
        <v>31</v>
      </c>
      <c r="F47" s="4" t="s">
        <v>31</v>
      </c>
      <c r="G47" s="4" t="s">
        <v>31</v>
      </c>
      <c r="H47" s="4">
        <v>0</v>
      </c>
      <c r="I47" s="4">
        <v>0</v>
      </c>
      <c r="J47" s="4">
        <v>0</v>
      </c>
      <c r="K47" s="4">
        <v>0</v>
      </c>
      <c r="L47" s="5" t="e">
        <f t="shared" si="0"/>
        <v>#DIV/0!</v>
      </c>
      <c r="M47" s="4"/>
      <c r="N47" s="4" t="s">
        <v>30</v>
      </c>
      <c r="O47" s="4" t="s">
        <v>31</v>
      </c>
      <c r="P47" s="4" t="s">
        <v>30</v>
      </c>
      <c r="Q47" s="4" t="s">
        <v>31</v>
      </c>
      <c r="R47" s="4" t="s">
        <v>30</v>
      </c>
      <c r="S47" s="4" t="s">
        <v>31</v>
      </c>
      <c r="T47" s="4" t="s">
        <v>31</v>
      </c>
      <c r="U47" s="4" t="s">
        <v>30</v>
      </c>
      <c r="V47" s="4" t="s">
        <v>30</v>
      </c>
      <c r="W47" s="4" t="s">
        <v>30</v>
      </c>
    </row>
    <row r="48" spans="1:23" ht="27" x14ac:dyDescent="0.3">
      <c r="A48" s="3">
        <v>45</v>
      </c>
      <c r="B48" s="4" t="s">
        <v>18</v>
      </c>
      <c r="C48" s="4" t="s">
        <v>25</v>
      </c>
      <c r="D48" s="4">
        <v>686</v>
      </c>
      <c r="E48" s="4">
        <v>686</v>
      </c>
      <c r="F48" s="4">
        <v>686</v>
      </c>
      <c r="G48" s="4">
        <v>686</v>
      </c>
      <c r="H48" s="4">
        <v>1</v>
      </c>
      <c r="I48" s="4">
        <v>0</v>
      </c>
      <c r="J48" s="4">
        <v>1</v>
      </c>
      <c r="K48" s="4">
        <v>1</v>
      </c>
      <c r="L48" s="5">
        <f t="shared" si="0"/>
        <v>1</v>
      </c>
      <c r="M48" s="4"/>
      <c r="N48" s="4">
        <v>15799</v>
      </c>
      <c r="O48" s="4">
        <v>30000</v>
      </c>
      <c r="P48" s="4">
        <v>19800</v>
      </c>
      <c r="Q48" s="4">
        <v>990</v>
      </c>
      <c r="R48" s="4">
        <v>0.05</v>
      </c>
      <c r="S48" s="4">
        <v>30000</v>
      </c>
      <c r="T48" s="4">
        <v>0</v>
      </c>
      <c r="U48" s="4">
        <v>0</v>
      </c>
      <c r="V48" s="4">
        <v>0</v>
      </c>
      <c r="W48" s="4">
        <v>0</v>
      </c>
    </row>
    <row r="49" spans="1:23" ht="27" x14ac:dyDescent="0.3">
      <c r="A49" s="3">
        <v>46</v>
      </c>
      <c r="B49" s="4" t="s">
        <v>18</v>
      </c>
      <c r="C49" s="4" t="s">
        <v>26</v>
      </c>
      <c r="D49" s="4">
        <v>799</v>
      </c>
      <c r="E49" s="4">
        <v>799</v>
      </c>
      <c r="F49" s="4">
        <v>799</v>
      </c>
      <c r="G49" s="4">
        <v>799</v>
      </c>
      <c r="H49" s="4">
        <v>1</v>
      </c>
      <c r="I49" s="4">
        <v>0</v>
      </c>
      <c r="J49" s="4">
        <v>0</v>
      </c>
      <c r="K49" s="4">
        <v>1</v>
      </c>
      <c r="L49" s="5">
        <f t="shared" si="0"/>
        <v>0</v>
      </c>
      <c r="M49" s="4"/>
      <c r="N49" s="4">
        <v>23064</v>
      </c>
      <c r="O49" s="4">
        <v>56286</v>
      </c>
      <c r="P49" s="4">
        <v>5800</v>
      </c>
      <c r="Q49" s="4">
        <v>5800</v>
      </c>
      <c r="R49" s="4">
        <v>1</v>
      </c>
      <c r="S49" s="4">
        <v>5401</v>
      </c>
      <c r="T49" s="4">
        <v>51253</v>
      </c>
      <c r="U49" s="4">
        <v>20</v>
      </c>
      <c r="V49" s="4">
        <v>20</v>
      </c>
      <c r="W49" s="4">
        <v>20</v>
      </c>
    </row>
    <row r="50" spans="1:23" ht="27" x14ac:dyDescent="0.3">
      <c r="A50" s="3">
        <v>47</v>
      </c>
      <c r="B50" s="4" t="s">
        <v>18</v>
      </c>
      <c r="C50" s="4" t="s">
        <v>27</v>
      </c>
      <c r="D50" s="4" t="s">
        <v>31</v>
      </c>
      <c r="E50" s="4" t="s">
        <v>31</v>
      </c>
      <c r="F50" s="4" t="s">
        <v>31</v>
      </c>
      <c r="G50" s="4" t="s">
        <v>31</v>
      </c>
      <c r="H50" s="4">
        <v>0</v>
      </c>
      <c r="I50" s="4">
        <v>0</v>
      </c>
      <c r="J50" s="4">
        <v>0</v>
      </c>
      <c r="K50" s="4">
        <v>0</v>
      </c>
      <c r="L50" s="5" t="e">
        <f t="shared" si="0"/>
        <v>#DIV/0!</v>
      </c>
      <c r="M50" s="4"/>
      <c r="N50" s="4" t="s">
        <v>30</v>
      </c>
      <c r="O50" s="4" t="s">
        <v>31</v>
      </c>
      <c r="P50" s="4" t="s">
        <v>30</v>
      </c>
      <c r="Q50" s="4" t="s">
        <v>31</v>
      </c>
      <c r="R50" s="4" t="s">
        <v>30</v>
      </c>
      <c r="S50" s="4" t="s">
        <v>31</v>
      </c>
      <c r="T50" s="4" t="s">
        <v>31</v>
      </c>
      <c r="U50" s="4" t="s">
        <v>30</v>
      </c>
      <c r="V50" s="4" t="s">
        <v>30</v>
      </c>
      <c r="W50" s="4" t="s">
        <v>30</v>
      </c>
    </row>
    <row r="51" spans="1:23" x14ac:dyDescent="0.3">
      <c r="A51" s="3">
        <v>48</v>
      </c>
      <c r="B51" s="4" t="s">
        <v>18</v>
      </c>
      <c r="C51" s="4" t="s">
        <v>18</v>
      </c>
      <c r="D51" s="4" t="s">
        <v>31</v>
      </c>
      <c r="E51" s="4" t="s">
        <v>31</v>
      </c>
      <c r="F51" s="4" t="s">
        <v>31</v>
      </c>
      <c r="G51" s="4" t="s">
        <v>31</v>
      </c>
      <c r="H51" s="4">
        <v>0</v>
      </c>
      <c r="I51" s="4">
        <v>0</v>
      </c>
      <c r="J51" s="4">
        <v>0</v>
      </c>
      <c r="K51" s="4">
        <v>0</v>
      </c>
      <c r="L51" s="5" t="e">
        <f t="shared" si="0"/>
        <v>#DIV/0!</v>
      </c>
      <c r="M51" s="4"/>
      <c r="N51" s="4" t="s">
        <v>30</v>
      </c>
      <c r="O51" s="4" t="s">
        <v>31</v>
      </c>
      <c r="P51" s="4" t="s">
        <v>30</v>
      </c>
      <c r="Q51" s="4" t="s">
        <v>31</v>
      </c>
      <c r="R51" s="4" t="s">
        <v>30</v>
      </c>
      <c r="S51" s="4" t="s">
        <v>31</v>
      </c>
      <c r="T51" s="4" t="s">
        <v>31</v>
      </c>
      <c r="U51" s="4" t="s">
        <v>30</v>
      </c>
      <c r="V51" s="4" t="s">
        <v>30</v>
      </c>
      <c r="W51" s="4" t="s">
        <v>30</v>
      </c>
    </row>
  </sheetData>
  <mergeCells count="2">
    <mergeCell ref="D1:G1"/>
    <mergeCell ref="U1:W1"/>
  </mergeCells>
  <phoneticPr fontId="2" type="noConversion"/>
  <conditionalFormatting sqref="L3:L5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H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4132-4698-4456-BBBC-1036B617668F}">
  <dimension ref="B1:Y20"/>
  <sheetViews>
    <sheetView workbookViewId="0">
      <selection activeCell="D3" sqref="D3:D9"/>
    </sheetView>
  </sheetViews>
  <sheetFormatPr defaultRowHeight="16.5" x14ac:dyDescent="0.3"/>
  <cols>
    <col min="20" max="20" width="9" style="2"/>
  </cols>
  <sheetData>
    <row r="1" spans="2:25" x14ac:dyDescent="0.3">
      <c r="B1" t="s">
        <v>192</v>
      </c>
    </row>
    <row r="2" spans="2:25" ht="40.5" x14ac:dyDescent="0.3">
      <c r="B2" s="3"/>
      <c r="C2" s="3" t="s">
        <v>190</v>
      </c>
      <c r="D2" s="3" t="s">
        <v>5</v>
      </c>
      <c r="E2" s="3" t="s">
        <v>20</v>
      </c>
      <c r="F2" s="3" t="s">
        <v>7</v>
      </c>
      <c r="G2" s="3" t="s">
        <v>59</v>
      </c>
      <c r="H2" s="3" t="s">
        <v>6</v>
      </c>
      <c r="I2" s="3" t="s">
        <v>55</v>
      </c>
      <c r="J2" s="3" t="s">
        <v>12</v>
      </c>
      <c r="K2" s="3" t="s">
        <v>11</v>
      </c>
      <c r="L2" s="3" t="s">
        <v>8</v>
      </c>
      <c r="M2" s="3" t="s">
        <v>9</v>
      </c>
      <c r="N2" s="3" t="s">
        <v>10</v>
      </c>
      <c r="O2" s="3" t="s">
        <v>167</v>
      </c>
      <c r="P2" s="3" t="s">
        <v>168</v>
      </c>
      <c r="Q2" s="3" t="s">
        <v>169</v>
      </c>
      <c r="R2" s="3" t="s">
        <v>170</v>
      </c>
      <c r="S2" s="3" t="s">
        <v>179</v>
      </c>
      <c r="T2" s="6" t="s">
        <v>102</v>
      </c>
    </row>
    <row r="3" spans="2:25" x14ac:dyDescent="0.3">
      <c r="B3" s="3">
        <v>0</v>
      </c>
      <c r="C3" s="4" t="s">
        <v>22</v>
      </c>
      <c r="D3" s="4">
        <v>1653</v>
      </c>
      <c r="E3" s="4">
        <v>594.39806399999998</v>
      </c>
      <c r="F3" s="4">
        <v>1835.0260129999999</v>
      </c>
      <c r="G3" s="4">
        <v>517</v>
      </c>
      <c r="H3" s="4">
        <v>939</v>
      </c>
      <c r="I3" s="4">
        <v>369</v>
      </c>
      <c r="J3" s="4">
        <v>465.40653400000002</v>
      </c>
      <c r="K3" s="4">
        <v>498.794918</v>
      </c>
      <c r="L3" s="4">
        <v>17080.532364999999</v>
      </c>
      <c r="M3" s="4">
        <v>860.34664199999997</v>
      </c>
      <c r="N3" s="4">
        <v>6.3090999999999994E-2</v>
      </c>
      <c r="O3" s="4">
        <v>1732.2466119999999</v>
      </c>
      <c r="P3" s="4">
        <v>1355.440233</v>
      </c>
      <c r="Q3" s="4">
        <v>19.619195000000001</v>
      </c>
      <c r="R3" s="4">
        <v>961.721362</v>
      </c>
      <c r="S3" s="4">
        <v>2869.635569</v>
      </c>
      <c r="T3" s="5">
        <v>0.17688300000000001</v>
      </c>
      <c r="U3">
        <f>SUMPRODUCT(D3:D9,N3:N9)/SUM(D3:D9)</f>
        <v>0.12149124175106175</v>
      </c>
      <c r="V3">
        <f>SUMPRODUCT(D3:D9,T3:T9)/SUM(D3:D9)</f>
        <v>0.3210953423717739</v>
      </c>
      <c r="W3">
        <f>SUM(E3:F3)</f>
        <v>2429.4240769999997</v>
      </c>
      <c r="X3">
        <f>SUMPRODUCT(D3:D9,W3:W9)/SUM(D3:D9)</f>
        <v>11529.947076105684</v>
      </c>
      <c r="Y3">
        <f>SUMPRODUCT(D3:D9,S3:S9)/SUM(D3:D9)</f>
        <v>10461.172051455571</v>
      </c>
    </row>
    <row r="4" spans="2:25" x14ac:dyDescent="0.3">
      <c r="B4" s="3">
        <v>1</v>
      </c>
      <c r="C4" s="4" t="s">
        <v>23</v>
      </c>
      <c r="D4" s="4">
        <v>1413</v>
      </c>
      <c r="E4" s="4">
        <v>1457.6985139999999</v>
      </c>
      <c r="F4" s="4">
        <v>5875.7268219999996</v>
      </c>
      <c r="G4" s="4">
        <v>387</v>
      </c>
      <c r="H4" s="4">
        <v>599</v>
      </c>
      <c r="I4" s="4">
        <v>615</v>
      </c>
      <c r="J4" s="4">
        <v>958.02123099999994</v>
      </c>
      <c r="K4" s="4">
        <v>815.90799700000002</v>
      </c>
      <c r="L4" s="4">
        <v>17900.601557000002</v>
      </c>
      <c r="M4" s="4">
        <v>1550.2837930000001</v>
      </c>
      <c r="N4" s="4">
        <v>0.119618</v>
      </c>
      <c r="O4" s="4">
        <v>2915.5154470000002</v>
      </c>
      <c r="P4" s="4">
        <v>3506.402936</v>
      </c>
      <c r="Q4" s="4">
        <v>22.041070999999999</v>
      </c>
      <c r="R4" s="4">
        <v>1167.266071</v>
      </c>
      <c r="S4" s="4">
        <v>6428.0570959999995</v>
      </c>
      <c r="T4" s="5">
        <v>0.29450399999999999</v>
      </c>
      <c r="W4">
        <f t="shared" ref="W4:W9" si="0">SUM(E4:F4)</f>
        <v>7333.4253359999993</v>
      </c>
    </row>
    <row r="5" spans="2:25" ht="27" x14ac:dyDescent="0.3">
      <c r="B5" s="3">
        <v>2</v>
      </c>
      <c r="C5" s="4" t="s">
        <v>24</v>
      </c>
      <c r="D5" s="4">
        <v>1090</v>
      </c>
      <c r="E5" s="4">
        <v>2301.085321</v>
      </c>
      <c r="F5" s="4">
        <v>10186.799083</v>
      </c>
      <c r="G5" s="4">
        <v>314</v>
      </c>
      <c r="H5" s="4">
        <v>374</v>
      </c>
      <c r="I5" s="4">
        <v>557</v>
      </c>
      <c r="J5" s="4">
        <v>1296.1642199999999</v>
      </c>
      <c r="K5" s="4">
        <v>1467.830275</v>
      </c>
      <c r="L5" s="4">
        <v>18276.146788999999</v>
      </c>
      <c r="M5" s="4">
        <v>2066.7128440000001</v>
      </c>
      <c r="N5" s="4">
        <v>0.14890800000000001</v>
      </c>
      <c r="O5" s="4">
        <v>4621.1831240000001</v>
      </c>
      <c r="P5" s="4">
        <v>6264.287523</v>
      </c>
      <c r="Q5" s="4">
        <v>20.482828000000001</v>
      </c>
      <c r="R5" s="4">
        <v>1195.7777779999999</v>
      </c>
      <c r="S5" s="4">
        <v>10845.732368999999</v>
      </c>
      <c r="T5" s="5">
        <v>0.36771999999999999</v>
      </c>
      <c r="W5">
        <f t="shared" si="0"/>
        <v>12487.884404</v>
      </c>
    </row>
    <row r="6" spans="2:25" ht="27" x14ac:dyDescent="0.3">
      <c r="B6" s="3">
        <v>3</v>
      </c>
      <c r="C6" s="4" t="s">
        <v>25</v>
      </c>
      <c r="D6" s="4">
        <v>900</v>
      </c>
      <c r="E6" s="4">
        <v>2891.166667</v>
      </c>
      <c r="F6" s="4">
        <v>14463.452222</v>
      </c>
      <c r="G6" s="4">
        <v>245</v>
      </c>
      <c r="H6" s="4">
        <v>262</v>
      </c>
      <c r="I6" s="4">
        <v>517</v>
      </c>
      <c r="J6" s="4">
        <v>1471.9422219999999</v>
      </c>
      <c r="K6" s="4">
        <v>1935.9422219999999</v>
      </c>
      <c r="L6" s="4">
        <v>20934.088888999999</v>
      </c>
      <c r="M6" s="4">
        <v>2374.938889</v>
      </c>
      <c r="N6" s="4">
        <v>0.145067</v>
      </c>
      <c r="O6" s="4">
        <v>6494.5783369999999</v>
      </c>
      <c r="P6" s="4">
        <v>9053.3625730000003</v>
      </c>
      <c r="Q6" s="4">
        <v>22.695931000000002</v>
      </c>
      <c r="R6" s="4">
        <v>1329.937901</v>
      </c>
      <c r="S6" s="4">
        <v>15515.362573</v>
      </c>
      <c r="T6" s="5">
        <v>0.40504800000000002</v>
      </c>
      <c r="W6">
        <f>SUM(E6:F6)</f>
        <v>17354.618889000001</v>
      </c>
    </row>
    <row r="7" spans="2:25" ht="27" x14ac:dyDescent="0.3">
      <c r="B7" s="3">
        <v>4</v>
      </c>
      <c r="C7" s="4" t="s">
        <v>26</v>
      </c>
      <c r="D7" s="4">
        <v>592</v>
      </c>
      <c r="E7" s="4">
        <v>3817.4358109999998</v>
      </c>
      <c r="F7" s="4">
        <v>18548.942567999999</v>
      </c>
      <c r="G7" s="4">
        <v>136</v>
      </c>
      <c r="H7" s="4">
        <v>144</v>
      </c>
      <c r="I7" s="4">
        <v>378</v>
      </c>
      <c r="J7" s="4">
        <v>1679.885135</v>
      </c>
      <c r="K7" s="4">
        <v>2778.010135</v>
      </c>
      <c r="L7" s="4">
        <v>21592.415540999998</v>
      </c>
      <c r="M7" s="4">
        <v>2774.8885140000002</v>
      </c>
      <c r="N7" s="4">
        <v>0.16275300000000001</v>
      </c>
      <c r="O7" s="4">
        <v>8379.3201059999992</v>
      </c>
      <c r="P7" s="4">
        <v>11870.329787000001</v>
      </c>
      <c r="Q7" s="4">
        <v>24.101189999999999</v>
      </c>
      <c r="R7" s="4">
        <v>1483.708333</v>
      </c>
      <c r="S7" s="4">
        <v>20161.965425999999</v>
      </c>
      <c r="T7" s="5">
        <v>0.442857</v>
      </c>
      <c r="W7">
        <f t="shared" si="0"/>
        <v>22366.378378999998</v>
      </c>
    </row>
    <row r="8" spans="2:25" ht="27" x14ac:dyDescent="0.3">
      <c r="B8" s="3">
        <v>5</v>
      </c>
      <c r="C8" s="4" t="s">
        <v>27</v>
      </c>
      <c r="D8" s="4">
        <v>313</v>
      </c>
      <c r="E8" s="4">
        <v>4790.5431310000004</v>
      </c>
      <c r="F8" s="4">
        <v>22501.290734999999</v>
      </c>
      <c r="G8" s="4">
        <v>57</v>
      </c>
      <c r="H8" s="4">
        <v>78</v>
      </c>
      <c r="I8" s="4">
        <v>211</v>
      </c>
      <c r="J8" s="4">
        <v>1808.1373799999999</v>
      </c>
      <c r="K8" s="4">
        <v>3883.0734819999998</v>
      </c>
      <c r="L8" s="4">
        <v>24743.961661000001</v>
      </c>
      <c r="M8" s="4">
        <v>3208.6613419999999</v>
      </c>
      <c r="N8" s="4">
        <v>0.15939300000000001</v>
      </c>
      <c r="O8" s="4">
        <v>10789.729858000001</v>
      </c>
      <c r="P8" s="4">
        <v>13854.739336000001</v>
      </c>
      <c r="Q8" s="4">
        <v>22.213197999999998</v>
      </c>
      <c r="R8" s="4">
        <v>1520.5888319999999</v>
      </c>
      <c r="S8" s="4">
        <v>24644.469194000001</v>
      </c>
      <c r="T8" s="5">
        <v>0.48483399999999999</v>
      </c>
      <c r="W8">
        <f t="shared" si="0"/>
        <v>27291.833866000001</v>
      </c>
    </row>
    <row r="9" spans="2:25" ht="27" x14ac:dyDescent="0.3">
      <c r="B9" s="3">
        <v>6</v>
      </c>
      <c r="C9" s="4" t="s">
        <v>63</v>
      </c>
      <c r="D9" s="4">
        <v>161</v>
      </c>
      <c r="E9" s="4">
        <v>5622.1180119999999</v>
      </c>
      <c r="F9" s="4">
        <v>26639.850932000001</v>
      </c>
      <c r="G9" s="4">
        <v>30</v>
      </c>
      <c r="H9" s="4">
        <v>29</v>
      </c>
      <c r="I9" s="4">
        <v>129</v>
      </c>
      <c r="J9" s="4">
        <v>1802.5652170000001</v>
      </c>
      <c r="K9" s="4">
        <v>5639.9068319999997</v>
      </c>
      <c r="L9" s="4">
        <v>26329.689440999999</v>
      </c>
      <c r="M9" s="4">
        <v>3508.1242240000001</v>
      </c>
      <c r="N9" s="4">
        <v>0.19472</v>
      </c>
      <c r="O9" s="4">
        <v>13079.286822</v>
      </c>
      <c r="P9" s="4">
        <v>16806.929688</v>
      </c>
      <c r="Q9" s="4">
        <v>23.322581</v>
      </c>
      <c r="R9" s="4">
        <v>1956.193548</v>
      </c>
      <c r="S9" s="4">
        <v>29699.789062</v>
      </c>
      <c r="T9" s="5">
        <v>0.48410900000000001</v>
      </c>
      <c r="W9">
        <f t="shared" si="0"/>
        <v>32261.968944</v>
      </c>
    </row>
    <row r="10" spans="2:25" ht="27" x14ac:dyDescent="0.3">
      <c r="B10" s="3">
        <v>7</v>
      </c>
      <c r="C10" s="4" t="s">
        <v>64</v>
      </c>
      <c r="D10" s="4">
        <v>74</v>
      </c>
      <c r="E10" s="4">
        <v>7355.1621619999996</v>
      </c>
      <c r="F10" s="4">
        <v>29863.270270000001</v>
      </c>
      <c r="G10" s="4">
        <v>14</v>
      </c>
      <c r="H10" s="4">
        <v>13</v>
      </c>
      <c r="I10" s="4">
        <v>59</v>
      </c>
      <c r="J10" s="4">
        <v>1848.3108110000001</v>
      </c>
      <c r="K10" s="4">
        <v>7432.5675680000004</v>
      </c>
      <c r="L10" s="4">
        <v>27713.513513999998</v>
      </c>
      <c r="M10" s="4">
        <v>4716.4729729999999</v>
      </c>
      <c r="N10" s="4">
        <v>0.24756800000000001</v>
      </c>
      <c r="O10" s="4">
        <v>12613.322034000001</v>
      </c>
      <c r="P10" s="4">
        <v>19348.050846999999</v>
      </c>
      <c r="Q10" s="4">
        <v>20.730768999999999</v>
      </c>
      <c r="R10" s="4">
        <v>1550.4423079999999</v>
      </c>
      <c r="S10" s="4">
        <v>31961.372880999999</v>
      </c>
      <c r="T10" s="5">
        <v>0.422373</v>
      </c>
    </row>
    <row r="11" spans="2:25" ht="27" x14ac:dyDescent="0.3">
      <c r="B11" s="3">
        <v>8</v>
      </c>
      <c r="C11" s="4" t="s">
        <v>65</v>
      </c>
      <c r="D11" s="4">
        <v>36</v>
      </c>
      <c r="E11" s="4">
        <v>13772.861111</v>
      </c>
      <c r="F11" s="4">
        <v>27912.888889000002</v>
      </c>
      <c r="G11" s="4">
        <v>7</v>
      </c>
      <c r="H11" s="4">
        <v>4</v>
      </c>
      <c r="I11" s="4">
        <v>28</v>
      </c>
      <c r="J11" s="4">
        <v>4628.9444439999997</v>
      </c>
      <c r="K11" s="4">
        <v>14731.083333</v>
      </c>
      <c r="L11" s="4">
        <v>35516.666666999998</v>
      </c>
      <c r="M11" s="4">
        <v>8900.0833330000005</v>
      </c>
      <c r="N11" s="4">
        <v>0.39888899999999999</v>
      </c>
      <c r="O11" s="4">
        <v>17065.107143000001</v>
      </c>
      <c r="P11" s="4">
        <v>17287.370370000001</v>
      </c>
      <c r="Q11" s="4">
        <v>27.8</v>
      </c>
      <c r="R11" s="4">
        <v>3997.48</v>
      </c>
      <c r="S11" s="4">
        <v>34969.074073999996</v>
      </c>
      <c r="T11" s="5">
        <v>0.54</v>
      </c>
    </row>
    <row r="12" spans="2:25" ht="27" x14ac:dyDescent="0.3">
      <c r="B12" s="3">
        <v>9</v>
      </c>
      <c r="C12" s="4" t="s">
        <v>66</v>
      </c>
      <c r="D12" s="4">
        <v>7</v>
      </c>
      <c r="E12" s="4">
        <v>22886</v>
      </c>
      <c r="F12" s="4">
        <v>23725.857143000001</v>
      </c>
      <c r="G12" s="4">
        <v>1</v>
      </c>
      <c r="H12" s="4">
        <v>3</v>
      </c>
      <c r="I12" s="4">
        <v>7</v>
      </c>
      <c r="J12" s="4">
        <v>1561.7142859999999</v>
      </c>
      <c r="K12" s="4">
        <v>32293.428571</v>
      </c>
      <c r="L12" s="4">
        <v>43900</v>
      </c>
      <c r="M12" s="4">
        <v>12480.285714</v>
      </c>
      <c r="N12" s="4">
        <v>0.29142899999999999</v>
      </c>
      <c r="O12" s="4">
        <v>15802.142857000001</v>
      </c>
      <c r="P12" s="4">
        <v>18713.428571</v>
      </c>
      <c r="Q12" s="4">
        <v>17</v>
      </c>
      <c r="R12" s="4">
        <v>1420.7142859999999</v>
      </c>
      <c r="S12" s="4">
        <v>34515.571429000003</v>
      </c>
      <c r="T12" s="5">
        <v>0.41428599999999999</v>
      </c>
    </row>
    <row r="13" spans="2:25" ht="27" x14ac:dyDescent="0.3">
      <c r="B13" s="3">
        <v>10</v>
      </c>
      <c r="C13" s="4" t="s">
        <v>67</v>
      </c>
      <c r="D13" s="4">
        <v>12</v>
      </c>
      <c r="E13" s="4">
        <v>37962.75</v>
      </c>
      <c r="F13" s="4">
        <v>13650.916667</v>
      </c>
      <c r="G13" s="4">
        <v>2</v>
      </c>
      <c r="H13" s="4">
        <v>1</v>
      </c>
      <c r="I13" s="4">
        <v>9</v>
      </c>
      <c r="J13" s="4">
        <v>26509.083332999999</v>
      </c>
      <c r="K13" s="4">
        <v>15686.333333</v>
      </c>
      <c r="L13" s="4">
        <v>29600</v>
      </c>
      <c r="M13" s="4">
        <v>16372.75</v>
      </c>
      <c r="N13" s="4">
        <v>0.51749999999999996</v>
      </c>
      <c r="O13" s="4">
        <v>32179.888889000002</v>
      </c>
      <c r="P13" s="4">
        <v>3648.375</v>
      </c>
      <c r="Q13" s="4">
        <v>5.75</v>
      </c>
      <c r="R13" s="4">
        <v>6390.625</v>
      </c>
      <c r="S13" s="4">
        <v>33596.25</v>
      </c>
      <c r="T13" s="5">
        <v>0.82888899999999999</v>
      </c>
    </row>
    <row r="14" spans="2:25" ht="27" x14ac:dyDescent="0.3">
      <c r="B14" s="3">
        <v>11</v>
      </c>
      <c r="C14" s="4" t="s">
        <v>68</v>
      </c>
      <c r="D14" s="4">
        <v>5</v>
      </c>
      <c r="E14" s="4">
        <v>29351.8</v>
      </c>
      <c r="F14" s="4">
        <v>27871</v>
      </c>
      <c r="G14" s="4">
        <v>0</v>
      </c>
      <c r="H14" s="4">
        <v>2</v>
      </c>
      <c r="I14" s="4">
        <v>5</v>
      </c>
      <c r="J14" s="4">
        <v>2313.4</v>
      </c>
      <c r="K14" s="4">
        <v>52415.6</v>
      </c>
      <c r="L14" s="4">
        <v>12880</v>
      </c>
      <c r="M14" s="4">
        <v>8320</v>
      </c>
      <c r="N14" s="4">
        <v>0.6</v>
      </c>
      <c r="O14" s="4">
        <v>51110.2</v>
      </c>
      <c r="P14" s="4">
        <v>1190.5999999999999</v>
      </c>
      <c r="Q14" s="4">
        <v>37.25</v>
      </c>
      <c r="R14" s="4">
        <v>4217.5</v>
      </c>
      <c r="S14" s="4">
        <v>52300.800000000003</v>
      </c>
      <c r="T14" s="5">
        <v>0.66800000000000004</v>
      </c>
    </row>
    <row r="15" spans="2:25" ht="27" x14ac:dyDescent="0.3">
      <c r="B15" s="3">
        <v>12</v>
      </c>
      <c r="C15" s="4" t="s">
        <v>69</v>
      </c>
      <c r="D15" s="4">
        <v>0</v>
      </c>
      <c r="E15" s="4" t="s">
        <v>31</v>
      </c>
      <c r="F15" s="4" t="s">
        <v>30</v>
      </c>
      <c r="G15" s="4">
        <v>0</v>
      </c>
      <c r="H15" s="4">
        <v>0</v>
      </c>
      <c r="I15" s="4">
        <v>0</v>
      </c>
      <c r="J15" s="4" t="s">
        <v>31</v>
      </c>
      <c r="K15" s="4" t="s">
        <v>31</v>
      </c>
      <c r="L15" s="4" t="s">
        <v>30</v>
      </c>
      <c r="M15" s="4" t="s">
        <v>31</v>
      </c>
      <c r="N15" s="4" t="s">
        <v>30</v>
      </c>
      <c r="O15" s="4" t="s">
        <v>31</v>
      </c>
      <c r="P15" s="4" t="s">
        <v>30</v>
      </c>
      <c r="Q15" s="4" t="s">
        <v>31</v>
      </c>
      <c r="R15" s="4" t="s">
        <v>31</v>
      </c>
      <c r="S15" s="4" t="s">
        <v>31</v>
      </c>
      <c r="T15" s="5" t="s">
        <v>30</v>
      </c>
    </row>
    <row r="16" spans="2:25" ht="27" x14ac:dyDescent="0.3">
      <c r="B16" s="3">
        <v>13</v>
      </c>
      <c r="C16" s="4" t="s">
        <v>70</v>
      </c>
      <c r="D16" s="4">
        <v>0</v>
      </c>
      <c r="E16" s="4" t="s">
        <v>31</v>
      </c>
      <c r="F16" s="4" t="s">
        <v>30</v>
      </c>
      <c r="G16" s="4">
        <v>0</v>
      </c>
      <c r="H16" s="4">
        <v>0</v>
      </c>
      <c r="I16" s="4">
        <v>0</v>
      </c>
      <c r="J16" s="4" t="s">
        <v>31</v>
      </c>
      <c r="K16" s="4" t="s">
        <v>31</v>
      </c>
      <c r="L16" s="4" t="s">
        <v>30</v>
      </c>
      <c r="M16" s="4" t="s">
        <v>31</v>
      </c>
      <c r="N16" s="4" t="s">
        <v>30</v>
      </c>
      <c r="O16" s="4" t="s">
        <v>31</v>
      </c>
      <c r="P16" s="4" t="s">
        <v>30</v>
      </c>
      <c r="Q16" s="4" t="s">
        <v>31</v>
      </c>
      <c r="R16" s="4" t="s">
        <v>31</v>
      </c>
      <c r="S16" s="4" t="s">
        <v>31</v>
      </c>
      <c r="T16" s="5" t="s">
        <v>30</v>
      </c>
    </row>
    <row r="17" spans="2:20" ht="27" x14ac:dyDescent="0.3">
      <c r="B17" s="3">
        <v>14</v>
      </c>
      <c r="C17" s="4" t="s">
        <v>71</v>
      </c>
      <c r="D17" s="4">
        <v>2</v>
      </c>
      <c r="E17" s="4">
        <v>67197</v>
      </c>
      <c r="F17" s="4">
        <v>5246.5</v>
      </c>
      <c r="G17" s="4">
        <v>0</v>
      </c>
      <c r="H17" s="4">
        <v>0</v>
      </c>
      <c r="I17" s="4">
        <v>2</v>
      </c>
      <c r="J17" s="4">
        <v>162</v>
      </c>
      <c r="K17" s="4">
        <v>134280.5</v>
      </c>
      <c r="L17" s="4">
        <v>32400</v>
      </c>
      <c r="M17" s="4">
        <v>24650</v>
      </c>
      <c r="N17" s="4">
        <v>0.82499999999999996</v>
      </c>
      <c r="O17" s="4">
        <v>49564</v>
      </c>
      <c r="P17" s="4">
        <v>4022.5</v>
      </c>
      <c r="Q17" s="4">
        <v>3</v>
      </c>
      <c r="R17" s="4">
        <v>457.5</v>
      </c>
      <c r="S17" s="4">
        <v>53586.5</v>
      </c>
      <c r="T17" s="5">
        <v>6.5000000000000002E-2</v>
      </c>
    </row>
    <row r="18" spans="2:20" ht="27" x14ac:dyDescent="0.3">
      <c r="B18" s="3">
        <v>15</v>
      </c>
      <c r="C18" s="4" t="s">
        <v>72</v>
      </c>
      <c r="D18" s="4">
        <v>1</v>
      </c>
      <c r="E18" s="4">
        <v>56286</v>
      </c>
      <c r="F18" s="4">
        <v>23064</v>
      </c>
      <c r="G18" s="4">
        <v>0</v>
      </c>
      <c r="H18" s="4">
        <v>0</v>
      </c>
      <c r="I18" s="4">
        <v>1</v>
      </c>
      <c r="J18" s="4">
        <v>51253</v>
      </c>
      <c r="K18" s="4">
        <v>5401</v>
      </c>
      <c r="L18" s="4">
        <v>5800</v>
      </c>
      <c r="M18" s="4">
        <v>5800</v>
      </c>
      <c r="N18" s="4">
        <v>1</v>
      </c>
      <c r="O18" s="4">
        <v>51634</v>
      </c>
      <c r="P18" s="4">
        <v>22163</v>
      </c>
      <c r="Q18" s="4">
        <v>3</v>
      </c>
      <c r="R18" s="4">
        <v>179</v>
      </c>
      <c r="S18" s="4">
        <v>73797</v>
      </c>
      <c r="T18" s="5">
        <v>0.72</v>
      </c>
    </row>
    <row r="19" spans="2:20" ht="27" x14ac:dyDescent="0.3">
      <c r="B19" s="3">
        <v>16</v>
      </c>
      <c r="C19" s="4" t="s">
        <v>73</v>
      </c>
      <c r="D19" s="4">
        <v>1</v>
      </c>
      <c r="E19" s="4">
        <v>3708</v>
      </c>
      <c r="F19" s="4">
        <v>78170</v>
      </c>
      <c r="G19" s="4">
        <v>0</v>
      </c>
      <c r="H19" s="4">
        <v>0</v>
      </c>
      <c r="I19" s="4">
        <v>1</v>
      </c>
      <c r="J19" s="4">
        <v>3758</v>
      </c>
      <c r="K19" s="4">
        <v>26</v>
      </c>
      <c r="L19" s="4">
        <v>10500</v>
      </c>
      <c r="M19" s="4">
        <v>0</v>
      </c>
      <c r="N19" s="4">
        <v>0</v>
      </c>
      <c r="O19" s="4">
        <v>3784</v>
      </c>
      <c r="P19" s="4">
        <v>78170</v>
      </c>
      <c r="Q19" s="4" t="s">
        <v>31</v>
      </c>
      <c r="R19" s="4" t="s">
        <v>31</v>
      </c>
      <c r="S19" s="4">
        <v>81954</v>
      </c>
      <c r="T19" s="5">
        <v>0.37</v>
      </c>
    </row>
    <row r="20" spans="2:20" ht="27" x14ac:dyDescent="0.3">
      <c r="B20" s="3">
        <v>17</v>
      </c>
      <c r="C20" s="4" t="s">
        <v>74</v>
      </c>
      <c r="D20" s="4">
        <v>1</v>
      </c>
      <c r="E20" s="4">
        <v>1036</v>
      </c>
      <c r="F20" s="4">
        <v>84481</v>
      </c>
      <c r="G20" s="4">
        <v>0</v>
      </c>
      <c r="H20" s="4">
        <v>0</v>
      </c>
      <c r="I20" s="4">
        <v>1</v>
      </c>
      <c r="J20" s="4">
        <v>862</v>
      </c>
      <c r="K20" s="4">
        <v>200</v>
      </c>
      <c r="L20" s="4">
        <v>105000</v>
      </c>
      <c r="M20" s="4">
        <v>5250</v>
      </c>
      <c r="N20" s="4">
        <v>0.05</v>
      </c>
      <c r="O20" s="4">
        <v>32743</v>
      </c>
      <c r="P20" s="4">
        <v>49230</v>
      </c>
      <c r="Q20" s="4">
        <v>34</v>
      </c>
      <c r="R20" s="4">
        <v>1686</v>
      </c>
      <c r="S20" s="4">
        <v>81973</v>
      </c>
      <c r="T20" s="5">
        <v>0.52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F1C2-FDA2-47C7-A663-26B4F9388E1B}">
  <dimension ref="B4:AA54"/>
  <sheetViews>
    <sheetView workbookViewId="0">
      <selection activeCell="N29" sqref="B20:N29"/>
    </sheetView>
  </sheetViews>
  <sheetFormatPr defaultRowHeight="16.5" x14ac:dyDescent="0.3"/>
  <cols>
    <col min="1" max="5" width="9" style="12"/>
    <col min="6" max="6" width="9.75" style="2" bestFit="1" customWidth="1"/>
    <col min="7" max="8" width="9" style="12"/>
    <col min="9" max="10" width="9" style="7"/>
    <col min="11" max="11" width="9" style="2"/>
    <col min="12" max="20" width="9" style="12"/>
    <col min="21" max="21" width="13" style="12" bestFit="1" customWidth="1"/>
    <col min="22" max="22" width="9.875" style="12" customWidth="1"/>
    <col min="23" max="23" width="9.75" style="12" bestFit="1" customWidth="1"/>
    <col min="24" max="24" width="23.75" style="12" bestFit="1" customWidth="1"/>
    <col min="25" max="16384" width="9" style="12"/>
  </cols>
  <sheetData>
    <row r="4" spans="2:27" ht="40.5" x14ac:dyDescent="0.3">
      <c r="B4" s="14" t="s">
        <v>119</v>
      </c>
      <c r="C4" s="14" t="s">
        <v>17</v>
      </c>
      <c r="D4" s="14" t="s">
        <v>5</v>
      </c>
      <c r="E4" s="14" t="s">
        <v>6</v>
      </c>
      <c r="F4" s="15" t="s">
        <v>33</v>
      </c>
      <c r="G4" s="14" t="s">
        <v>7</v>
      </c>
      <c r="H4" s="14" t="s">
        <v>20</v>
      </c>
      <c r="I4" s="16" t="s">
        <v>8</v>
      </c>
      <c r="J4" s="16" t="s">
        <v>9</v>
      </c>
      <c r="K4" s="15" t="s">
        <v>10</v>
      </c>
      <c r="L4" s="14" t="s">
        <v>11</v>
      </c>
      <c r="M4" s="14" t="s">
        <v>12</v>
      </c>
      <c r="N4" s="46" t="s">
        <v>13</v>
      </c>
      <c r="O4" s="47"/>
      <c r="P4" s="48"/>
      <c r="U4" s="12" t="s">
        <v>40</v>
      </c>
      <c r="V4" s="12" t="s">
        <v>41</v>
      </c>
      <c r="W4" s="12" t="s">
        <v>42</v>
      </c>
    </row>
    <row r="5" spans="2:27" x14ac:dyDescent="0.3">
      <c r="B5" s="14"/>
      <c r="C5" s="14"/>
      <c r="D5" s="14" t="s">
        <v>14</v>
      </c>
      <c r="E5" s="14" t="s">
        <v>32</v>
      </c>
      <c r="F5" s="15" t="s">
        <v>34</v>
      </c>
      <c r="G5" s="14" t="s">
        <v>15</v>
      </c>
      <c r="H5" s="14" t="s">
        <v>15</v>
      </c>
      <c r="I5" s="16" t="s">
        <v>15</v>
      </c>
      <c r="J5" s="16" t="s">
        <v>15</v>
      </c>
      <c r="K5" s="15" t="s">
        <v>15</v>
      </c>
      <c r="L5" s="14" t="s">
        <v>15</v>
      </c>
      <c r="M5" s="14" t="s">
        <v>15</v>
      </c>
      <c r="N5" s="14" t="s">
        <v>16</v>
      </c>
      <c r="O5" s="14" t="s">
        <v>15</v>
      </c>
      <c r="P5" s="14" t="s">
        <v>29</v>
      </c>
      <c r="U5" s="12" t="s">
        <v>36</v>
      </c>
      <c r="V5" s="12" t="s">
        <v>43</v>
      </c>
      <c r="W5" s="12" t="s">
        <v>37</v>
      </c>
      <c r="X5" s="12" t="s">
        <v>38</v>
      </c>
    </row>
    <row r="6" spans="2:27" x14ac:dyDescent="0.3">
      <c r="B6" s="10" t="s">
        <v>22</v>
      </c>
      <c r="C6" s="10" t="s">
        <v>22</v>
      </c>
      <c r="D6" s="10">
        <v>4785</v>
      </c>
      <c r="E6" s="10">
        <v>2511</v>
      </c>
      <c r="F6" s="5">
        <f>E6/D6</f>
        <v>0.52476489028213169</v>
      </c>
      <c r="G6" s="10">
        <v>1740.383908</v>
      </c>
      <c r="H6" s="10">
        <v>2154.3249740000001</v>
      </c>
      <c r="I6" s="9">
        <v>10938.898642</v>
      </c>
      <c r="J6" s="9">
        <v>2723.732497</v>
      </c>
      <c r="K6" s="5">
        <v>0.43062099999999998</v>
      </c>
      <c r="L6" s="10">
        <v>1624.9414839999999</v>
      </c>
      <c r="M6" s="10">
        <v>1397.672309</v>
      </c>
      <c r="N6" s="10">
        <v>23</v>
      </c>
      <c r="O6" s="10">
        <v>23.981190999999999</v>
      </c>
      <c r="P6" s="10">
        <v>74</v>
      </c>
      <c r="R6" s="12">
        <f>SUMPRODUCT(D6:D12,N6:N12)/SUM(D6:D12)</f>
        <v>25.398385424381573</v>
      </c>
      <c r="U6" s="12">
        <v>10000</v>
      </c>
      <c r="V6" s="12">
        <v>0</v>
      </c>
      <c r="W6" s="12">
        <f>U6*15%</f>
        <v>1500</v>
      </c>
      <c r="X6" s="12">
        <v>10000</v>
      </c>
      <c r="Y6" s="12">
        <f>W6-X6</f>
        <v>-8500</v>
      </c>
    </row>
    <row r="7" spans="2:27" x14ac:dyDescent="0.3">
      <c r="B7" s="10" t="s">
        <v>22</v>
      </c>
      <c r="C7" s="10" t="s">
        <v>23</v>
      </c>
      <c r="D7" s="10">
        <v>2782</v>
      </c>
      <c r="E7" s="10">
        <v>1076</v>
      </c>
      <c r="F7" s="5">
        <f t="shared" ref="F7:F54" si="0">E7/D7</f>
        <v>0.38677210639827464</v>
      </c>
      <c r="G7" s="10">
        <v>7224.1010059999999</v>
      </c>
      <c r="H7" s="10">
        <v>1697.3526240000001</v>
      </c>
      <c r="I7" s="9">
        <v>12415.463695</v>
      </c>
      <c r="J7" s="9">
        <v>2924.0158160000001</v>
      </c>
      <c r="K7" s="5">
        <v>0.39945700000000001</v>
      </c>
      <c r="L7" s="10">
        <v>1520.0276779999999</v>
      </c>
      <c r="M7" s="10">
        <v>1441.3281810000001</v>
      </c>
      <c r="N7" s="10">
        <v>25</v>
      </c>
      <c r="O7" s="10">
        <v>24.558949999999999</v>
      </c>
      <c r="P7" s="10">
        <v>74</v>
      </c>
      <c r="U7" s="12">
        <v>60000</v>
      </c>
      <c r="W7" s="12">
        <f>U7*15%</f>
        <v>9000</v>
      </c>
      <c r="X7" s="12">
        <v>10000</v>
      </c>
      <c r="Y7" s="12">
        <f>W7-X7</f>
        <v>-1000</v>
      </c>
    </row>
    <row r="8" spans="2:27" ht="27" x14ac:dyDescent="0.3">
      <c r="B8" s="10" t="s">
        <v>22</v>
      </c>
      <c r="C8" s="10" t="s">
        <v>24</v>
      </c>
      <c r="D8" s="10">
        <v>2549</v>
      </c>
      <c r="E8" s="10">
        <v>832</v>
      </c>
      <c r="F8" s="5">
        <f t="shared" si="0"/>
        <v>0.32640251078854454</v>
      </c>
      <c r="G8" s="10">
        <v>12252.675166999999</v>
      </c>
      <c r="H8" s="10">
        <v>1946.738329</v>
      </c>
      <c r="I8" s="9">
        <v>13579.348764</v>
      </c>
      <c r="J8" s="9">
        <v>4899.4244799999997</v>
      </c>
      <c r="K8" s="5">
        <v>0.48633599999999999</v>
      </c>
      <c r="L8" s="10">
        <v>3260.2891330000002</v>
      </c>
      <c r="M8" s="10">
        <v>1662.269125</v>
      </c>
      <c r="N8" s="10">
        <v>27</v>
      </c>
      <c r="O8" s="10">
        <v>26.420556999999999</v>
      </c>
      <c r="P8" s="10">
        <v>73</v>
      </c>
    </row>
    <row r="9" spans="2:27" ht="27" x14ac:dyDescent="0.3">
      <c r="B9" s="10" t="s">
        <v>22</v>
      </c>
      <c r="C9" s="10" t="s">
        <v>25</v>
      </c>
      <c r="D9" s="10">
        <v>1719</v>
      </c>
      <c r="E9" s="10">
        <v>411</v>
      </c>
      <c r="F9" s="5">
        <f t="shared" si="0"/>
        <v>0.23909249563699825</v>
      </c>
      <c r="G9" s="10">
        <v>17294.845840999998</v>
      </c>
      <c r="H9" s="10">
        <v>2177.645724</v>
      </c>
      <c r="I9" s="9">
        <v>14356.102385</v>
      </c>
      <c r="J9" s="9">
        <v>4245.5002910000003</v>
      </c>
      <c r="K9" s="5">
        <v>0.44022099999999997</v>
      </c>
      <c r="L9" s="10">
        <v>2725.3595110000001</v>
      </c>
      <c r="M9" s="10">
        <v>1868.282723</v>
      </c>
      <c r="N9" s="10">
        <v>28</v>
      </c>
      <c r="O9" s="10">
        <v>27.827224999999999</v>
      </c>
      <c r="P9" s="10">
        <v>74</v>
      </c>
    </row>
    <row r="10" spans="2:27" ht="27" x14ac:dyDescent="0.3">
      <c r="B10" s="10" t="s">
        <v>22</v>
      </c>
      <c r="C10" s="10" t="s">
        <v>26</v>
      </c>
      <c r="D10" s="10">
        <v>928</v>
      </c>
      <c r="E10" s="10">
        <v>247</v>
      </c>
      <c r="F10" s="5">
        <f t="shared" si="0"/>
        <v>0.26616379310344829</v>
      </c>
      <c r="G10" s="10">
        <v>22116.33944</v>
      </c>
      <c r="H10" s="10">
        <v>2158.5528020000002</v>
      </c>
      <c r="I10" s="9">
        <v>15964.536638</v>
      </c>
      <c r="J10" s="9">
        <v>4293.8976290000001</v>
      </c>
      <c r="K10" s="5">
        <v>0.42097000000000001</v>
      </c>
      <c r="L10" s="10">
        <v>2612.3836209999999</v>
      </c>
      <c r="M10" s="10">
        <v>1892.2790950000001</v>
      </c>
      <c r="N10" s="10">
        <v>28</v>
      </c>
      <c r="O10" s="10">
        <v>27.252154999999998</v>
      </c>
      <c r="P10" s="10">
        <v>74</v>
      </c>
      <c r="T10" s="12" t="s">
        <v>44</v>
      </c>
      <c r="X10" s="12" t="s">
        <v>45</v>
      </c>
      <c r="Y10" s="12">
        <v>90</v>
      </c>
      <c r="Z10" s="12">
        <v>50</v>
      </c>
      <c r="AA10" s="12">
        <v>50</v>
      </c>
    </row>
    <row r="11" spans="2:27" ht="27" x14ac:dyDescent="0.3">
      <c r="B11" s="10" t="s">
        <v>22</v>
      </c>
      <c r="C11" s="10" t="s">
        <v>27</v>
      </c>
      <c r="D11" s="10">
        <v>432</v>
      </c>
      <c r="E11" s="10">
        <v>99</v>
      </c>
      <c r="F11" s="5">
        <f t="shared" si="0"/>
        <v>0.22916666666666666</v>
      </c>
      <c r="G11" s="10">
        <v>27153.708332999999</v>
      </c>
      <c r="H11" s="10">
        <v>2248.4444440000002</v>
      </c>
      <c r="I11" s="9">
        <v>17988.935184999998</v>
      </c>
      <c r="J11" s="9">
        <v>3766.6018519999998</v>
      </c>
      <c r="K11" s="5">
        <v>0.39266200000000001</v>
      </c>
      <c r="L11" s="10">
        <v>2207.7430559999998</v>
      </c>
      <c r="M11" s="10">
        <v>1908.7175930000001</v>
      </c>
      <c r="N11" s="10">
        <v>28</v>
      </c>
      <c r="O11" s="10">
        <v>24.685185000000001</v>
      </c>
      <c r="P11" s="10">
        <v>67</v>
      </c>
      <c r="T11" s="12" t="s">
        <v>36</v>
      </c>
      <c r="U11" s="7">
        <v>48148.148148148153</v>
      </c>
      <c r="V11" s="7">
        <v>33333.333333333358</v>
      </c>
      <c r="X11" s="12" t="s">
        <v>46</v>
      </c>
      <c r="Y11" s="12">
        <v>5</v>
      </c>
      <c r="Z11" s="12">
        <v>5</v>
      </c>
      <c r="AA11" s="12">
        <v>5</v>
      </c>
    </row>
    <row r="12" spans="2:27" x14ac:dyDescent="0.3">
      <c r="B12" s="10" t="s">
        <v>22</v>
      </c>
      <c r="C12" s="10" t="s">
        <v>18</v>
      </c>
      <c r="D12" s="10">
        <v>307</v>
      </c>
      <c r="E12" s="10">
        <v>55</v>
      </c>
      <c r="F12" s="5">
        <f t="shared" si="0"/>
        <v>0.17915309446254071</v>
      </c>
      <c r="G12" s="10">
        <v>35440.644951000002</v>
      </c>
      <c r="H12" s="10">
        <v>2332.3387619999999</v>
      </c>
      <c r="I12" s="9">
        <v>20663.550489000001</v>
      </c>
      <c r="J12" s="9">
        <v>3801.876221</v>
      </c>
      <c r="K12" s="5">
        <v>0.37504900000000002</v>
      </c>
      <c r="L12" s="10">
        <v>1909.5342020000001</v>
      </c>
      <c r="M12" s="10">
        <v>2061.7263840000001</v>
      </c>
      <c r="N12" s="10">
        <v>27</v>
      </c>
      <c r="O12" s="10">
        <v>23.713355</v>
      </c>
      <c r="P12" s="10">
        <v>68</v>
      </c>
      <c r="T12" s="12" t="s">
        <v>37</v>
      </c>
      <c r="U12" s="17">
        <v>0.15</v>
      </c>
      <c r="V12" s="17">
        <v>0.15</v>
      </c>
      <c r="X12" s="12" t="s">
        <v>48</v>
      </c>
      <c r="Y12" s="12">
        <v>20</v>
      </c>
      <c r="Z12" s="12">
        <v>20</v>
      </c>
      <c r="AA12" s="12">
        <v>20</v>
      </c>
    </row>
    <row r="13" spans="2:27" x14ac:dyDescent="0.3">
      <c r="B13" s="10" t="s">
        <v>23</v>
      </c>
      <c r="C13" s="10" t="s">
        <v>22</v>
      </c>
      <c r="D13" s="10">
        <v>3944</v>
      </c>
      <c r="E13" s="10">
        <v>2117</v>
      </c>
      <c r="F13" s="5">
        <f t="shared" si="0"/>
        <v>0.53676470588235292</v>
      </c>
      <c r="G13" s="10">
        <v>851.43661299999997</v>
      </c>
      <c r="H13" s="10">
        <v>7315.039554</v>
      </c>
      <c r="I13" s="9">
        <v>10416.361562</v>
      </c>
      <c r="J13" s="9">
        <v>7135.7786509999996</v>
      </c>
      <c r="K13" s="5">
        <v>0.78596900000000003</v>
      </c>
      <c r="L13" s="10">
        <v>5969.4406689999996</v>
      </c>
      <c r="M13" s="10">
        <v>1860.0998990000001</v>
      </c>
      <c r="N13" s="10">
        <v>31</v>
      </c>
      <c r="O13" s="10">
        <v>32.607252000000003</v>
      </c>
      <c r="P13" s="10">
        <v>74</v>
      </c>
      <c r="R13" s="12">
        <f>SUMPRODUCT(D13:D19,N13:N19)/SUM(D13:D19)</f>
        <v>30.500265064499029</v>
      </c>
      <c r="T13" s="12" t="s">
        <v>39</v>
      </c>
      <c r="U13" s="7">
        <f>U11*U12</f>
        <v>7222.2222222222226</v>
      </c>
      <c r="V13" s="7">
        <f>V11*V12</f>
        <v>5000.0000000000036</v>
      </c>
    </row>
    <row r="14" spans="2:27" x14ac:dyDescent="0.3">
      <c r="B14" s="10" t="s">
        <v>23</v>
      </c>
      <c r="C14" s="10" t="s">
        <v>23</v>
      </c>
      <c r="D14" s="10">
        <v>513</v>
      </c>
      <c r="E14" s="10">
        <v>179</v>
      </c>
      <c r="F14" s="5">
        <f t="shared" si="0"/>
        <v>0.3489278752436647</v>
      </c>
      <c r="G14" s="10">
        <v>7341.3567249999996</v>
      </c>
      <c r="H14" s="10">
        <v>6725.692008</v>
      </c>
      <c r="I14" s="9">
        <v>9955.6335280000003</v>
      </c>
      <c r="J14" s="9">
        <v>6816.5536060000004</v>
      </c>
      <c r="K14" s="5">
        <v>0.78945399999999999</v>
      </c>
      <c r="L14" s="10">
        <v>5952.0799219999999</v>
      </c>
      <c r="M14" s="10">
        <v>2080.321637</v>
      </c>
      <c r="N14" s="10">
        <v>28</v>
      </c>
      <c r="O14" s="10">
        <v>28.452241999999998</v>
      </c>
      <c r="P14" s="10">
        <v>72</v>
      </c>
      <c r="T14" s="12" t="s">
        <v>42</v>
      </c>
      <c r="U14" s="7">
        <v>10000</v>
      </c>
      <c r="V14" s="7">
        <v>10000</v>
      </c>
    </row>
    <row r="15" spans="2:27" ht="27" x14ac:dyDescent="0.3">
      <c r="B15" s="10" t="s">
        <v>23</v>
      </c>
      <c r="C15" s="10" t="s">
        <v>24</v>
      </c>
      <c r="D15" s="10">
        <v>460</v>
      </c>
      <c r="E15" s="10">
        <v>111</v>
      </c>
      <c r="F15" s="5">
        <f t="shared" si="0"/>
        <v>0.24130434782608695</v>
      </c>
      <c r="G15" s="10">
        <v>12307.960870000001</v>
      </c>
      <c r="H15" s="10">
        <v>6856.2195650000003</v>
      </c>
      <c r="I15" s="9">
        <v>11316.565216999999</v>
      </c>
      <c r="J15" s="9">
        <v>7942.8</v>
      </c>
      <c r="K15" s="5">
        <v>0.79104300000000005</v>
      </c>
      <c r="L15" s="10">
        <v>6951.6934780000001</v>
      </c>
      <c r="M15" s="10">
        <v>2431.4304350000002</v>
      </c>
      <c r="N15" s="10">
        <v>30</v>
      </c>
      <c r="O15" s="10">
        <v>32.634782999999999</v>
      </c>
      <c r="P15" s="10">
        <v>74</v>
      </c>
      <c r="T15" s="12" t="s">
        <v>47</v>
      </c>
      <c r="U15" s="7">
        <f>U14/$Y$10 * (Y$11 + Y$12)</f>
        <v>2777.7777777777778</v>
      </c>
      <c r="V15" s="7">
        <f>V14/Z$10 * (Z$11 + Z$12)</f>
        <v>5000</v>
      </c>
    </row>
    <row r="16" spans="2:27" ht="27" x14ac:dyDescent="0.3">
      <c r="B16" s="10" t="s">
        <v>23</v>
      </c>
      <c r="C16" s="10" t="s">
        <v>25</v>
      </c>
      <c r="D16" s="10">
        <v>332</v>
      </c>
      <c r="E16" s="10">
        <v>63</v>
      </c>
      <c r="F16" s="5">
        <f t="shared" si="0"/>
        <v>0.18975903614457831</v>
      </c>
      <c r="G16" s="10">
        <v>17313.891565999998</v>
      </c>
      <c r="H16" s="10">
        <v>6874.6807230000004</v>
      </c>
      <c r="I16" s="9">
        <v>10774.307229</v>
      </c>
      <c r="J16" s="9">
        <v>7329.307229</v>
      </c>
      <c r="K16" s="5">
        <v>0.79635500000000004</v>
      </c>
      <c r="L16" s="10">
        <v>6166.078313</v>
      </c>
      <c r="M16" s="10">
        <v>2589.7831329999999</v>
      </c>
      <c r="N16" s="10">
        <v>30</v>
      </c>
      <c r="O16" s="10">
        <v>33.120482000000003</v>
      </c>
      <c r="P16" s="10">
        <v>74</v>
      </c>
      <c r="T16" s="12" t="s">
        <v>51</v>
      </c>
      <c r="V16" s="12">
        <f>ROUND(V11*5%/100,0)*100</f>
        <v>1700</v>
      </c>
    </row>
    <row r="17" spans="2:23" ht="27" x14ac:dyDescent="0.3">
      <c r="B17" s="10" t="s">
        <v>23</v>
      </c>
      <c r="C17" s="10" t="s">
        <v>26</v>
      </c>
      <c r="D17" s="10">
        <v>207</v>
      </c>
      <c r="E17" s="10">
        <v>29</v>
      </c>
      <c r="F17" s="5">
        <f t="shared" si="0"/>
        <v>0.14009661835748793</v>
      </c>
      <c r="G17" s="10">
        <v>22282.318841</v>
      </c>
      <c r="H17" s="10">
        <v>6888.6376810000002</v>
      </c>
      <c r="I17" s="9">
        <v>10267.536232</v>
      </c>
      <c r="J17" s="9">
        <v>7480.1545889999998</v>
      </c>
      <c r="K17" s="5">
        <v>0.82483099999999998</v>
      </c>
      <c r="L17" s="10">
        <v>6186.7246379999997</v>
      </c>
      <c r="M17" s="10">
        <v>2639.4685989999998</v>
      </c>
      <c r="N17" s="10">
        <v>30</v>
      </c>
      <c r="O17" s="10">
        <v>32.198067999999999</v>
      </c>
      <c r="P17" s="10">
        <v>74</v>
      </c>
    </row>
    <row r="18" spans="2:23" ht="27" x14ac:dyDescent="0.3">
      <c r="B18" s="10" t="s">
        <v>23</v>
      </c>
      <c r="C18" s="10" t="s">
        <v>27</v>
      </c>
      <c r="D18" s="10">
        <v>116</v>
      </c>
      <c r="E18" s="10">
        <v>9</v>
      </c>
      <c r="F18" s="5">
        <f t="shared" si="0"/>
        <v>7.7586206896551727E-2</v>
      </c>
      <c r="G18" s="10">
        <v>27216.474138000001</v>
      </c>
      <c r="H18" s="10">
        <v>6824.7413790000001</v>
      </c>
      <c r="I18" s="9">
        <v>10381.551724000001</v>
      </c>
      <c r="J18" s="9">
        <v>7180.2241379999996</v>
      </c>
      <c r="K18" s="5">
        <v>0.79327599999999998</v>
      </c>
      <c r="L18" s="10">
        <v>5384.456897</v>
      </c>
      <c r="M18" s="10">
        <v>2800.3362069999998</v>
      </c>
      <c r="N18" s="10">
        <v>30</v>
      </c>
      <c r="O18" s="10">
        <v>32.698276</v>
      </c>
      <c r="P18" s="10">
        <v>73</v>
      </c>
      <c r="T18" s="12" t="s">
        <v>39</v>
      </c>
      <c r="U18" s="12">
        <f>U13+U15-U14</f>
        <v>0</v>
      </c>
      <c r="V18" s="12">
        <f>V13+V15-V14</f>
        <v>0</v>
      </c>
    </row>
    <row r="19" spans="2:23" x14ac:dyDescent="0.3">
      <c r="B19" s="10" t="s">
        <v>23</v>
      </c>
      <c r="C19" s="10" t="s">
        <v>18</v>
      </c>
      <c r="D19" s="10">
        <v>87</v>
      </c>
      <c r="E19" s="10">
        <v>11</v>
      </c>
      <c r="F19" s="5">
        <f t="shared" si="0"/>
        <v>0.12643678160919541</v>
      </c>
      <c r="G19" s="10">
        <v>37507.678161000003</v>
      </c>
      <c r="H19" s="10">
        <v>6946.7586209999999</v>
      </c>
      <c r="I19" s="9">
        <v>14370</v>
      </c>
      <c r="J19" s="9">
        <v>6546.7011490000004</v>
      </c>
      <c r="K19" s="5">
        <v>0.80080499999999999</v>
      </c>
      <c r="L19" s="10">
        <v>5229.0114940000003</v>
      </c>
      <c r="M19" s="10">
        <v>2928.816092</v>
      </c>
      <c r="N19" s="10">
        <v>29</v>
      </c>
      <c r="O19" s="10">
        <v>30.057471</v>
      </c>
      <c r="P19" s="10">
        <v>73</v>
      </c>
    </row>
    <row r="20" spans="2:23" ht="27" x14ac:dyDescent="0.3">
      <c r="B20" s="10" t="s">
        <v>24</v>
      </c>
      <c r="C20" s="10" t="s">
        <v>22</v>
      </c>
      <c r="D20" s="10">
        <v>3680</v>
      </c>
      <c r="E20" s="10">
        <v>1748</v>
      </c>
      <c r="F20" s="5">
        <f t="shared" si="0"/>
        <v>0.47499999999999998</v>
      </c>
      <c r="G20" s="10">
        <v>702.91929300000004</v>
      </c>
      <c r="H20" s="10">
        <v>12295.857065</v>
      </c>
      <c r="I20" s="9">
        <v>14011.6875</v>
      </c>
      <c r="J20" s="9">
        <v>11545.577174</v>
      </c>
      <c r="K20" s="5">
        <v>0.87826599999999999</v>
      </c>
      <c r="L20" s="10">
        <v>10770.747554</v>
      </c>
      <c r="M20" s="10">
        <v>2086.103533</v>
      </c>
      <c r="N20" s="10">
        <v>38</v>
      </c>
      <c r="O20" s="10">
        <v>35.500272000000002</v>
      </c>
      <c r="P20" s="10">
        <v>74</v>
      </c>
      <c r="R20" s="12">
        <f>SUMPRODUCT(D20:D26,N20:N26)/SUM(D20:D26)</f>
        <v>37.236728837876612</v>
      </c>
      <c r="T20" s="12" t="s">
        <v>49</v>
      </c>
      <c r="U20" s="17">
        <v>0.15</v>
      </c>
      <c r="V20" s="17">
        <v>0.15</v>
      </c>
    </row>
    <row r="21" spans="2:23" ht="27" x14ac:dyDescent="0.3">
      <c r="B21" s="10" t="s">
        <v>24</v>
      </c>
      <c r="C21" s="10" t="s">
        <v>23</v>
      </c>
      <c r="D21" s="10">
        <v>510</v>
      </c>
      <c r="E21" s="10">
        <v>153</v>
      </c>
      <c r="F21" s="5">
        <f t="shared" si="0"/>
        <v>0.3</v>
      </c>
      <c r="G21" s="10">
        <v>6979.2921569999999</v>
      </c>
      <c r="H21" s="10">
        <v>12197.9</v>
      </c>
      <c r="I21" s="9">
        <v>15867.313725</v>
      </c>
      <c r="J21" s="9">
        <v>13334.109804</v>
      </c>
      <c r="K21" s="5">
        <v>0.89219599999999999</v>
      </c>
      <c r="L21" s="10">
        <v>13316.825489999999</v>
      </c>
      <c r="M21" s="10">
        <v>2045.7333329999999</v>
      </c>
      <c r="N21" s="10">
        <v>35</v>
      </c>
      <c r="O21" s="10">
        <v>33.156863000000001</v>
      </c>
      <c r="P21" s="10">
        <v>73</v>
      </c>
      <c r="T21" s="12" t="s">
        <v>50</v>
      </c>
      <c r="U21" s="17">
        <v>1</v>
      </c>
      <c r="V21" s="17">
        <v>1</v>
      </c>
    </row>
    <row r="22" spans="2:23" ht="27" x14ac:dyDescent="0.3">
      <c r="B22" s="10" t="s">
        <v>24</v>
      </c>
      <c r="C22" s="10" t="s">
        <v>24</v>
      </c>
      <c r="D22" s="10">
        <v>418</v>
      </c>
      <c r="E22" s="10">
        <v>108</v>
      </c>
      <c r="F22" s="5">
        <f t="shared" si="0"/>
        <v>0.25837320574162681</v>
      </c>
      <c r="G22" s="10">
        <v>11988.229665000001</v>
      </c>
      <c r="H22" s="10">
        <v>12314.784689</v>
      </c>
      <c r="I22" s="9">
        <v>17258.421052999998</v>
      </c>
      <c r="J22" s="9">
        <v>15291.344498</v>
      </c>
      <c r="K22" s="5">
        <v>0.93696199999999996</v>
      </c>
      <c r="L22" s="10">
        <v>16425.454545000001</v>
      </c>
      <c r="M22" s="10">
        <v>2195.6124399999999</v>
      </c>
      <c r="N22" s="10">
        <v>37.5</v>
      </c>
      <c r="O22" s="10">
        <v>34.507176999999999</v>
      </c>
      <c r="P22" s="10">
        <v>73</v>
      </c>
    </row>
    <row r="23" spans="2:23" ht="27" x14ac:dyDescent="0.3">
      <c r="B23" s="10" t="s">
        <v>24</v>
      </c>
      <c r="C23" s="10" t="s">
        <v>25</v>
      </c>
      <c r="D23" s="10">
        <v>150</v>
      </c>
      <c r="E23" s="10">
        <v>27</v>
      </c>
      <c r="F23" s="5">
        <f t="shared" si="0"/>
        <v>0.18</v>
      </c>
      <c r="G23" s="10">
        <v>17186.993332999999</v>
      </c>
      <c r="H23" s="10">
        <v>12288.913333</v>
      </c>
      <c r="I23" s="9">
        <v>15143.733333</v>
      </c>
      <c r="J23" s="9">
        <v>13097.546667000001</v>
      </c>
      <c r="K23" s="5">
        <v>0.894733</v>
      </c>
      <c r="L23" s="10">
        <v>15434.086667</v>
      </c>
      <c r="M23" s="10">
        <v>2360.8133330000001</v>
      </c>
      <c r="N23" s="10">
        <v>31.5</v>
      </c>
      <c r="O23" s="10">
        <v>32.693333000000003</v>
      </c>
      <c r="P23" s="10">
        <v>72</v>
      </c>
    </row>
    <row r="24" spans="2:23" ht="27" x14ac:dyDescent="0.3">
      <c r="B24" s="10" t="s">
        <v>24</v>
      </c>
      <c r="C24" s="10" t="s">
        <v>26</v>
      </c>
      <c r="D24" s="10">
        <v>78</v>
      </c>
      <c r="E24" s="10">
        <v>11</v>
      </c>
      <c r="F24" s="5">
        <f t="shared" si="0"/>
        <v>0.14102564102564102</v>
      </c>
      <c r="G24" s="10">
        <v>22035.230769000002</v>
      </c>
      <c r="H24" s="10">
        <v>12020.948718</v>
      </c>
      <c r="I24" s="9">
        <v>14270.897435999999</v>
      </c>
      <c r="J24" s="9">
        <v>12544.858974000001</v>
      </c>
      <c r="K24" s="5">
        <v>0.91089699999999996</v>
      </c>
      <c r="L24" s="10">
        <v>14244.692308</v>
      </c>
      <c r="M24" s="10">
        <v>2540.3589740000002</v>
      </c>
      <c r="N24" s="10">
        <v>30</v>
      </c>
      <c r="O24" s="10">
        <v>31.653846000000001</v>
      </c>
      <c r="P24" s="10">
        <v>69</v>
      </c>
      <c r="T24" s="12" t="s">
        <v>44</v>
      </c>
    </row>
    <row r="25" spans="2:23" ht="27" x14ac:dyDescent="0.3">
      <c r="B25" s="10" t="s">
        <v>24</v>
      </c>
      <c r="C25" s="10" t="s">
        <v>27</v>
      </c>
      <c r="D25" s="10">
        <v>28</v>
      </c>
      <c r="E25" s="10">
        <v>3</v>
      </c>
      <c r="F25" s="5">
        <f t="shared" si="0"/>
        <v>0.10714285714285714</v>
      </c>
      <c r="G25" s="10">
        <v>26784.678571</v>
      </c>
      <c r="H25" s="10">
        <v>12116.892857000001</v>
      </c>
      <c r="I25" s="9">
        <v>13378.571429</v>
      </c>
      <c r="J25" s="9">
        <v>11264.178571</v>
      </c>
      <c r="K25" s="5">
        <v>0.91749999999999998</v>
      </c>
      <c r="L25" s="10">
        <v>13846.392857000001</v>
      </c>
      <c r="M25" s="10">
        <v>2445.7857140000001</v>
      </c>
      <c r="N25" s="10">
        <v>28.5</v>
      </c>
      <c r="O25" s="10">
        <v>26.857143000000001</v>
      </c>
      <c r="P25" s="10">
        <v>68</v>
      </c>
      <c r="T25" s="12" t="s">
        <v>36</v>
      </c>
      <c r="U25" s="7">
        <v>13000</v>
      </c>
      <c r="V25" s="7">
        <v>13000</v>
      </c>
      <c r="W25" s="7">
        <v>13000</v>
      </c>
    </row>
    <row r="26" spans="2:23" ht="27" x14ac:dyDescent="0.3">
      <c r="B26" s="10" t="s">
        <v>24</v>
      </c>
      <c r="C26" s="10" t="s">
        <v>18</v>
      </c>
      <c r="D26" s="10">
        <v>15</v>
      </c>
      <c r="E26" s="10">
        <v>2</v>
      </c>
      <c r="F26" s="5">
        <f t="shared" si="0"/>
        <v>0.13333333333333333</v>
      </c>
      <c r="G26" s="10">
        <v>34380.199999999997</v>
      </c>
      <c r="H26" s="10">
        <v>12120.133333</v>
      </c>
      <c r="I26" s="9">
        <v>12113.333333</v>
      </c>
      <c r="J26" s="9">
        <v>11546.533332999999</v>
      </c>
      <c r="K26" s="5">
        <v>0.96266700000000005</v>
      </c>
      <c r="L26" s="10">
        <v>13230.466667000001</v>
      </c>
      <c r="M26" s="10">
        <v>2990.333333</v>
      </c>
      <c r="N26" s="10">
        <v>30</v>
      </c>
      <c r="O26" s="10">
        <v>31.266667000000002</v>
      </c>
      <c r="P26" s="10">
        <v>50</v>
      </c>
      <c r="T26" s="12" t="s">
        <v>37</v>
      </c>
      <c r="U26" s="17">
        <v>0.15</v>
      </c>
      <c r="V26" s="17">
        <v>0.15</v>
      </c>
      <c r="W26" s="17">
        <v>0.15</v>
      </c>
    </row>
    <row r="27" spans="2:23" ht="27" x14ac:dyDescent="0.3">
      <c r="B27" s="10" t="s">
        <v>25</v>
      </c>
      <c r="C27" s="10" t="s">
        <v>22</v>
      </c>
      <c r="D27" s="10">
        <v>2628</v>
      </c>
      <c r="E27" s="10">
        <v>996</v>
      </c>
      <c r="F27" s="5">
        <f t="shared" si="0"/>
        <v>0.37899543378995432</v>
      </c>
      <c r="G27" s="10">
        <v>639.33219199999996</v>
      </c>
      <c r="H27" s="10">
        <v>17285.420472000002</v>
      </c>
      <c r="I27" s="9">
        <v>17211.031201999998</v>
      </c>
      <c r="J27" s="9">
        <v>15182.126332</v>
      </c>
      <c r="K27" s="5">
        <v>0.92063499999999998</v>
      </c>
      <c r="L27" s="10">
        <v>15518.451674</v>
      </c>
      <c r="M27" s="10">
        <v>2494.5117959999998</v>
      </c>
      <c r="N27" s="10">
        <v>45</v>
      </c>
      <c r="O27" s="10">
        <v>40.109969999999997</v>
      </c>
      <c r="P27" s="10">
        <v>74</v>
      </c>
      <c r="R27" s="12">
        <f>SUMPRODUCT(D27:D33,N27:N33)/SUM(D27:D33)</f>
        <v>44.367959527824624</v>
      </c>
      <c r="T27" s="12" t="s">
        <v>39</v>
      </c>
      <c r="U27" s="7">
        <f>U25*U26</f>
        <v>1950</v>
      </c>
      <c r="V27" s="7">
        <f>V25*V26</f>
        <v>1950</v>
      </c>
      <c r="W27" s="7">
        <f>W25*W26</f>
        <v>1950</v>
      </c>
    </row>
    <row r="28" spans="2:23" ht="27" x14ac:dyDescent="0.3">
      <c r="B28" s="10" t="s">
        <v>25</v>
      </c>
      <c r="C28" s="10" t="s">
        <v>23</v>
      </c>
      <c r="D28" s="10">
        <v>137</v>
      </c>
      <c r="E28" s="10">
        <v>23</v>
      </c>
      <c r="F28" s="5">
        <f t="shared" si="0"/>
        <v>0.16788321167883211</v>
      </c>
      <c r="G28" s="10">
        <v>7190.4817519999997</v>
      </c>
      <c r="H28" s="10">
        <v>17059.751824999999</v>
      </c>
      <c r="I28" s="9">
        <v>17000.656933999999</v>
      </c>
      <c r="J28" s="9">
        <v>15552.138686</v>
      </c>
      <c r="K28" s="5">
        <v>0.94839399999999996</v>
      </c>
      <c r="L28" s="10">
        <v>20470.627736999999</v>
      </c>
      <c r="M28" s="10">
        <v>2509.423358</v>
      </c>
      <c r="N28" s="10">
        <v>40</v>
      </c>
      <c r="O28" s="10">
        <v>32.912408999999997</v>
      </c>
      <c r="P28" s="10">
        <v>73</v>
      </c>
      <c r="T28" s="12" t="s">
        <v>42</v>
      </c>
      <c r="U28" s="7">
        <v>10000</v>
      </c>
      <c r="V28" s="7"/>
      <c r="W28" s="7"/>
    </row>
    <row r="29" spans="2:23" ht="27" x14ac:dyDescent="0.3">
      <c r="B29" s="10" t="s">
        <v>25</v>
      </c>
      <c r="C29" s="10" t="s">
        <v>24</v>
      </c>
      <c r="D29" s="10">
        <v>95</v>
      </c>
      <c r="E29" s="10">
        <v>18</v>
      </c>
      <c r="F29" s="5">
        <f t="shared" si="0"/>
        <v>0.18947368421052632</v>
      </c>
      <c r="G29" s="10">
        <v>12236.378946999999</v>
      </c>
      <c r="H29" s="10">
        <v>16988.852631999998</v>
      </c>
      <c r="I29" s="9">
        <v>17640</v>
      </c>
      <c r="J29" s="9">
        <v>16825.747368</v>
      </c>
      <c r="K29" s="5">
        <v>0.96263200000000004</v>
      </c>
      <c r="L29" s="10">
        <v>22921.536842000001</v>
      </c>
      <c r="M29" s="10">
        <v>2853.421053</v>
      </c>
      <c r="N29" s="10">
        <v>46</v>
      </c>
      <c r="O29" s="10">
        <v>36.568421000000001</v>
      </c>
      <c r="P29" s="10">
        <v>73</v>
      </c>
      <c r="T29" s="12" t="s">
        <v>47</v>
      </c>
      <c r="U29" s="7">
        <f>U28/$Y$10 * (Y$11 + Y$12)</f>
        <v>2777.7777777777778</v>
      </c>
      <c r="V29" s="7"/>
      <c r="W29" s="7"/>
    </row>
    <row r="30" spans="2:23" ht="27" x14ac:dyDescent="0.3">
      <c r="B30" s="10" t="s">
        <v>25</v>
      </c>
      <c r="C30" s="10" t="s">
        <v>25</v>
      </c>
      <c r="D30" s="10">
        <v>51</v>
      </c>
      <c r="E30" s="10">
        <v>5</v>
      </c>
      <c r="F30" s="5">
        <f t="shared" si="0"/>
        <v>9.8039215686274508E-2</v>
      </c>
      <c r="G30" s="10">
        <v>17107.764706000002</v>
      </c>
      <c r="H30" s="10">
        <v>16653.490195999999</v>
      </c>
      <c r="I30" s="9">
        <v>19556.470588</v>
      </c>
      <c r="J30" s="9">
        <v>15856.843137</v>
      </c>
      <c r="K30" s="5">
        <v>0.9</v>
      </c>
      <c r="L30" s="10">
        <v>19719.431372999999</v>
      </c>
      <c r="M30" s="10">
        <v>2844.666667</v>
      </c>
      <c r="N30" s="10">
        <v>38</v>
      </c>
      <c r="O30" s="10">
        <v>35.588234999999997</v>
      </c>
      <c r="P30" s="10">
        <v>69</v>
      </c>
    </row>
    <row r="31" spans="2:23" ht="27" x14ac:dyDescent="0.3">
      <c r="B31" s="10" t="s">
        <v>25</v>
      </c>
      <c r="C31" s="10" t="s">
        <v>26</v>
      </c>
      <c r="D31" s="10">
        <v>33</v>
      </c>
      <c r="E31" s="10">
        <v>7</v>
      </c>
      <c r="F31" s="5">
        <f t="shared" si="0"/>
        <v>0.21212121212121213</v>
      </c>
      <c r="G31" s="10">
        <v>22255.818181999999</v>
      </c>
      <c r="H31" s="10">
        <v>16914.848484999999</v>
      </c>
      <c r="I31" s="9">
        <v>15900</v>
      </c>
      <c r="J31" s="9">
        <v>14955.030303</v>
      </c>
      <c r="K31" s="5">
        <v>0.96878799999999998</v>
      </c>
      <c r="L31" s="10">
        <v>21809.272727</v>
      </c>
      <c r="M31" s="10">
        <v>2974.727273</v>
      </c>
      <c r="N31" s="10">
        <v>31</v>
      </c>
      <c r="O31" s="10">
        <v>34.878788</v>
      </c>
      <c r="P31" s="10">
        <v>73</v>
      </c>
    </row>
    <row r="32" spans="2:23" ht="27" x14ac:dyDescent="0.3">
      <c r="B32" s="10" t="s">
        <v>25</v>
      </c>
      <c r="C32" s="10" t="s">
        <v>27</v>
      </c>
      <c r="D32" s="10">
        <v>12</v>
      </c>
      <c r="E32" s="10">
        <v>0</v>
      </c>
      <c r="F32" s="5">
        <f t="shared" si="0"/>
        <v>0</v>
      </c>
      <c r="G32" s="10">
        <v>27326.916667000001</v>
      </c>
      <c r="H32" s="10">
        <v>17667.833332999999</v>
      </c>
      <c r="I32" s="9">
        <v>17216.666667000001</v>
      </c>
      <c r="J32" s="9">
        <v>14889.833333</v>
      </c>
      <c r="K32" s="5">
        <v>0.89</v>
      </c>
      <c r="L32" s="10">
        <v>25271</v>
      </c>
      <c r="M32" s="10">
        <v>3623.166667</v>
      </c>
      <c r="N32" s="10">
        <v>31</v>
      </c>
      <c r="O32" s="10">
        <v>34.333333000000003</v>
      </c>
      <c r="P32" s="10">
        <v>74</v>
      </c>
      <c r="T32" s="12" t="s">
        <v>39</v>
      </c>
      <c r="U32" s="12">
        <f>SUM(U27:W27)+U29-U28</f>
        <v>-1372.2222222222226</v>
      </c>
    </row>
    <row r="33" spans="2:23" ht="27" x14ac:dyDescent="0.3">
      <c r="B33" s="10" t="s">
        <v>25</v>
      </c>
      <c r="C33" s="10" t="s">
        <v>18</v>
      </c>
      <c r="D33" s="10">
        <v>9</v>
      </c>
      <c r="E33" s="10">
        <v>0</v>
      </c>
      <c r="F33" s="5">
        <f t="shared" si="0"/>
        <v>0</v>
      </c>
      <c r="G33" s="10">
        <v>42182.555555999999</v>
      </c>
      <c r="H33" s="10">
        <v>16494.333332999999</v>
      </c>
      <c r="I33" s="9">
        <v>16700</v>
      </c>
      <c r="J33" s="9">
        <v>15985.777778</v>
      </c>
      <c r="K33" s="5">
        <v>0.96444399999999997</v>
      </c>
      <c r="L33" s="10">
        <v>23952.111110999998</v>
      </c>
      <c r="M33" s="10">
        <v>2532.5555559999998</v>
      </c>
      <c r="N33" s="10">
        <v>12</v>
      </c>
      <c r="O33" s="10">
        <v>27.666667</v>
      </c>
      <c r="P33" s="10">
        <v>74</v>
      </c>
    </row>
    <row r="34" spans="2:23" ht="27" x14ac:dyDescent="0.3">
      <c r="B34" s="10" t="s">
        <v>26</v>
      </c>
      <c r="C34" s="10" t="s">
        <v>22</v>
      </c>
      <c r="D34" s="10">
        <v>1708</v>
      </c>
      <c r="E34" s="10">
        <v>496</v>
      </c>
      <c r="F34" s="5">
        <f t="shared" si="0"/>
        <v>0.29039812646370022</v>
      </c>
      <c r="G34" s="10">
        <v>665.43149900000003</v>
      </c>
      <c r="H34" s="10">
        <v>22212.492388999999</v>
      </c>
      <c r="I34" s="9">
        <v>20248.741217999999</v>
      </c>
      <c r="J34" s="9">
        <v>18109.272833999999</v>
      </c>
      <c r="K34" s="5">
        <v>0.93134099999999997</v>
      </c>
      <c r="L34" s="10">
        <v>20437.265222000002</v>
      </c>
      <c r="M34" s="10">
        <v>2901.4941450000001</v>
      </c>
      <c r="N34" s="10">
        <v>49</v>
      </c>
      <c r="O34" s="10">
        <v>43.236533999999999</v>
      </c>
      <c r="P34" s="10">
        <v>74</v>
      </c>
      <c r="R34" s="12">
        <f>SUMPRODUCT(D34:D40,N34:N40)/SUM(D34:D40)</f>
        <v>47.650460593654046</v>
      </c>
      <c r="U34" s="17"/>
      <c r="V34" s="17"/>
      <c r="W34" s="17"/>
    </row>
    <row r="35" spans="2:23" ht="27" x14ac:dyDescent="0.3">
      <c r="B35" s="10" t="s">
        <v>26</v>
      </c>
      <c r="C35" s="10" t="s">
        <v>23</v>
      </c>
      <c r="D35" s="10">
        <v>135</v>
      </c>
      <c r="E35" s="10">
        <v>25</v>
      </c>
      <c r="F35" s="5">
        <f t="shared" si="0"/>
        <v>0.18518518518518517</v>
      </c>
      <c r="G35" s="10">
        <v>6895.6148149999999</v>
      </c>
      <c r="H35" s="10">
        <v>22242.548148000002</v>
      </c>
      <c r="I35" s="9">
        <v>20316.296296</v>
      </c>
      <c r="J35" s="9">
        <v>18454.281481000002</v>
      </c>
      <c r="K35" s="5">
        <v>0.95066700000000004</v>
      </c>
      <c r="L35" s="10">
        <v>26554.533332999999</v>
      </c>
      <c r="M35" s="10">
        <v>2238.0888890000001</v>
      </c>
      <c r="N35" s="10">
        <v>38</v>
      </c>
      <c r="O35" s="10">
        <v>32.814815000000003</v>
      </c>
      <c r="P35" s="10">
        <v>69</v>
      </c>
      <c r="U35" s="17"/>
      <c r="V35" s="17"/>
      <c r="W35" s="17"/>
    </row>
    <row r="36" spans="2:23" ht="27" x14ac:dyDescent="0.3">
      <c r="B36" s="10" t="s">
        <v>26</v>
      </c>
      <c r="C36" s="10" t="s">
        <v>24</v>
      </c>
      <c r="D36" s="10">
        <v>62</v>
      </c>
      <c r="E36" s="10">
        <v>5</v>
      </c>
      <c r="F36" s="5">
        <f t="shared" si="0"/>
        <v>8.0645161290322578E-2</v>
      </c>
      <c r="G36" s="10">
        <v>11787.5</v>
      </c>
      <c r="H36" s="10">
        <v>22414.532257999999</v>
      </c>
      <c r="I36" s="9">
        <v>21529.032257999999</v>
      </c>
      <c r="J36" s="9">
        <v>19733.790323000001</v>
      </c>
      <c r="K36" s="5">
        <v>0.94435500000000006</v>
      </c>
      <c r="L36" s="10">
        <v>30966.016129</v>
      </c>
      <c r="M36" s="10">
        <v>2398.5967740000001</v>
      </c>
      <c r="N36" s="10">
        <v>44</v>
      </c>
      <c r="O36" s="10">
        <v>34.177419</v>
      </c>
      <c r="P36" s="10">
        <v>68</v>
      </c>
    </row>
    <row r="37" spans="2:23" ht="27" x14ac:dyDescent="0.3">
      <c r="B37" s="10" t="s">
        <v>26</v>
      </c>
      <c r="C37" s="10" t="s">
        <v>25</v>
      </c>
      <c r="D37" s="10">
        <v>26</v>
      </c>
      <c r="E37" s="10">
        <v>3</v>
      </c>
      <c r="F37" s="5">
        <f t="shared" si="0"/>
        <v>0.11538461538461539</v>
      </c>
      <c r="G37" s="10">
        <v>17369.307691999998</v>
      </c>
      <c r="H37" s="10">
        <v>22023.269230999998</v>
      </c>
      <c r="I37" s="9">
        <v>20009.615385000001</v>
      </c>
      <c r="J37" s="9">
        <v>18704.961538</v>
      </c>
      <c r="K37" s="5">
        <v>0.95769199999999999</v>
      </c>
      <c r="L37" s="10">
        <v>31570.807691999998</v>
      </c>
      <c r="M37" s="10">
        <v>2600.038462</v>
      </c>
      <c r="N37" s="10">
        <v>31</v>
      </c>
      <c r="O37" s="10">
        <v>31.5</v>
      </c>
      <c r="P37" s="10">
        <v>73</v>
      </c>
    </row>
    <row r="38" spans="2:23" ht="27" x14ac:dyDescent="0.3">
      <c r="B38" s="10" t="s">
        <v>26</v>
      </c>
      <c r="C38" s="10" t="s">
        <v>26</v>
      </c>
      <c r="D38" s="10">
        <v>10</v>
      </c>
      <c r="E38" s="10">
        <v>1</v>
      </c>
      <c r="F38" s="5">
        <f t="shared" si="0"/>
        <v>0.1</v>
      </c>
      <c r="G38" s="10">
        <v>21822.5</v>
      </c>
      <c r="H38" s="10">
        <v>21758.9</v>
      </c>
      <c r="I38" s="9">
        <v>17650</v>
      </c>
      <c r="J38" s="9">
        <v>17322.5</v>
      </c>
      <c r="K38" s="5">
        <v>0.98599999999999999</v>
      </c>
      <c r="L38" s="10">
        <v>29986.9</v>
      </c>
      <c r="M38" s="10">
        <v>1937.1</v>
      </c>
      <c r="N38" s="10">
        <v>29.5</v>
      </c>
      <c r="O38" s="10">
        <v>27.2</v>
      </c>
      <c r="P38" s="10">
        <v>52</v>
      </c>
    </row>
    <row r="39" spans="2:23" ht="27" x14ac:dyDescent="0.3">
      <c r="B39" s="10" t="s">
        <v>26</v>
      </c>
      <c r="C39" s="10" t="s">
        <v>27</v>
      </c>
      <c r="D39" s="10">
        <v>4</v>
      </c>
      <c r="E39" s="10">
        <v>1</v>
      </c>
      <c r="F39" s="5">
        <f t="shared" si="0"/>
        <v>0.25</v>
      </c>
      <c r="G39" s="10">
        <v>27658</v>
      </c>
      <c r="H39" s="10">
        <v>22561.5</v>
      </c>
      <c r="I39" s="9">
        <v>18550</v>
      </c>
      <c r="J39" s="9">
        <v>18550</v>
      </c>
      <c r="K39" s="5">
        <v>1</v>
      </c>
      <c r="L39" s="10">
        <v>41680.25</v>
      </c>
      <c r="M39" s="10">
        <v>1777.5</v>
      </c>
      <c r="N39" s="10">
        <v>15.5</v>
      </c>
      <c r="O39" s="10">
        <v>16.5</v>
      </c>
      <c r="P39" s="10">
        <v>30</v>
      </c>
    </row>
    <row r="40" spans="2:23" ht="27" x14ac:dyDescent="0.3">
      <c r="B40" s="10" t="s">
        <v>26</v>
      </c>
      <c r="C40" s="10" t="s">
        <v>18</v>
      </c>
      <c r="D40" s="10">
        <v>9</v>
      </c>
      <c r="E40" s="10">
        <v>3</v>
      </c>
      <c r="F40" s="5">
        <f t="shared" si="0"/>
        <v>0.33333333333333331</v>
      </c>
      <c r="G40" s="10">
        <v>38979.111110999998</v>
      </c>
      <c r="H40" s="10">
        <v>22380.888889000002</v>
      </c>
      <c r="I40" s="9">
        <v>24533.333332999999</v>
      </c>
      <c r="J40" s="9">
        <v>21155.555555999999</v>
      </c>
      <c r="K40" s="5">
        <v>0.82888899999999999</v>
      </c>
      <c r="L40" s="10">
        <v>26749.333332999999</v>
      </c>
      <c r="M40" s="10">
        <v>3269.4444440000002</v>
      </c>
      <c r="N40" s="10">
        <v>44</v>
      </c>
      <c r="O40" s="10">
        <v>37.888888999999999</v>
      </c>
      <c r="P40" s="10">
        <v>70</v>
      </c>
    </row>
    <row r="41" spans="2:23" ht="27" x14ac:dyDescent="0.3">
      <c r="B41" s="10" t="s">
        <v>27</v>
      </c>
      <c r="C41" s="10" t="s">
        <v>22</v>
      </c>
      <c r="D41" s="10">
        <v>908</v>
      </c>
      <c r="E41" s="10">
        <v>223</v>
      </c>
      <c r="F41" s="5">
        <f t="shared" si="0"/>
        <v>0.24559471365638766</v>
      </c>
      <c r="G41" s="10">
        <v>592.56938300000002</v>
      </c>
      <c r="H41" s="10">
        <v>27289.430617000002</v>
      </c>
      <c r="I41" s="9">
        <v>22291.916300000001</v>
      </c>
      <c r="J41" s="9">
        <v>20508.911894000001</v>
      </c>
      <c r="K41" s="5">
        <v>0.945496</v>
      </c>
      <c r="L41" s="10">
        <v>25652.479074999999</v>
      </c>
      <c r="M41" s="10">
        <v>3410.5936120000001</v>
      </c>
      <c r="N41" s="10">
        <v>52</v>
      </c>
      <c r="O41" s="10">
        <v>47.912996</v>
      </c>
      <c r="P41" s="10">
        <v>74</v>
      </c>
      <c r="R41" s="12">
        <f>SUMPRODUCT(D41:D47,N41:N47)/SUM(D41:D47)</f>
        <v>51.380267214799588</v>
      </c>
    </row>
    <row r="42" spans="2:23" ht="27" x14ac:dyDescent="0.3">
      <c r="B42" s="10" t="s">
        <v>27</v>
      </c>
      <c r="C42" s="10" t="s">
        <v>23</v>
      </c>
      <c r="D42" s="10">
        <v>29</v>
      </c>
      <c r="E42" s="10">
        <v>3</v>
      </c>
      <c r="F42" s="5">
        <f t="shared" si="0"/>
        <v>0.10344827586206896</v>
      </c>
      <c r="G42" s="10">
        <v>7562.1379310000002</v>
      </c>
      <c r="H42" s="10">
        <v>27144.62069</v>
      </c>
      <c r="I42" s="9">
        <v>21540.689654999998</v>
      </c>
      <c r="J42" s="9">
        <v>20367.068965999999</v>
      </c>
      <c r="K42" s="5">
        <v>0.96482800000000002</v>
      </c>
      <c r="L42" s="10">
        <v>36485.931034000001</v>
      </c>
      <c r="M42" s="10">
        <v>2591.9310340000002</v>
      </c>
      <c r="N42" s="10">
        <v>47</v>
      </c>
      <c r="O42" s="10">
        <v>34.241379000000002</v>
      </c>
      <c r="P42" s="10">
        <v>73</v>
      </c>
    </row>
    <row r="43" spans="2:23" ht="27" x14ac:dyDescent="0.3">
      <c r="B43" s="10" t="s">
        <v>27</v>
      </c>
      <c r="C43" s="10" t="s">
        <v>24</v>
      </c>
      <c r="D43" s="10">
        <v>17</v>
      </c>
      <c r="E43" s="10">
        <v>0</v>
      </c>
      <c r="F43" s="5">
        <f t="shared" si="0"/>
        <v>0</v>
      </c>
      <c r="G43" s="10">
        <v>12081.117646999999</v>
      </c>
      <c r="H43" s="10">
        <v>26788.176470999999</v>
      </c>
      <c r="I43" s="9">
        <v>19058.823529000001</v>
      </c>
      <c r="J43" s="9">
        <v>19058.823529000001</v>
      </c>
      <c r="K43" s="5">
        <v>1</v>
      </c>
      <c r="L43" s="10">
        <v>35445.470587999996</v>
      </c>
      <c r="M43" s="10">
        <v>3437.6470589999999</v>
      </c>
      <c r="N43" s="10">
        <v>46</v>
      </c>
      <c r="O43" s="10">
        <v>41.235294000000003</v>
      </c>
      <c r="P43" s="10">
        <v>63</v>
      </c>
    </row>
    <row r="44" spans="2:23" ht="27" x14ac:dyDescent="0.3">
      <c r="B44" s="10" t="s">
        <v>27</v>
      </c>
      <c r="C44" s="10" t="s">
        <v>25</v>
      </c>
      <c r="D44" s="10">
        <v>10</v>
      </c>
      <c r="E44" s="10">
        <v>1</v>
      </c>
      <c r="F44" s="5">
        <f t="shared" si="0"/>
        <v>0.1</v>
      </c>
      <c r="G44" s="10">
        <v>17280.599999999999</v>
      </c>
      <c r="H44" s="10">
        <v>27199.200000000001</v>
      </c>
      <c r="I44" s="9">
        <v>17550</v>
      </c>
      <c r="J44" s="9">
        <v>17061</v>
      </c>
      <c r="K44" s="5">
        <v>0.98499999999999999</v>
      </c>
      <c r="L44" s="10">
        <v>41927.4</v>
      </c>
      <c r="M44" s="10">
        <v>2401</v>
      </c>
      <c r="N44" s="10">
        <v>31</v>
      </c>
      <c r="O44" s="10">
        <v>27.6</v>
      </c>
      <c r="P44" s="10">
        <v>56</v>
      </c>
    </row>
    <row r="45" spans="2:23" ht="27" x14ac:dyDescent="0.3">
      <c r="B45" s="10" t="s">
        <v>27</v>
      </c>
      <c r="C45" s="10" t="s">
        <v>26</v>
      </c>
      <c r="D45" s="10">
        <v>7</v>
      </c>
      <c r="E45" s="10">
        <v>1</v>
      </c>
      <c r="F45" s="5">
        <f t="shared" si="0"/>
        <v>0.14285714285714285</v>
      </c>
      <c r="G45" s="10">
        <v>21902.285714000001</v>
      </c>
      <c r="H45" s="10">
        <v>27093</v>
      </c>
      <c r="I45" s="9">
        <v>14971.428571</v>
      </c>
      <c r="J45" s="9">
        <v>14971.428571</v>
      </c>
      <c r="K45" s="5">
        <v>1</v>
      </c>
      <c r="L45" s="10">
        <v>42955.571429000003</v>
      </c>
      <c r="M45" s="10">
        <v>3370.5714290000001</v>
      </c>
      <c r="N45" s="10">
        <v>35</v>
      </c>
      <c r="O45" s="10">
        <v>34.428570999999998</v>
      </c>
      <c r="P45" s="10">
        <v>59</v>
      </c>
    </row>
    <row r="46" spans="2:23" ht="27" x14ac:dyDescent="0.3">
      <c r="B46" s="10" t="s">
        <v>27</v>
      </c>
      <c r="C46" s="10" t="s">
        <v>27</v>
      </c>
      <c r="D46" s="10">
        <v>0</v>
      </c>
      <c r="E46" s="10">
        <v>0</v>
      </c>
      <c r="F46" s="5" t="e">
        <f t="shared" si="0"/>
        <v>#DIV/0!</v>
      </c>
      <c r="G46" s="10" t="s">
        <v>30</v>
      </c>
      <c r="H46" s="10" t="s">
        <v>31</v>
      </c>
      <c r="I46" s="9" t="s">
        <v>30</v>
      </c>
      <c r="J46" s="9" t="s">
        <v>31</v>
      </c>
      <c r="K46" s="5" t="s">
        <v>30</v>
      </c>
      <c r="L46" s="10" t="s">
        <v>31</v>
      </c>
      <c r="M46" s="10" t="s">
        <v>31</v>
      </c>
      <c r="N46" s="10" t="s">
        <v>30</v>
      </c>
      <c r="O46" s="10" t="s">
        <v>30</v>
      </c>
      <c r="P46" s="10" t="s">
        <v>30</v>
      </c>
    </row>
    <row r="47" spans="2:23" ht="27" x14ac:dyDescent="0.3">
      <c r="B47" s="10" t="s">
        <v>27</v>
      </c>
      <c r="C47" s="10" t="s">
        <v>18</v>
      </c>
      <c r="D47" s="10">
        <v>2</v>
      </c>
      <c r="E47" s="10">
        <v>0</v>
      </c>
      <c r="F47" s="5">
        <f t="shared" si="0"/>
        <v>0</v>
      </c>
      <c r="G47" s="10">
        <v>34905</v>
      </c>
      <c r="H47" s="10">
        <v>26431.5</v>
      </c>
      <c r="I47" s="9">
        <v>24900</v>
      </c>
      <c r="J47" s="9">
        <v>24900</v>
      </c>
      <c r="K47" s="5">
        <v>1</v>
      </c>
      <c r="L47" s="10">
        <v>38376</v>
      </c>
      <c r="M47" s="10">
        <v>3148.5</v>
      </c>
      <c r="N47" s="10">
        <v>38.5</v>
      </c>
      <c r="O47" s="10">
        <v>38.5</v>
      </c>
      <c r="P47" s="10">
        <v>46</v>
      </c>
    </row>
    <row r="48" spans="2:23" x14ac:dyDescent="0.3">
      <c r="B48" s="10" t="s">
        <v>18</v>
      </c>
      <c r="C48" s="10" t="s">
        <v>22</v>
      </c>
      <c r="D48" s="10">
        <v>923</v>
      </c>
      <c r="E48" s="10">
        <v>192</v>
      </c>
      <c r="F48" s="5">
        <f t="shared" si="0"/>
        <v>0.20801733477789816</v>
      </c>
      <c r="G48" s="10">
        <v>799.72264399999995</v>
      </c>
      <c r="H48" s="10">
        <v>37555.413868000003</v>
      </c>
      <c r="I48" s="9">
        <v>27398.23402</v>
      </c>
      <c r="J48" s="9">
        <v>25591.614301000001</v>
      </c>
      <c r="K48" s="5">
        <v>0.95428000000000002</v>
      </c>
      <c r="L48" s="10">
        <v>37946.308775999998</v>
      </c>
      <c r="M48" s="10">
        <v>6487.6446370000003</v>
      </c>
      <c r="N48" s="10">
        <v>50</v>
      </c>
      <c r="O48" s="10">
        <v>41.615385000000003</v>
      </c>
      <c r="P48" s="10">
        <v>74</v>
      </c>
      <c r="R48" s="12">
        <f>SUMPRODUCT(D48:D54,N48:N54)/SUM(D48:D54)</f>
        <v>44.811567164179102</v>
      </c>
    </row>
    <row r="49" spans="2:16" x14ac:dyDescent="0.3">
      <c r="B49" s="10" t="s">
        <v>18</v>
      </c>
      <c r="C49" s="10" t="s">
        <v>23</v>
      </c>
      <c r="D49" s="10">
        <v>103</v>
      </c>
      <c r="E49" s="10">
        <v>9</v>
      </c>
      <c r="F49" s="5">
        <f t="shared" si="0"/>
        <v>8.7378640776699032E-2</v>
      </c>
      <c r="G49" s="10">
        <v>6772.6796119999999</v>
      </c>
      <c r="H49" s="10">
        <v>45325.912621000003</v>
      </c>
      <c r="I49" s="9">
        <v>33392.330096999998</v>
      </c>
      <c r="J49" s="9">
        <v>30660.330096999998</v>
      </c>
      <c r="K49" s="5">
        <v>0.93864099999999995</v>
      </c>
      <c r="L49" s="10">
        <v>79641.388349999994</v>
      </c>
      <c r="M49" s="10">
        <v>2632.8058249999999</v>
      </c>
      <c r="N49" s="10">
        <v>8</v>
      </c>
      <c r="O49" s="10">
        <v>18.631067999999999</v>
      </c>
      <c r="P49" s="10">
        <v>72</v>
      </c>
    </row>
    <row r="50" spans="2:16" ht="27" x14ac:dyDescent="0.3">
      <c r="B50" s="10" t="s">
        <v>18</v>
      </c>
      <c r="C50" s="10" t="s">
        <v>24</v>
      </c>
      <c r="D50" s="10">
        <v>19</v>
      </c>
      <c r="E50" s="10">
        <v>2</v>
      </c>
      <c r="F50" s="5">
        <f t="shared" si="0"/>
        <v>0.10526315789473684</v>
      </c>
      <c r="G50" s="10">
        <v>12113.157895</v>
      </c>
      <c r="H50" s="10">
        <v>42712.368420999999</v>
      </c>
      <c r="I50" s="9">
        <v>30721.052631999999</v>
      </c>
      <c r="J50" s="9">
        <v>28901.315789</v>
      </c>
      <c r="K50" s="5">
        <v>0.955789</v>
      </c>
      <c r="L50" s="10">
        <v>66001.947367999994</v>
      </c>
      <c r="M50" s="10">
        <v>4482.9473680000001</v>
      </c>
      <c r="N50" s="10">
        <v>26</v>
      </c>
      <c r="O50" s="10">
        <v>28.105263000000001</v>
      </c>
      <c r="P50" s="10">
        <v>61</v>
      </c>
    </row>
    <row r="51" spans="2:16" ht="27" x14ac:dyDescent="0.3">
      <c r="B51" s="10" t="s">
        <v>18</v>
      </c>
      <c r="C51" s="10" t="s">
        <v>25</v>
      </c>
      <c r="D51" s="10">
        <v>11</v>
      </c>
      <c r="E51" s="10">
        <v>4</v>
      </c>
      <c r="F51" s="5">
        <f t="shared" si="0"/>
        <v>0.36363636363636365</v>
      </c>
      <c r="G51" s="10">
        <v>17321.818181999999</v>
      </c>
      <c r="H51" s="10">
        <v>34018</v>
      </c>
      <c r="I51" s="9">
        <v>28327.272727</v>
      </c>
      <c r="J51" s="9">
        <v>25609.909091000001</v>
      </c>
      <c r="K51" s="5">
        <v>0.88727299999999998</v>
      </c>
      <c r="L51" s="10">
        <v>55869.181817999997</v>
      </c>
      <c r="M51" s="10">
        <v>1326.272727</v>
      </c>
      <c r="N51" s="10">
        <v>8</v>
      </c>
      <c r="O51" s="10">
        <v>18.090909</v>
      </c>
      <c r="P51" s="10">
        <v>64</v>
      </c>
    </row>
    <row r="52" spans="2:16" ht="27" x14ac:dyDescent="0.3">
      <c r="B52" s="10" t="s">
        <v>18</v>
      </c>
      <c r="C52" s="10" t="s">
        <v>26</v>
      </c>
      <c r="D52" s="10">
        <v>5</v>
      </c>
      <c r="E52" s="10">
        <v>0</v>
      </c>
      <c r="F52" s="5">
        <f t="shared" si="0"/>
        <v>0</v>
      </c>
      <c r="G52" s="10">
        <v>22479.8</v>
      </c>
      <c r="H52" s="10">
        <v>37804</v>
      </c>
      <c r="I52" s="9">
        <v>19960</v>
      </c>
      <c r="J52" s="9">
        <v>19960</v>
      </c>
      <c r="K52" s="5">
        <v>1</v>
      </c>
      <c r="L52" s="10">
        <v>52126.8</v>
      </c>
      <c r="M52" s="10">
        <v>11415.4</v>
      </c>
      <c r="N52" s="10">
        <v>20</v>
      </c>
      <c r="O52" s="10">
        <v>21.6</v>
      </c>
      <c r="P52" s="10">
        <v>38</v>
      </c>
    </row>
    <row r="53" spans="2:16" ht="27" x14ac:dyDescent="0.3">
      <c r="B53" s="10" t="s">
        <v>18</v>
      </c>
      <c r="C53" s="10" t="s">
        <v>27</v>
      </c>
      <c r="D53" s="10">
        <v>4</v>
      </c>
      <c r="E53" s="10">
        <v>2</v>
      </c>
      <c r="F53" s="5">
        <f t="shared" si="0"/>
        <v>0.5</v>
      </c>
      <c r="G53" s="10">
        <v>26708.25</v>
      </c>
      <c r="H53" s="10">
        <v>42383</v>
      </c>
      <c r="I53" s="9">
        <v>36850</v>
      </c>
      <c r="J53" s="9">
        <v>30206.5</v>
      </c>
      <c r="K53" s="5">
        <v>0.85499999999999998</v>
      </c>
      <c r="L53" s="10">
        <v>83738</v>
      </c>
      <c r="M53" s="10">
        <v>1751</v>
      </c>
      <c r="N53" s="10">
        <v>15</v>
      </c>
      <c r="O53" s="10">
        <v>25</v>
      </c>
      <c r="P53" s="10">
        <v>68</v>
      </c>
    </row>
    <row r="54" spans="2:16" x14ac:dyDescent="0.3">
      <c r="B54" s="10" t="s">
        <v>18</v>
      </c>
      <c r="C54" s="10" t="s">
        <v>18</v>
      </c>
      <c r="D54" s="10">
        <v>7</v>
      </c>
      <c r="E54" s="10">
        <v>1</v>
      </c>
      <c r="F54" s="5">
        <f t="shared" si="0"/>
        <v>0.14285714285714285</v>
      </c>
      <c r="G54" s="10">
        <v>52255.571429000003</v>
      </c>
      <c r="H54" s="10">
        <v>34630.857143000001</v>
      </c>
      <c r="I54" s="9">
        <v>29028.571429</v>
      </c>
      <c r="J54" s="9">
        <v>29028.571429</v>
      </c>
      <c r="K54" s="5">
        <v>1</v>
      </c>
      <c r="L54" s="10">
        <v>45934.571429000003</v>
      </c>
      <c r="M54" s="10">
        <v>3377</v>
      </c>
      <c r="N54" s="10">
        <v>46</v>
      </c>
      <c r="O54" s="10">
        <v>42.142856999999999</v>
      </c>
      <c r="P54" s="10">
        <v>72</v>
      </c>
    </row>
  </sheetData>
  <mergeCells count="1">
    <mergeCell ref="N4:P4"/>
  </mergeCells>
  <phoneticPr fontId="2" type="noConversion"/>
  <conditionalFormatting sqref="K6:K5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6:F5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:J5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6:I5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6:G5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6:H5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01B12-DB1C-4404-833C-B2B09D6A7F2F}">
  <dimension ref="B2:K32"/>
  <sheetViews>
    <sheetView workbookViewId="0">
      <selection activeCell="H28" sqref="H28"/>
    </sheetView>
  </sheetViews>
  <sheetFormatPr defaultRowHeight="16.5" x14ac:dyDescent="0.3"/>
  <cols>
    <col min="2" max="2" width="19.75" customWidth="1"/>
    <col min="3" max="3" width="15.125" customWidth="1"/>
    <col min="4" max="4" width="17.25" style="7" customWidth="1"/>
    <col min="5" max="6" width="9" style="2"/>
  </cols>
  <sheetData>
    <row r="2" spans="2:11" x14ac:dyDescent="0.3">
      <c r="B2" t="s">
        <v>194</v>
      </c>
      <c r="C2" t="s">
        <v>195</v>
      </c>
      <c r="D2" s="7" t="s">
        <v>224</v>
      </c>
    </row>
    <row r="3" spans="2:11" x14ac:dyDescent="0.3">
      <c r="C3">
        <v>21983</v>
      </c>
    </row>
    <row r="4" spans="2:11" x14ac:dyDescent="0.3">
      <c r="B4">
        <f>-5000 - -1</f>
        <v>-4999</v>
      </c>
      <c r="C4">
        <v>4</v>
      </c>
      <c r="D4" s="7">
        <v>-515</v>
      </c>
      <c r="I4">
        <v>5000</v>
      </c>
      <c r="J4">
        <f>20%*I4</f>
        <v>1000</v>
      </c>
      <c r="K4">
        <f>J4/13%</f>
        <v>7692.3076923076924</v>
      </c>
    </row>
    <row r="5" spans="2:11" x14ac:dyDescent="0.3">
      <c r="B5" t="s">
        <v>196</v>
      </c>
      <c r="C5">
        <v>176920</v>
      </c>
      <c r="D5" s="7">
        <v>295900590</v>
      </c>
      <c r="E5" s="2">
        <f>C5/SUM(C$5:C$32)</f>
        <v>0.64559447092051581</v>
      </c>
      <c r="F5" s="2">
        <f>D5/SUM(D$5:D$32)</f>
        <v>0.19545267606562738</v>
      </c>
      <c r="I5" t="s">
        <v>152</v>
      </c>
    </row>
    <row r="6" spans="2:11" x14ac:dyDescent="0.3">
      <c r="B6" t="s">
        <v>197</v>
      </c>
      <c r="C6">
        <v>45574</v>
      </c>
      <c r="D6" s="7">
        <v>326504022</v>
      </c>
      <c r="E6" s="2">
        <f t="shared" ref="E6:E32" si="0">C6/SUM(C$5:C$32)</f>
        <v>0.16630297545631692</v>
      </c>
      <c r="F6" s="2">
        <f t="shared" ref="F6:F32" si="1">D6/SUM(D$5:D$32)</f>
        <v>0.21566731193773719</v>
      </c>
    </row>
    <row r="7" spans="2:11" x14ac:dyDescent="0.3">
      <c r="B7" t="s">
        <v>198</v>
      </c>
      <c r="C7">
        <v>23877</v>
      </c>
      <c r="D7" s="7">
        <v>293342659</v>
      </c>
      <c r="E7" s="2">
        <f t="shared" si="0"/>
        <v>8.7128980229307915E-2</v>
      </c>
      <c r="F7" s="2">
        <f t="shared" si="1"/>
        <v>0.19376307328673051</v>
      </c>
    </row>
    <row r="8" spans="2:11" x14ac:dyDescent="0.3">
      <c r="B8" t="s">
        <v>199</v>
      </c>
      <c r="C8">
        <v>14053</v>
      </c>
      <c r="D8" s="7">
        <v>242315969</v>
      </c>
      <c r="E8" s="2">
        <f t="shared" si="0"/>
        <v>5.1280460659314998E-2</v>
      </c>
      <c r="F8" s="2">
        <f t="shared" si="1"/>
        <v>0.16005816208235882</v>
      </c>
    </row>
    <row r="9" spans="2:11" x14ac:dyDescent="0.3">
      <c r="B9" t="s">
        <v>200</v>
      </c>
      <c r="C9">
        <v>7633</v>
      </c>
      <c r="D9" s="7">
        <v>169397614</v>
      </c>
      <c r="E9" s="2">
        <f t="shared" si="0"/>
        <v>2.7853394735113595E-2</v>
      </c>
      <c r="F9" s="2">
        <f t="shared" si="1"/>
        <v>0.11189304142797481</v>
      </c>
    </row>
    <row r="10" spans="2:11" x14ac:dyDescent="0.3">
      <c r="B10" t="s">
        <v>201</v>
      </c>
      <c r="C10">
        <v>3600</v>
      </c>
      <c r="D10" s="7">
        <v>97631711</v>
      </c>
      <c r="E10" s="2">
        <f t="shared" si="0"/>
        <v>1.3136672480860598E-2</v>
      </c>
      <c r="F10" s="2">
        <f t="shared" si="1"/>
        <v>6.4489155576931939E-2</v>
      </c>
    </row>
    <row r="11" spans="2:11" x14ac:dyDescent="0.3">
      <c r="B11" t="s">
        <v>202</v>
      </c>
      <c r="C11">
        <v>1440</v>
      </c>
      <c r="D11" s="7">
        <v>46290296</v>
      </c>
      <c r="E11" s="2">
        <f t="shared" si="0"/>
        <v>5.2546689923442394E-3</v>
      </c>
      <c r="F11" s="2">
        <f t="shared" si="1"/>
        <v>3.0576357516117175E-2</v>
      </c>
    </row>
    <row r="12" spans="2:11" x14ac:dyDescent="0.3">
      <c r="B12" t="s">
        <v>203</v>
      </c>
      <c r="C12">
        <v>501</v>
      </c>
      <c r="D12" s="7">
        <v>18565607</v>
      </c>
      <c r="E12" s="2">
        <f t="shared" si="0"/>
        <v>1.8281869202530999E-3</v>
      </c>
      <c r="F12" s="2">
        <f t="shared" si="1"/>
        <v>1.2263231955477832E-2</v>
      </c>
    </row>
    <row r="13" spans="2:11" x14ac:dyDescent="0.3">
      <c r="B13" t="s">
        <v>204</v>
      </c>
      <c r="C13">
        <v>206</v>
      </c>
      <c r="D13" s="7">
        <v>8647889</v>
      </c>
      <c r="E13" s="2">
        <f t="shared" si="0"/>
        <v>7.5170959196035642E-4</v>
      </c>
      <c r="F13" s="2">
        <f t="shared" si="1"/>
        <v>5.7122327717173604E-3</v>
      </c>
    </row>
    <row r="14" spans="2:11" x14ac:dyDescent="0.3">
      <c r="B14" t="s">
        <v>205</v>
      </c>
      <c r="C14">
        <v>94</v>
      </c>
      <c r="D14" s="7">
        <v>4414220</v>
      </c>
      <c r="E14" s="2">
        <f t="shared" si="0"/>
        <v>3.4301311477802674E-4</v>
      </c>
      <c r="F14" s="2">
        <f t="shared" si="1"/>
        <v>2.9157465071036649E-3</v>
      </c>
    </row>
    <row r="15" spans="2:11" x14ac:dyDescent="0.3">
      <c r="B15" t="s">
        <v>206</v>
      </c>
      <c r="C15">
        <v>30</v>
      </c>
      <c r="D15" s="7">
        <v>1549599</v>
      </c>
      <c r="E15" s="2">
        <f t="shared" si="0"/>
        <v>1.0947227067383832E-4</v>
      </c>
      <c r="F15" s="2">
        <f t="shared" si="1"/>
        <v>1.0235642699415372E-3</v>
      </c>
    </row>
    <row r="16" spans="2:11" x14ac:dyDescent="0.3">
      <c r="B16" t="s">
        <v>207</v>
      </c>
      <c r="C16">
        <v>16</v>
      </c>
      <c r="D16" s="7">
        <v>906567</v>
      </c>
      <c r="E16" s="2">
        <f t="shared" si="0"/>
        <v>5.8385211026047105E-5</v>
      </c>
      <c r="F16" s="2">
        <f t="shared" si="1"/>
        <v>5.9881917161026148E-4</v>
      </c>
      <c r="J16" t="s">
        <v>152</v>
      </c>
    </row>
    <row r="17" spans="2:6" x14ac:dyDescent="0.3">
      <c r="B17" t="s">
        <v>208</v>
      </c>
      <c r="C17">
        <v>13</v>
      </c>
      <c r="D17" s="7">
        <v>808869</v>
      </c>
      <c r="E17" s="2">
        <f t="shared" si="0"/>
        <v>4.7437983958663273E-5</v>
      </c>
      <c r="F17" s="2">
        <f t="shared" si="1"/>
        <v>5.3428622983322865E-4</v>
      </c>
    </row>
    <row r="18" spans="2:6" x14ac:dyDescent="0.3">
      <c r="B18" t="s">
        <v>209</v>
      </c>
      <c r="C18">
        <v>14</v>
      </c>
      <c r="D18" s="7">
        <v>937925</v>
      </c>
      <c r="E18" s="2">
        <f t="shared" si="0"/>
        <v>5.1087059647791217E-5</v>
      </c>
      <c r="F18" s="2">
        <f t="shared" si="1"/>
        <v>6.1953222600486728E-4</v>
      </c>
    </row>
    <row r="19" spans="2:6" x14ac:dyDescent="0.3">
      <c r="B19" t="s">
        <v>210</v>
      </c>
      <c r="C19">
        <v>11</v>
      </c>
      <c r="D19" s="7">
        <v>791734</v>
      </c>
      <c r="E19" s="2">
        <f t="shared" si="0"/>
        <v>4.0139832580407385E-5</v>
      </c>
      <c r="F19" s="2">
        <f t="shared" si="1"/>
        <v>5.2296796377507542E-4</v>
      </c>
    </row>
    <row r="20" spans="2:6" x14ac:dyDescent="0.3">
      <c r="B20" t="s">
        <v>211</v>
      </c>
      <c r="C20">
        <v>7</v>
      </c>
      <c r="D20" s="7">
        <v>540971</v>
      </c>
      <c r="E20" s="2">
        <f t="shared" si="0"/>
        <v>2.5543529823895608E-5</v>
      </c>
      <c r="F20" s="2">
        <f t="shared" si="1"/>
        <v>3.573302426463513E-4</v>
      </c>
    </row>
    <row r="21" spans="2:6" x14ac:dyDescent="0.3">
      <c r="B21" t="s">
        <v>212</v>
      </c>
      <c r="C21">
        <v>6</v>
      </c>
      <c r="D21" s="7">
        <v>495010</v>
      </c>
      <c r="E21" s="2">
        <f t="shared" si="0"/>
        <v>2.1894454134767664E-5</v>
      </c>
      <c r="F21" s="2">
        <f t="shared" si="1"/>
        <v>3.2697139664116995E-4</v>
      </c>
    </row>
    <row r="22" spans="2:6" x14ac:dyDescent="0.3">
      <c r="B22" t="s">
        <v>213</v>
      </c>
      <c r="C22">
        <v>5</v>
      </c>
      <c r="D22" s="7">
        <v>442062</v>
      </c>
      <c r="E22" s="2">
        <f t="shared" si="0"/>
        <v>1.824537844563972E-5</v>
      </c>
      <c r="F22" s="2">
        <f t="shared" si="1"/>
        <v>2.9199739306678426E-4</v>
      </c>
    </row>
    <row r="23" spans="2:6" x14ac:dyDescent="0.3">
      <c r="B23" t="s">
        <v>214</v>
      </c>
      <c r="C23">
        <v>8</v>
      </c>
      <c r="D23" s="7">
        <v>740888</v>
      </c>
      <c r="E23" s="2">
        <f t="shared" si="0"/>
        <v>2.9192605513023552E-5</v>
      </c>
      <c r="F23" s="2">
        <f t="shared" si="1"/>
        <v>4.8938240462754925E-4</v>
      </c>
    </row>
    <row r="24" spans="2:6" x14ac:dyDescent="0.3">
      <c r="B24" t="s">
        <v>215</v>
      </c>
      <c r="C24">
        <v>15</v>
      </c>
      <c r="D24" s="7">
        <v>1460857</v>
      </c>
      <c r="E24" s="2">
        <f t="shared" si="0"/>
        <v>5.4736135336919161E-5</v>
      </c>
      <c r="F24" s="2">
        <f t="shared" si="1"/>
        <v>9.6494707901462521E-4</v>
      </c>
    </row>
    <row r="25" spans="2:6" x14ac:dyDescent="0.3">
      <c r="B25" t="s">
        <v>216</v>
      </c>
      <c r="C25">
        <v>5</v>
      </c>
      <c r="D25" s="7">
        <v>510084</v>
      </c>
      <c r="E25" s="2">
        <f t="shared" si="0"/>
        <v>1.824537844563972E-5</v>
      </c>
      <c r="F25" s="2">
        <f t="shared" si="1"/>
        <v>3.3692830020467168E-4</v>
      </c>
    </row>
    <row r="26" spans="2:6" x14ac:dyDescent="0.3">
      <c r="B26" t="s">
        <v>217</v>
      </c>
      <c r="C26">
        <v>5</v>
      </c>
      <c r="D26" s="7">
        <v>534145</v>
      </c>
      <c r="E26" s="2">
        <f t="shared" si="0"/>
        <v>1.824537844563972E-5</v>
      </c>
      <c r="F26" s="2">
        <f t="shared" si="1"/>
        <v>3.5282143120118328E-4</v>
      </c>
    </row>
    <row r="27" spans="2:6" x14ac:dyDescent="0.3">
      <c r="B27" t="s">
        <v>218</v>
      </c>
      <c r="C27">
        <v>4</v>
      </c>
      <c r="D27" s="7">
        <v>445716</v>
      </c>
      <c r="E27" s="2">
        <f t="shared" si="0"/>
        <v>1.4596302756511776E-5</v>
      </c>
      <c r="F27" s="2">
        <f t="shared" si="1"/>
        <v>2.9441098770795681E-4</v>
      </c>
    </row>
    <row r="28" spans="2:6" x14ac:dyDescent="0.3">
      <c r="B28" t="s">
        <v>219</v>
      </c>
      <c r="C28">
        <v>1</v>
      </c>
      <c r="D28" s="7">
        <v>115288</v>
      </c>
      <c r="E28" s="2">
        <f t="shared" si="0"/>
        <v>3.6490756891279441E-6</v>
      </c>
      <c r="F28" s="2">
        <f t="shared" si="1"/>
        <v>7.6151751229201834E-5</v>
      </c>
    </row>
    <row r="29" spans="2:6" x14ac:dyDescent="0.3">
      <c r="B29" t="s">
        <v>220</v>
      </c>
      <c r="C29">
        <v>1</v>
      </c>
      <c r="D29" s="7">
        <v>120088</v>
      </c>
      <c r="E29" s="2">
        <f t="shared" si="0"/>
        <v>3.6490756891279441E-6</v>
      </c>
      <c r="F29" s="2">
        <f t="shared" si="1"/>
        <v>7.9322318902334943E-5</v>
      </c>
    </row>
    <row r="30" spans="2:6" x14ac:dyDescent="0.3">
      <c r="B30" t="s">
        <v>221</v>
      </c>
      <c r="C30">
        <v>1</v>
      </c>
      <c r="D30" s="7">
        <v>142908</v>
      </c>
      <c r="E30" s="2">
        <f t="shared" si="0"/>
        <v>3.6490756891279441E-6</v>
      </c>
      <c r="F30" s="2">
        <f t="shared" si="1"/>
        <v>9.439572604835522E-5</v>
      </c>
    </row>
    <row r="31" spans="2:6" x14ac:dyDescent="0.3">
      <c r="B31" t="s">
        <v>222</v>
      </c>
      <c r="C31">
        <v>1</v>
      </c>
      <c r="D31" s="7">
        <v>171083</v>
      </c>
      <c r="E31" s="2">
        <f t="shared" si="0"/>
        <v>3.6490756891279441E-6</v>
      </c>
      <c r="F31" s="2">
        <f t="shared" si="1"/>
        <v>1.1300629775471461E-4</v>
      </c>
    </row>
    <row r="32" spans="2:6" x14ac:dyDescent="0.3">
      <c r="B32" t="s">
        <v>223</v>
      </c>
      <c r="C32">
        <v>1</v>
      </c>
      <c r="D32" s="7">
        <v>200104</v>
      </c>
      <c r="E32" s="2">
        <f t="shared" si="0"/>
        <v>3.6490756891279441E-6</v>
      </c>
      <c r="F32" s="2">
        <f t="shared" si="1"/>
        <v>1.3217568201346372E-4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31C35-D424-405C-B196-C886383B62D3}">
  <dimension ref="B1:K21"/>
  <sheetViews>
    <sheetView zoomScale="55" zoomScaleNormal="55" workbookViewId="0">
      <selection activeCell="E32" sqref="E32"/>
    </sheetView>
  </sheetViews>
  <sheetFormatPr defaultRowHeight="16.5" x14ac:dyDescent="0.3"/>
  <cols>
    <col min="2" max="2" width="72.125" customWidth="1"/>
    <col min="3" max="3" width="47.375" customWidth="1"/>
    <col min="6" max="6" width="38.625" customWidth="1"/>
  </cols>
  <sheetData>
    <row r="1" spans="2:6" x14ac:dyDescent="0.3">
      <c r="B1" t="s">
        <v>54</v>
      </c>
      <c r="C1" t="s">
        <v>53</v>
      </c>
    </row>
    <row r="2" spans="2:6" ht="409.5" x14ac:dyDescent="0.3">
      <c r="B2" s="13" t="s">
        <v>35</v>
      </c>
      <c r="C2" s="13" t="s">
        <v>52</v>
      </c>
      <c r="F2" s="13" t="s">
        <v>28</v>
      </c>
    </row>
    <row r="21" spans="11:11" x14ac:dyDescent="0.3">
      <c r="K21" t="s">
        <v>152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시계열 이탈 첫구매</vt:lpstr>
      <vt:lpstr>마진계산기</vt:lpstr>
      <vt:lpstr>정책 시뮬레이션</vt:lpstr>
      <vt:lpstr>재산코호트-25년가입자</vt:lpstr>
      <vt:lpstr>첫구매-리워드횟수</vt:lpstr>
      <vt:lpstr>재구매 통계</vt:lpstr>
      <vt:lpstr>수익타겟</vt:lpstr>
      <vt:lpstr>수익타겟r</vt:lpstr>
      <vt:lpstr>재산코호트-25년전체</vt:lpstr>
      <vt:lpstr>0426기준 재산현황</vt:lpstr>
      <vt:lpstr>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</dc:creator>
  <cp:lastModifiedBy>NY</cp:lastModifiedBy>
  <dcterms:created xsi:type="dcterms:W3CDTF">2025-04-11T05:33:42Z</dcterms:created>
  <dcterms:modified xsi:type="dcterms:W3CDTF">2025-04-29T11:36:51Z</dcterms:modified>
</cp:coreProperties>
</file>