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rototechno-my.sharepoint.com/personal/kim_skatun_claraventurelabs_com/Documents/"/>
    </mc:Choice>
  </mc:AlternateContent>
  <xr:revisionPtr revIDLastSave="1003" documentId="8_{27ED9652-4214-478D-8414-7C1D427BFAD5}" xr6:coauthVersionLast="47" xr6:coauthVersionMax="47" xr10:uidLastSave="{EDDF2DB3-E527-414E-8D5D-E1AF053E923C}"/>
  <bookViews>
    <workbookView minimized="1" xWindow="42975" yWindow="3090" windowWidth="28800" windowHeight="15435" xr2:uid="{676DD67C-B22A-4BBB-BB05-D2C623CA92F0}"/>
  </bookViews>
  <sheets>
    <sheet name="Verdivurdering" sheetId="5" r:id="rId1"/>
    <sheet name="Summary" sheetId="4" r:id="rId2"/>
    <sheet name="Details" sheetId="1" r:id="rId3"/>
    <sheet name="Timer" sheetId="6" r:id="rId4"/>
    <sheet name="Nettbank" sheetId="3" r:id="rId5"/>
    <sheet name="Arealer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3" i="4"/>
  <c r="H2" i="4"/>
  <c r="F12" i="2"/>
  <c r="B12" i="2"/>
  <c r="C12" i="2" s="1"/>
  <c r="D12" i="2" s="1"/>
  <c r="C11" i="2"/>
  <c r="D11" i="2"/>
  <c r="F11" i="2"/>
  <c r="F7" i="2"/>
  <c r="F8" i="2"/>
  <c r="F9" i="2"/>
  <c r="F10" i="2"/>
  <c r="F6" i="2"/>
  <c r="G6" i="2"/>
  <c r="B9" i="6"/>
  <c r="B6" i="6"/>
  <c r="B45" i="1"/>
  <c r="C14" i="5"/>
  <c r="C16" i="5"/>
  <c r="E16" i="5" s="1"/>
  <c r="C15" i="5"/>
  <c r="E15" i="5" s="1"/>
  <c r="E14" i="5"/>
  <c r="C8" i="5"/>
  <c r="E8" i="5" s="1"/>
  <c r="B4" i="5"/>
  <c r="B65" i="1"/>
  <c r="C37" i="3"/>
  <c r="B62" i="1"/>
  <c r="B7" i="4" s="1"/>
  <c r="B55" i="1"/>
  <c r="B8" i="4" s="1"/>
  <c r="D10" i="5"/>
  <c r="A1" i="4" s="1"/>
  <c r="B10" i="5"/>
  <c r="C9" i="5"/>
  <c r="E9" i="5" s="1"/>
  <c r="E12" i="4" s="1"/>
  <c r="B1" i="5"/>
  <c r="B74" i="1"/>
  <c r="B66" i="1"/>
  <c r="B34" i="1"/>
  <c r="B19" i="1"/>
  <c r="C9" i="3"/>
  <c r="B14" i="1"/>
  <c r="B13" i="1"/>
  <c r="C30" i="3"/>
  <c r="C31" i="3" s="1"/>
  <c r="B20" i="1" s="1"/>
  <c r="D9" i="4"/>
  <c r="B40" i="1"/>
  <c r="C50" i="3"/>
  <c r="C42" i="3"/>
  <c r="B33" i="1" s="1"/>
  <c r="C26" i="3"/>
  <c r="C20" i="3"/>
  <c r="B21" i="1" s="1"/>
  <c r="C15" i="3"/>
  <c r="C4" i="3"/>
  <c r="D9" i="2"/>
  <c r="D6" i="2"/>
  <c r="C7" i="2"/>
  <c r="D7" i="2" s="1"/>
  <c r="C8" i="2"/>
  <c r="D8" i="2" s="1"/>
  <c r="C9" i="2"/>
  <c r="C10" i="2"/>
  <c r="D10" i="2" s="1"/>
  <c r="C6" i="2"/>
  <c r="B3" i="2"/>
  <c r="B38" i="1"/>
  <c r="B29" i="1"/>
  <c r="B9" i="4" s="1"/>
  <c r="B9" i="1"/>
  <c r="B8" i="1"/>
  <c r="B7" i="1"/>
  <c r="B6" i="1"/>
  <c r="B4" i="1"/>
  <c r="C8" i="4" l="1"/>
  <c r="E8" i="4" s="1"/>
  <c r="C7" i="4"/>
  <c r="E7" i="4" s="1"/>
  <c r="F15" i="5" s="1"/>
  <c r="H15" i="5" s="1"/>
  <c r="B77" i="1"/>
  <c r="C9" i="4"/>
  <c r="E9" i="4" s="1"/>
  <c r="B35" i="1"/>
  <c r="B10" i="4" s="1"/>
  <c r="C10" i="4" s="1"/>
  <c r="E10" i="4" s="1"/>
  <c r="B16" i="1"/>
  <c r="B5" i="4" s="1"/>
  <c r="C5" i="4" s="1"/>
  <c r="E5" i="4" s="1"/>
  <c r="B22" i="1"/>
  <c r="B3" i="4" s="1"/>
  <c r="C3" i="4" s="1"/>
  <c r="E3" i="4" s="1"/>
  <c r="C62" i="3"/>
  <c r="B49" i="1"/>
  <c r="B10" i="1"/>
  <c r="G15" i="5" l="1"/>
  <c r="B6" i="4"/>
  <c r="F14" i="5" s="1"/>
  <c r="H14" i="5" s="1"/>
  <c r="B79" i="1"/>
  <c r="B2" i="4"/>
  <c r="B4" i="4"/>
  <c r="C4" i="4" s="1"/>
  <c r="E4" i="4" s="1"/>
  <c r="G14" i="5" l="1"/>
  <c r="C6" i="4"/>
  <c r="E6" i="4" s="1"/>
  <c r="C2" i="4"/>
  <c r="E2" i="4" l="1"/>
  <c r="C11" i="4" l="1"/>
  <c r="H11" i="4"/>
  <c r="E13" i="4"/>
  <c r="H9" i="5"/>
  <c r="E11" i="4"/>
  <c r="F9" i="5"/>
  <c r="G9" i="5"/>
  <c r="G8" i="5"/>
  <c r="F8" i="5"/>
  <c r="H8" i="5"/>
  <c r="G16" i="5"/>
  <c r="B11" i="4"/>
  <c r="F16" i="5"/>
  <c r="H16" i="5"/>
  <c r="D11" i="4"/>
</calcChain>
</file>

<file path=xl/sharedStrings.xml><?xml version="1.0" encoding="utf-8"?>
<sst xmlns="http://schemas.openxmlformats.org/spreadsheetml/2006/main" count="191" uniqueCount="150">
  <si>
    <t>tomt</t>
  </si>
  <si>
    <t>garasje</t>
  </si>
  <si>
    <t>hus</t>
  </si>
  <si>
    <t>dato</t>
  </si>
  <si>
    <t>teknisk verdi</t>
  </si>
  <si>
    <t>markedsverdi</t>
  </si>
  <si>
    <t>sikringskap</t>
  </si>
  <si>
    <t>sikringer</t>
  </si>
  <si>
    <t>smart styring</t>
  </si>
  <si>
    <t>lyspunkt</t>
  </si>
  <si>
    <t>varmekabler</t>
  </si>
  <si>
    <t>Stikkkontakter</t>
  </si>
  <si>
    <t>data</t>
  </si>
  <si>
    <t>Totalt</t>
  </si>
  <si>
    <t>Vindu sov 1</t>
  </si>
  <si>
    <t>vindu sov 2</t>
  </si>
  <si>
    <t>vindu stue</t>
  </si>
  <si>
    <t xml:space="preserve">pipe </t>
  </si>
  <si>
    <t>peis</t>
  </si>
  <si>
    <t>ventilasjonsaggregat</t>
  </si>
  <si>
    <t>rør</t>
  </si>
  <si>
    <t>rørlegger</t>
  </si>
  <si>
    <t>trykk materiell 40% rabatt</t>
  </si>
  <si>
    <t>badekar + dusjvegger</t>
  </si>
  <si>
    <t>trykkplate toalett</t>
  </si>
  <si>
    <t>armatur</t>
  </si>
  <si>
    <t>benkeskap, håndkletørker, dopapirholder,speil</t>
  </si>
  <si>
    <t>flislegging</t>
  </si>
  <si>
    <t>rørleggeing</t>
  </si>
  <si>
    <t>totalt</t>
  </si>
  <si>
    <t>montering</t>
  </si>
  <si>
    <t>vaskerom møbler</t>
  </si>
  <si>
    <t>alt I hope</t>
  </si>
  <si>
    <t>terasse</t>
  </si>
  <si>
    <t>garasjeport</t>
  </si>
  <si>
    <t>montering garasjeport</t>
  </si>
  <si>
    <t xml:space="preserve">oppbevaring garasje </t>
  </si>
  <si>
    <t>gulv garasje</t>
  </si>
  <si>
    <t>drivhus</t>
  </si>
  <si>
    <t>maling</t>
  </si>
  <si>
    <t>arbeidsbenk garasje</t>
  </si>
  <si>
    <t>kai</t>
  </si>
  <si>
    <t>kran(brukt men fikset den, + strøm + vinsj + nye vaiere)</t>
  </si>
  <si>
    <t>Ile</t>
  </si>
  <si>
    <t>snekker arbeid</t>
  </si>
  <si>
    <t>lekehus</t>
  </si>
  <si>
    <t>vedhus</t>
  </si>
  <si>
    <t>Vindu</t>
  </si>
  <si>
    <t>snekker</t>
  </si>
  <si>
    <t xml:space="preserve">frakt </t>
  </si>
  <si>
    <t>vi kjøpte på sal</t>
  </si>
  <si>
    <t>før prisstigning</t>
  </si>
  <si>
    <t>kjøpt billigere i tyskland</t>
  </si>
  <si>
    <t>maling, gjerde, dragere etc</t>
  </si>
  <si>
    <t>impregnert materiell</t>
  </si>
  <si>
    <t>skaffet i haugesund, fusa vgs fikset..)</t>
  </si>
  <si>
    <t>eg la alt av bokser og rør, stig nilsen koblet alt</t>
  </si>
  <si>
    <t>stig nilsen</t>
  </si>
  <si>
    <t>kjøpte gjennom jobben</t>
  </si>
  <si>
    <t>bad.no</t>
  </si>
  <si>
    <t>megaflis</t>
  </si>
  <si>
    <t>mrketsverdi i % av teknisk verdi</t>
  </si>
  <si>
    <t>(egeninnstats)</t>
  </si>
  <si>
    <t>pris per m2</t>
  </si>
  <si>
    <t>vaskerom</t>
  </si>
  <si>
    <t>gang</t>
  </si>
  <si>
    <t>barnerom</t>
  </si>
  <si>
    <t>hovedsoverom</t>
  </si>
  <si>
    <t>tak bad</t>
  </si>
  <si>
    <t>Verdivurdering før salg</t>
  </si>
  <si>
    <t>Agnar skåtun</t>
  </si>
  <si>
    <t>Legland bygg</t>
  </si>
  <si>
    <t>Megaflis</t>
  </si>
  <si>
    <t>Fargerike</t>
  </si>
  <si>
    <t>Steinsenteret</t>
  </si>
  <si>
    <t>Bjøro</t>
  </si>
  <si>
    <t>Malerarbeid</t>
  </si>
  <si>
    <t>Electro</t>
  </si>
  <si>
    <t>s</t>
  </si>
  <si>
    <t>IKEA</t>
  </si>
  <si>
    <t>Elektro</t>
  </si>
  <si>
    <t>Ventilasjon</t>
  </si>
  <si>
    <t>Bad</t>
  </si>
  <si>
    <t>Fliser+ membran+sluker+ toalett</t>
  </si>
  <si>
    <t>betalte ein fagarbeider 200kr timen, men har reknet med 1000 kr timen her</t>
  </si>
  <si>
    <t>m^2 per liter</t>
  </si>
  <si>
    <t>pris per liter</t>
  </si>
  <si>
    <t>Areal</t>
  </si>
  <si>
    <t>2 strøk</t>
  </si>
  <si>
    <t>pris</t>
  </si>
  <si>
    <t>Coop obs</t>
  </si>
  <si>
    <t>Byggmateriell</t>
  </si>
  <si>
    <t>Ute</t>
  </si>
  <si>
    <t>Peis</t>
  </si>
  <si>
    <t>Reell</t>
  </si>
  <si>
    <t>Verdi kompensajon</t>
  </si>
  <si>
    <t>Reell marked prisstigning</t>
  </si>
  <si>
    <t>bad</t>
  </si>
  <si>
    <t>Byggegvarer</t>
  </si>
  <si>
    <t>Materiell</t>
  </si>
  <si>
    <t>Mismatch</t>
  </si>
  <si>
    <t>Snekker</t>
  </si>
  <si>
    <t>utestående</t>
  </si>
  <si>
    <t>Fast monterte møbler</t>
  </si>
  <si>
    <t>Kommentar</t>
  </si>
  <si>
    <t>Er reknet med standardpriser per punkt</t>
  </si>
  <si>
    <t>uteområde graving</t>
  </si>
  <si>
    <t>plen</t>
  </si>
  <si>
    <t>75kr per m^2</t>
  </si>
  <si>
    <t>Gammel innstalsjon</t>
  </si>
  <si>
    <t>Egeninnsats ikkje tatt med, inkludert utekraner og vaskerom</t>
  </si>
  <si>
    <t>Det mangler sikkert ein del småting, ingen egeninnsats</t>
  </si>
  <si>
    <t>Støp og egeninnsats til riving ikkje med, snekker ligger under byggmateriell, ingen egeninnsats</t>
  </si>
  <si>
    <t>Ingen egeninnsats</t>
  </si>
  <si>
    <t>Kompensert for økt areal i stue, snekker arbeid ligger I byggmateriell</t>
  </si>
  <si>
    <t>Antatt av takstmann</t>
  </si>
  <si>
    <t>antall år siden forrige takst</t>
  </si>
  <si>
    <t>SSB prisvekst</t>
  </si>
  <si>
    <t>årlig snitt</t>
  </si>
  <si>
    <t>Pris per i dag I følge SSB</t>
  </si>
  <si>
    <t>Verdivurdering for refinansering</t>
  </si>
  <si>
    <t>Oppusingskostnader=Verdivurdering-SSB</t>
  </si>
  <si>
    <t>Differanse</t>
  </si>
  <si>
    <t xml:space="preserve"> oppusnings kostnader</t>
  </si>
  <si>
    <t>reelle oppusnings kostnader</t>
  </si>
  <si>
    <t>soverom</t>
  </si>
  <si>
    <t>kjøpt billigere i tyskland på salg</t>
  </si>
  <si>
    <t>må dobbeltsjekke</t>
  </si>
  <si>
    <t>samnøen</t>
  </si>
  <si>
    <t>Malerarbeid+snekkerarbeid</t>
  </si>
  <si>
    <t>vi malte vinduet sjølv, snekkerarbeid er faktuert under byggmateriell</t>
  </si>
  <si>
    <t>er vel som forventet for eit bad I dag?</t>
  </si>
  <si>
    <t>Garasje</t>
  </si>
  <si>
    <t>maling var 3500 for gulv +mva+ det eg fikk av mathias+ avretning+ murmaling</t>
  </si>
  <si>
    <t>kjøkkenmøbler og fast oppheng på vegg</t>
  </si>
  <si>
    <t>ingen egeninnsats</t>
  </si>
  <si>
    <t>differanse</t>
  </si>
  <si>
    <t>I %</t>
  </si>
  <si>
    <t>Sigurd + steven</t>
  </si>
  <si>
    <t>Faktisk kostnad</t>
  </si>
  <si>
    <t>SSB konsumprisindeks</t>
  </si>
  <si>
    <t>Byggebransjen ligger mye høyere enn dette</t>
  </si>
  <si>
    <t>Maler</t>
  </si>
  <si>
    <t>Blikkenslager</t>
  </si>
  <si>
    <t>Gravemaskin</t>
  </si>
  <si>
    <t>Rørlegger</t>
  </si>
  <si>
    <t>Elektriker</t>
  </si>
  <si>
    <t>timer</t>
  </si>
  <si>
    <t>stue</t>
  </si>
  <si>
    <t>|Description|NOK|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</si>
</sst>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B1C1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1" fontId="0" fillId="0" borderId="0" xfId="0" applyNumberFormat="1"/>
    <xf numFmtId="9" fontId="0" fillId="0" borderId="0" xfId="1" applyFont="1"/>
    <xf numFmtId="164" fontId="0" fillId="0" borderId="0" xfId="1" applyNumberFormat="1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0" borderId="1" xfId="0" applyBorder="1"/>
    <xf numFmtId="1" fontId="0" fillId="0" borderId="1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9" xfId="0" applyNumberFormat="1" applyBorder="1"/>
    <xf numFmtId="0" fontId="0" fillId="0" borderId="9" xfId="0" applyBorder="1"/>
    <xf numFmtId="0" fontId="0" fillId="0" borderId="10" xfId="0" applyBorder="1"/>
    <xf numFmtId="1" fontId="0" fillId="0" borderId="11" xfId="0" applyNumberFormat="1" applyBorder="1"/>
    <xf numFmtId="0" fontId="0" fillId="0" borderId="13" xfId="0" applyBorder="1"/>
    <xf numFmtId="0" fontId="0" fillId="0" borderId="14" xfId="0" applyBorder="1"/>
    <xf numFmtId="0" fontId="0" fillId="0" borderId="3" xfId="0" applyBorder="1"/>
    <xf numFmtId="9" fontId="0" fillId="0" borderId="7" xfId="1" applyFont="1" applyBorder="1"/>
    <xf numFmtId="9" fontId="0" fillId="0" borderId="9" xfId="1" applyFont="1" applyBorder="1"/>
    <xf numFmtId="14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14" fontId="0" fillId="0" borderId="20" xfId="0" applyNumberFormat="1" applyBorder="1"/>
    <xf numFmtId="0" fontId="0" fillId="0" borderId="11" xfId="0" applyBorder="1"/>
    <xf numFmtId="9" fontId="0" fillId="0" borderId="12" xfId="1" applyFont="1" applyBorder="1"/>
    <xf numFmtId="0" fontId="0" fillId="0" borderId="2" xfId="0" applyBorder="1"/>
    <xf numFmtId="0" fontId="0" fillId="0" borderId="21" xfId="0" applyBorder="1"/>
    <xf numFmtId="1" fontId="0" fillId="0" borderId="15" xfId="0" applyNumberFormat="1" applyBorder="1"/>
    <xf numFmtId="9" fontId="0" fillId="0" borderId="16" xfId="1" applyFont="1" applyBorder="1"/>
    <xf numFmtId="0" fontId="0" fillId="0" borderId="20" xfId="0" applyBorder="1"/>
    <xf numFmtId="0" fontId="0" fillId="0" borderId="12" xfId="0" applyBorder="1"/>
    <xf numFmtId="0" fontId="0" fillId="0" borderId="22" xfId="0" applyBorder="1"/>
    <xf numFmtId="1" fontId="0" fillId="0" borderId="23" xfId="0" applyNumberFormat="1" applyBorder="1"/>
    <xf numFmtId="1" fontId="0" fillId="0" borderId="24" xfId="0" applyNumberFormat="1" applyBorder="1"/>
    <xf numFmtId="0" fontId="0" fillId="0" borderId="24" xfId="0" applyBorder="1"/>
    <xf numFmtId="2" fontId="0" fillId="0" borderId="5" xfId="0" applyNumberFormat="1" applyBorder="1"/>
    <xf numFmtId="10" fontId="0" fillId="0" borderId="7" xfId="1" applyNumberFormat="1" applyFont="1" applyBorder="1"/>
    <xf numFmtId="10" fontId="0" fillId="0" borderId="10" xfId="0" applyNumberFormat="1" applyBorder="1"/>
    <xf numFmtId="0" fontId="0" fillId="0" borderId="26" xfId="0" applyBorder="1"/>
    <xf numFmtId="10" fontId="0" fillId="0" borderId="25" xfId="1" applyNumberFormat="1" applyFont="1" applyBorder="1"/>
    <xf numFmtId="0" fontId="0" fillId="0" borderId="7" xfId="0" applyBorder="1" applyAlignment="1">
      <alignment wrapText="1"/>
    </xf>
    <xf numFmtId="1" fontId="0" fillId="0" borderId="20" xfId="0" applyNumberFormat="1" applyBorder="1"/>
    <xf numFmtId="9" fontId="0" fillId="0" borderId="2" xfId="0" applyNumberFormat="1" applyBorder="1"/>
    <xf numFmtId="0" fontId="0" fillId="0" borderId="19" xfId="0" applyBorder="1"/>
    <xf numFmtId="0" fontId="0" fillId="0" borderId="18" xfId="0" applyBorder="1"/>
    <xf numFmtId="1" fontId="0" fillId="0" borderId="4" xfId="0" applyNumberFormat="1" applyBorder="1"/>
    <xf numFmtId="1" fontId="3" fillId="0" borderId="5" xfId="0" applyNumberFormat="1" applyFont="1" applyBorder="1"/>
    <xf numFmtId="1" fontId="0" fillId="0" borderId="7" xfId="0" applyNumberFormat="1" applyBorder="1"/>
    <xf numFmtId="1" fontId="2" fillId="0" borderId="10" xfId="0" applyNumberFormat="1" applyFont="1" applyBorder="1"/>
    <xf numFmtId="1" fontId="3" fillId="0" borderId="4" xfId="0" applyNumberFormat="1" applyFont="1" applyBorder="1"/>
    <xf numFmtId="0" fontId="0" fillId="0" borderId="0" xfId="0" quotePrefix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b-NO"/>
              <a:t>Fordeling av utgifter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12C-4981-B1BD-5075C52CBE1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12C-4981-B1BD-5075C52CBE1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12C-4981-B1BD-5075C52CBE1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12C-4981-B1BD-5075C52CBE1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12C-4981-B1BD-5075C52CBE1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12C-4981-B1BD-5075C52CBE1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12C-4981-B1BD-5075C52CBE1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12C-4981-B1BD-5075C52CBE1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12C-4981-B1BD-5075C52CBE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Summary!$A$2:$A$10</c:f>
              <c:strCache>
                <c:ptCount val="9"/>
                <c:pt idx="0">
                  <c:v>Bad</c:v>
                </c:pt>
                <c:pt idx="1">
                  <c:v>Byggmateriell</c:v>
                </c:pt>
                <c:pt idx="2">
                  <c:v>Elektro</c:v>
                </c:pt>
                <c:pt idx="3">
                  <c:v>Vindu</c:v>
                </c:pt>
                <c:pt idx="4">
                  <c:v>Ute</c:v>
                </c:pt>
                <c:pt idx="5">
                  <c:v>Garasje</c:v>
                </c:pt>
                <c:pt idx="6">
                  <c:v>Fast monterte møbler</c:v>
                </c:pt>
                <c:pt idx="7">
                  <c:v>Peis</c:v>
                </c:pt>
                <c:pt idx="8">
                  <c:v>Ventilasjon</c:v>
                </c:pt>
              </c:strCache>
            </c:strRef>
          </c:cat>
          <c:val>
            <c:numRef>
              <c:f>Summary!$B$2:$B$10</c:f>
              <c:numCache>
                <c:formatCode>0</c:formatCode>
                <c:ptCount val="9"/>
                <c:pt idx="0">
                  <c:v>329513.73</c:v>
                </c:pt>
                <c:pt idx="1">
                  <c:v>155352.95999999999</c:v>
                </c:pt>
                <c:pt idx="2">
                  <c:v>507400</c:v>
                </c:pt>
                <c:pt idx="3">
                  <c:v>123111</c:v>
                </c:pt>
                <c:pt idx="4">
                  <c:v>192193.5</c:v>
                </c:pt>
                <c:pt idx="5">
                  <c:v>42317.3</c:v>
                </c:pt>
                <c:pt idx="6">
                  <c:v>25000</c:v>
                </c:pt>
                <c:pt idx="7">
                  <c:v>95900</c:v>
                </c:pt>
                <c:pt idx="8">
                  <c:v>73233.7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8-402E-900E-F5F8D3FA939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Utgifter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Reell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Bad</c:v>
                </c:pt>
                <c:pt idx="1">
                  <c:v>Byggmateriell</c:v>
                </c:pt>
                <c:pt idx="2">
                  <c:v>Elektro</c:v>
                </c:pt>
                <c:pt idx="3">
                  <c:v>Vindu</c:v>
                </c:pt>
                <c:pt idx="4">
                  <c:v>Ute</c:v>
                </c:pt>
                <c:pt idx="5">
                  <c:v>Garasje</c:v>
                </c:pt>
                <c:pt idx="6">
                  <c:v>Fast monterte møbler</c:v>
                </c:pt>
                <c:pt idx="7">
                  <c:v>Peis</c:v>
                </c:pt>
                <c:pt idx="8">
                  <c:v>Ventilasjon</c:v>
                </c:pt>
              </c:strCache>
            </c:strRef>
          </c:cat>
          <c:val>
            <c:numRef>
              <c:f>Summary!$B$2:$B$10</c:f>
              <c:numCache>
                <c:formatCode>0</c:formatCode>
                <c:ptCount val="9"/>
                <c:pt idx="0">
                  <c:v>329513.73</c:v>
                </c:pt>
                <c:pt idx="1">
                  <c:v>155352.95999999999</c:v>
                </c:pt>
                <c:pt idx="2">
                  <c:v>507400</c:v>
                </c:pt>
                <c:pt idx="3">
                  <c:v>123111</c:v>
                </c:pt>
                <c:pt idx="4">
                  <c:v>192193.5</c:v>
                </c:pt>
                <c:pt idx="5">
                  <c:v>42317.3</c:v>
                </c:pt>
                <c:pt idx="6">
                  <c:v>25000</c:v>
                </c:pt>
                <c:pt idx="7">
                  <c:v>95900</c:v>
                </c:pt>
                <c:pt idx="8">
                  <c:v>73233.7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D-407A-8FCB-F5173821DE1D}"/>
            </c:ext>
          </c:extLst>
        </c:ser>
        <c:ser>
          <c:idx val="1"/>
          <c:order val="1"/>
          <c:tx>
            <c:strRef>
              <c:f>Summary!$E$1</c:f>
              <c:strCache>
                <c:ptCount val="1"/>
                <c:pt idx="0">
                  <c:v>Reell marked prisstigning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Bad</c:v>
                </c:pt>
                <c:pt idx="1">
                  <c:v>Byggmateriell</c:v>
                </c:pt>
                <c:pt idx="2">
                  <c:v>Elektro</c:v>
                </c:pt>
                <c:pt idx="3">
                  <c:v>Vindu</c:v>
                </c:pt>
                <c:pt idx="4">
                  <c:v>Ute</c:v>
                </c:pt>
                <c:pt idx="5">
                  <c:v>Garasje</c:v>
                </c:pt>
                <c:pt idx="6">
                  <c:v>Fast monterte møbler</c:v>
                </c:pt>
                <c:pt idx="7">
                  <c:v>Peis</c:v>
                </c:pt>
                <c:pt idx="8">
                  <c:v>Ventilasjon</c:v>
                </c:pt>
              </c:strCache>
            </c:strRef>
          </c:cat>
          <c:val>
            <c:numRef>
              <c:f>Summary!$E$2:$E$10</c:f>
              <c:numCache>
                <c:formatCode>0</c:formatCode>
                <c:ptCount val="9"/>
                <c:pt idx="0">
                  <c:v>215736.87903225806</c:v>
                </c:pt>
                <c:pt idx="1">
                  <c:v>120284.6451612903</c:v>
                </c:pt>
                <c:pt idx="2">
                  <c:v>309193.54838709673</c:v>
                </c:pt>
                <c:pt idx="3">
                  <c:v>84283.06451612903</c:v>
                </c:pt>
                <c:pt idx="4">
                  <c:v>154994.75806451612</c:v>
                </c:pt>
                <c:pt idx="5">
                  <c:v>34126.854838709674</c:v>
                </c:pt>
                <c:pt idx="6">
                  <c:v>19161.290322580644</c:v>
                </c:pt>
                <c:pt idx="7">
                  <c:v>104082.70967741935</c:v>
                </c:pt>
                <c:pt idx="8">
                  <c:v>58059.435483870962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D-407A-8FCB-F5173821D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957496"/>
        <c:axId val="449959136"/>
      </c:barChart>
      <c:catAx>
        <c:axId val="44995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959136"/>
        <c:crosses val="autoZero"/>
        <c:auto val="1"/>
        <c:lblAlgn val="ctr"/>
        <c:lblOffset val="100"/>
        <c:noMultiLvlLbl val="0"/>
      </c:catAx>
      <c:valAx>
        <c:axId val="4499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95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b-NO"/>
              <a:t>Fagarbeider</a:t>
            </a:r>
            <a:r>
              <a:rPr lang="nb-NO" baseline="0"/>
              <a:t> timer</a:t>
            </a:r>
            <a:endParaRPr lang="nb-NO"/>
          </a:p>
        </c:rich>
      </c:tx>
      <c:layout>
        <c:manualLayout>
          <c:xMode val="edge"/>
          <c:yMode val="edge"/>
          <c:x val="0.3517082239720035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7B4-4ABA-8C06-DC203FFE4AD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7B4-4ABA-8C06-DC203FFE4AD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7B4-4ABA-8C06-DC203FFE4AD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7B4-4ABA-8C06-DC203FFE4AD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7B4-4ABA-8C06-DC203FFE4AD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7B4-4ABA-8C06-DC203FFE4AD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7B4-4ABA-8C06-DC203FFE4A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Timer!$A$2:$A$8</c:f>
              <c:strCache>
                <c:ptCount val="7"/>
                <c:pt idx="0">
                  <c:v>Snekker</c:v>
                </c:pt>
                <c:pt idx="1">
                  <c:v>Maler</c:v>
                </c:pt>
                <c:pt idx="2">
                  <c:v>Peis</c:v>
                </c:pt>
                <c:pt idx="3">
                  <c:v>Blikkenslager</c:v>
                </c:pt>
                <c:pt idx="4">
                  <c:v>Gravemaskin</c:v>
                </c:pt>
                <c:pt idx="5">
                  <c:v>Rørlegger</c:v>
                </c:pt>
                <c:pt idx="6">
                  <c:v>Elektriker</c:v>
                </c:pt>
              </c:strCache>
            </c:strRef>
          </c:cat>
          <c:val>
            <c:numRef>
              <c:f>Timer!$B$2:$B$8</c:f>
              <c:numCache>
                <c:formatCode>General</c:formatCode>
                <c:ptCount val="7"/>
                <c:pt idx="0">
                  <c:v>42</c:v>
                </c:pt>
                <c:pt idx="1">
                  <c:v>66</c:v>
                </c:pt>
                <c:pt idx="2">
                  <c:v>11</c:v>
                </c:pt>
                <c:pt idx="3">
                  <c:v>18</c:v>
                </c:pt>
                <c:pt idx="4">
                  <c:v>59</c:v>
                </c:pt>
                <c:pt idx="5">
                  <c:v>34</c:v>
                </c:pt>
                <c:pt idx="6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B-4894-AFC4-5A0059E6B7D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212725</xdr:colOff>
      <xdr:row>12</xdr:row>
      <xdr:rowOff>139700</xdr:rowOff>
    </xdr:from>
    <xdr:to>
      <xdr:col>5</xdr:col>
      <xdr:colOff>977900</xdr:colOff>
      <xdr:row>27</xdr:row>
      <xdr:rowOff>127000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62C4A26-1C41-02BF-AC05-BA7D0C34F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2822575</xdr:colOff>
      <xdr:row>13</xdr:row>
      <xdr:rowOff>19050</xdr:rowOff>
    </xdr:from>
    <xdr:to>
      <xdr:col>8</xdr:col>
      <xdr:colOff>346075</xdr:colOff>
      <xdr:row>28</xdr:row>
      <xdr:rowOff>6350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41A1594-A30E-863D-F86D-114978270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615950</xdr:colOff>
      <xdr:row>1</xdr:row>
      <xdr:rowOff>44450</xdr:rowOff>
    </xdr:from>
    <xdr:to>
      <xdr:col>10</xdr:col>
      <xdr:colOff>257175</xdr:colOff>
      <xdr:row>19</xdr:row>
      <xdr:rowOff>50800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6B2CC88-B383-A792-AF72-237CC3A1E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A24FF-6FAF-4EEF-A4B6-D0376A00EC7F}">
  <sheetPr codeName="Sheet1"/>
  <dimension ref="A1:H20"/>
  <sheetViews>
    <sheetView tabSelected="1" workbookViewId="0">
      <selection activeCell="E22" sqref="E22"/>
    </sheetView>
  </sheetViews>
  <sheetFormatPr defaultColWidth="11.42578125" defaultRowHeight="15" x14ac:dyDescent="0.25"/>
  <cols>
    <col min="1" max="1" width="27.140625" bestFit="1" customWidth="1"/>
    <col min="2" max="2" width="14.5703125" customWidth="1"/>
    <col min="3" max="3" width="12.5703125" customWidth="1"/>
    <col min="4" max="4" width="16.42578125" customWidth="1"/>
    <col min="5" max="5" width="18.5703125" customWidth="1"/>
    <col min="6" max="6" width="12.85546875" customWidth="1"/>
  </cols>
  <sheetData>
    <row r="1" spans="1:8" x14ac:dyDescent="0.25">
      <c r="A1" s="20" t="s">
        <v>116</v>
      </c>
      <c r="B1" s="42">
        <f>(D7-B7)/365</f>
        <v>3.5780821917808221</v>
      </c>
    </row>
    <row r="2" spans="1:8" x14ac:dyDescent="0.25">
      <c r="A2" s="11" t="s">
        <v>117</v>
      </c>
      <c r="B2" s="43">
        <v>0.17860000000000001</v>
      </c>
    </row>
    <row r="3" spans="1:8" x14ac:dyDescent="0.25">
      <c r="A3" s="45" t="s">
        <v>140</v>
      </c>
      <c r="B3" s="46">
        <v>0.14099999999999999</v>
      </c>
      <c r="C3" t="s">
        <v>141</v>
      </c>
    </row>
    <row r="4" spans="1:8" ht="15.75" thickBot="1" x14ac:dyDescent="0.3">
      <c r="A4" s="13" t="s">
        <v>118</v>
      </c>
      <c r="B4" s="44">
        <f>(B2+1)^(1/B1)-1</f>
        <v>4.6997015374955931E-2</v>
      </c>
    </row>
    <row r="5" spans="1:8" ht="15.75" thickBot="1" x14ac:dyDescent="0.3">
      <c r="B5" s="3"/>
    </row>
    <row r="6" spans="1:8" ht="45.75" thickBot="1" x14ac:dyDescent="0.3">
      <c r="A6" s="32"/>
      <c r="B6" s="28" t="s">
        <v>69</v>
      </c>
      <c r="C6" s="26" t="s">
        <v>119</v>
      </c>
      <c r="D6" s="26" t="s">
        <v>120</v>
      </c>
      <c r="E6" s="26" t="s">
        <v>121</v>
      </c>
      <c r="F6" s="26" t="s">
        <v>123</v>
      </c>
      <c r="G6" s="26" t="s">
        <v>122</v>
      </c>
      <c r="H6" s="27" t="s">
        <v>137</v>
      </c>
    </row>
    <row r="7" spans="1:8" x14ac:dyDescent="0.25">
      <c r="A7" s="33" t="s">
        <v>3</v>
      </c>
      <c r="B7" s="29">
        <v>43584</v>
      </c>
      <c r="C7" s="24"/>
      <c r="D7" s="23">
        <v>44890</v>
      </c>
      <c r="E7" s="24"/>
      <c r="F7" s="24"/>
      <c r="G7" s="24"/>
      <c r="H7" s="25"/>
    </row>
    <row r="8" spans="1:8" x14ac:dyDescent="0.25">
      <c r="A8" s="18" t="s">
        <v>4</v>
      </c>
      <c r="B8" s="30">
        <v>4709000</v>
      </c>
      <c r="C8" s="9">
        <f>B8*(1+$B$3)</f>
        <v>5372969</v>
      </c>
      <c r="D8" s="8">
        <v>6200000</v>
      </c>
      <c r="E8" s="9">
        <f>D8-C8</f>
        <v>827031</v>
      </c>
      <c r="F8" s="9">
        <f ca="1">Summary!B11</f>
        <v>1544022.19</v>
      </c>
      <c r="G8" s="9">
        <f ca="1">F8-E8</f>
        <v>716991.19</v>
      </c>
      <c r="H8" s="21">
        <f ca="1">1-E8/F8</f>
        <v>0.4643658586279773</v>
      </c>
    </row>
    <row r="9" spans="1:8" x14ac:dyDescent="0.25">
      <c r="A9" s="18" t="s">
        <v>5</v>
      </c>
      <c r="B9" s="30">
        <v>3890000</v>
      </c>
      <c r="C9" s="9">
        <f>B9*(1+$B$2)</f>
        <v>4584754</v>
      </c>
      <c r="D9" s="8">
        <v>5000000</v>
      </c>
      <c r="E9" s="9">
        <f>D9-C9</f>
        <v>415246</v>
      </c>
      <c r="F9" s="9">
        <f ca="1">Summary!E11</f>
        <v>1099923.1854838708</v>
      </c>
      <c r="G9" s="9">
        <f ca="1">F9-E9</f>
        <v>684677.18548387079</v>
      </c>
      <c r="H9" s="21">
        <f ca="1">1-E9/F9</f>
        <v>0.62247727343130077</v>
      </c>
    </row>
    <row r="10" spans="1:8" ht="15.75" thickBot="1" x14ac:dyDescent="0.3">
      <c r="A10" s="19" t="s">
        <v>61</v>
      </c>
      <c r="B10" s="31">
        <f>B9/B8</f>
        <v>0.82607772350817588</v>
      </c>
      <c r="C10" s="14"/>
      <c r="D10" s="22">
        <f>D9/D8</f>
        <v>0.80645161290322576</v>
      </c>
      <c r="E10" s="14"/>
      <c r="F10" s="15"/>
      <c r="G10" s="15"/>
      <c r="H10" s="16"/>
    </row>
    <row r="11" spans="1:8" x14ac:dyDescent="0.25">
      <c r="B11" s="2"/>
      <c r="C11" s="1"/>
      <c r="D11" s="2"/>
      <c r="E11" s="1"/>
    </row>
    <row r="12" spans="1:8" ht="15.75" thickBot="1" x14ac:dyDescent="0.3">
      <c r="B12" s="2"/>
      <c r="C12" s="1"/>
      <c r="D12" s="2"/>
      <c r="E12" s="1"/>
    </row>
    <row r="13" spans="1:8" ht="45.75" thickBot="1" x14ac:dyDescent="0.3">
      <c r="A13" s="32"/>
      <c r="B13" s="28" t="s">
        <v>69</v>
      </c>
      <c r="C13" s="26" t="s">
        <v>119</v>
      </c>
      <c r="D13" s="26" t="s">
        <v>120</v>
      </c>
      <c r="E13" s="26" t="s">
        <v>121</v>
      </c>
      <c r="F13" s="26" t="s">
        <v>124</v>
      </c>
      <c r="G13" s="26" t="s">
        <v>136</v>
      </c>
      <c r="H13" s="27" t="s">
        <v>137</v>
      </c>
    </row>
    <row r="14" spans="1:8" x14ac:dyDescent="0.25">
      <c r="A14" s="33" t="s">
        <v>0</v>
      </c>
      <c r="B14" s="36">
        <v>2387000</v>
      </c>
      <c r="C14" s="34">
        <f>B14*(1+$B$2)</f>
        <v>2813318.2</v>
      </c>
      <c r="D14" s="24">
        <v>2900000</v>
      </c>
      <c r="E14" s="34">
        <f>D14-C14</f>
        <v>86681.799999999814</v>
      </c>
      <c r="F14" s="34">
        <f>Summary!B6</f>
        <v>192193.5</v>
      </c>
      <c r="G14" s="34">
        <f>F14-E14</f>
        <v>105511.70000000019</v>
      </c>
      <c r="H14" s="35">
        <f>1-E14/F14</f>
        <v>0.54898682837869228</v>
      </c>
    </row>
    <row r="15" spans="1:8" x14ac:dyDescent="0.25">
      <c r="A15" s="18" t="s">
        <v>1</v>
      </c>
      <c r="B15" s="30">
        <v>123750</v>
      </c>
      <c r="C15" s="9">
        <f>B15*(1+$B$3)</f>
        <v>141198.75</v>
      </c>
      <c r="D15" s="8">
        <v>160000</v>
      </c>
      <c r="E15" s="9">
        <f>D15-C15</f>
        <v>18801.25</v>
      </c>
      <c r="F15" s="9">
        <f>Summary!E7</f>
        <v>34126.854838709674</v>
      </c>
      <c r="G15" s="9">
        <f>F15-E15</f>
        <v>15325.604838709674</v>
      </c>
      <c r="H15" s="35">
        <f t="shared" ref="H15:H16" si="0">1-E15/F15</f>
        <v>0.44907756402227927</v>
      </c>
    </row>
    <row r="16" spans="1:8" ht="15.75" thickBot="1" x14ac:dyDescent="0.3">
      <c r="A16" s="19" t="s">
        <v>2</v>
      </c>
      <c r="B16" s="37">
        <v>2198280</v>
      </c>
      <c r="C16" s="14">
        <f>B16*(1+$B$3)</f>
        <v>2508237.48</v>
      </c>
      <c r="D16" s="15">
        <v>3150000</v>
      </c>
      <c r="E16" s="14">
        <f>D16-C16</f>
        <v>641762.52</v>
      </c>
      <c r="F16" s="14">
        <f ca="1">Summary!B11-Summary!B7-Summary!B6</f>
        <v>1309511.3899999999</v>
      </c>
      <c r="G16" s="14">
        <f ca="1">F16-E16</f>
        <v>667748.86999999988</v>
      </c>
      <c r="H16" s="35">
        <f t="shared" ca="1" si="0"/>
        <v>0.50992215501080895</v>
      </c>
    </row>
    <row r="20" spans="2:5" x14ac:dyDescent="0.25">
      <c r="B20" s="1"/>
      <c r="D20" s="1"/>
      <c r="E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CD318-7D1E-4D97-87CF-1358DC94AAD3}">
  <sheetPr codeName="Sheet2"/>
  <dimension ref="A1:H13"/>
  <sheetViews>
    <sheetView workbookViewId="0">
      <selection activeCell="H1" sqref="H1:H10"/>
    </sheetView>
  </sheetViews>
  <sheetFormatPr defaultColWidth="11.42578125" defaultRowHeight="15" x14ac:dyDescent="0.25"/>
  <cols>
    <col min="1" max="1" width="19" bestFit="1" customWidth="1"/>
    <col min="3" max="3" width="13.140625" customWidth="1"/>
    <col min="4" max="4" width="11.42578125" customWidth="1"/>
    <col min="5" max="5" width="12.5703125" customWidth="1"/>
    <col min="6" max="6" width="51.5703125" customWidth="1"/>
    <col min="8" max="8" width="26.85546875" bestFit="1" customWidth="1"/>
  </cols>
  <sheetData>
    <row r="1" spans="1:8" ht="30" customHeight="1" thickBot="1" x14ac:dyDescent="0.3">
      <c r="A1" s="49">
        <f>Verdivurdering!D10</f>
        <v>0.80645161290322576</v>
      </c>
      <c r="B1" s="50" t="s">
        <v>94</v>
      </c>
      <c r="C1" s="26" t="s">
        <v>95</v>
      </c>
      <c r="D1" s="26" t="s">
        <v>109</v>
      </c>
      <c r="E1" s="26" t="s">
        <v>96</v>
      </c>
      <c r="F1" s="51" t="s">
        <v>104</v>
      </c>
      <c r="H1" s="57" t="s">
        <v>149</v>
      </c>
    </row>
    <row r="2" spans="1:8" x14ac:dyDescent="0.25">
      <c r="A2" s="33" t="s">
        <v>82</v>
      </c>
      <c r="B2" s="48">
        <f>Details!B49</f>
        <v>329513.73</v>
      </c>
      <c r="C2" s="34">
        <f t="shared" ref="C2:C3" si="0">B2*$A$1</f>
        <v>265736.87903225806</v>
      </c>
      <c r="D2" s="24">
        <v>50000</v>
      </c>
      <c r="E2" s="34">
        <f t="shared" ref="E2:E3" si="1">C2-D2</f>
        <v>215736.87903225806</v>
      </c>
      <c r="F2" s="25" t="s">
        <v>110</v>
      </c>
      <c r="H2" t="str">
        <f>"|"&amp;A2&amp;"|"&amp;B2&amp;"|"</f>
        <v>|Bad|329513.73|</v>
      </c>
    </row>
    <row r="3" spans="1:8" x14ac:dyDescent="0.25">
      <c r="A3" s="18" t="s">
        <v>91</v>
      </c>
      <c r="B3" s="17">
        <f>Details!B22</f>
        <v>155352.95999999999</v>
      </c>
      <c r="C3" s="9">
        <f t="shared" si="0"/>
        <v>125284.6451612903</v>
      </c>
      <c r="D3" s="8">
        <v>5000</v>
      </c>
      <c r="E3" s="9">
        <f t="shared" si="1"/>
        <v>120284.6451612903</v>
      </c>
      <c r="F3" s="12" t="s">
        <v>111</v>
      </c>
      <c r="H3" t="str">
        <f t="shared" ref="H3:H10" si="2">"|"&amp;A3&amp;"|"&amp;B3&amp;"|"</f>
        <v>|Byggmateriell|155352.96|</v>
      </c>
    </row>
    <row r="4" spans="1:8" x14ac:dyDescent="0.25">
      <c r="A4" s="18" t="s">
        <v>80</v>
      </c>
      <c r="B4" s="17">
        <f>Details!B10</f>
        <v>507400</v>
      </c>
      <c r="C4" s="9">
        <f>B4*$A$1</f>
        <v>409193.54838709673</v>
      </c>
      <c r="D4" s="8">
        <v>100000</v>
      </c>
      <c r="E4" s="9">
        <f>C4-D4</f>
        <v>309193.54838709673</v>
      </c>
      <c r="F4" s="12" t="s">
        <v>105</v>
      </c>
      <c r="H4" t="str">
        <f t="shared" si="2"/>
        <v>|Elektro|507400|</v>
      </c>
    </row>
    <row r="5" spans="1:8" ht="30" x14ac:dyDescent="0.25">
      <c r="A5" s="18" t="s">
        <v>47</v>
      </c>
      <c r="B5" s="17">
        <f>Details!B16</f>
        <v>123111</v>
      </c>
      <c r="C5" s="9">
        <f t="shared" ref="C5:C10" si="3">B5*$A$1</f>
        <v>99283.06451612903</v>
      </c>
      <c r="D5" s="8">
        <v>15000</v>
      </c>
      <c r="E5" s="9">
        <f t="shared" ref="E5:E10" si="4">C5-D5</f>
        <v>84283.06451612903</v>
      </c>
      <c r="F5" s="47" t="s">
        <v>112</v>
      </c>
      <c r="H5" t="str">
        <f t="shared" si="2"/>
        <v>|Vindu|123111|</v>
      </c>
    </row>
    <row r="6" spans="1:8" x14ac:dyDescent="0.25">
      <c r="A6" s="18" t="s">
        <v>92</v>
      </c>
      <c r="B6" s="17">
        <f>Details!B77</f>
        <v>192193.5</v>
      </c>
      <c r="C6" s="9">
        <f t="shared" si="3"/>
        <v>154994.75806451612</v>
      </c>
      <c r="D6" s="8">
        <v>0</v>
      </c>
      <c r="E6" s="9">
        <f t="shared" si="4"/>
        <v>154994.75806451612</v>
      </c>
      <c r="F6" s="12" t="s">
        <v>113</v>
      </c>
      <c r="H6" t="str">
        <f t="shared" si="2"/>
        <v>|Ute|192193.5|</v>
      </c>
    </row>
    <row r="7" spans="1:8" x14ac:dyDescent="0.25">
      <c r="A7" s="18" t="s">
        <v>132</v>
      </c>
      <c r="B7" s="17">
        <f>Details!B62</f>
        <v>42317.3</v>
      </c>
      <c r="C7" s="9">
        <f t="shared" si="3"/>
        <v>34126.854838709674</v>
      </c>
      <c r="D7" s="8">
        <v>0</v>
      </c>
      <c r="E7" s="9">
        <f t="shared" ref="E7" si="5">C7-D7</f>
        <v>34126.854838709674</v>
      </c>
      <c r="F7" s="12" t="s">
        <v>135</v>
      </c>
      <c r="H7" t="str">
        <f t="shared" si="2"/>
        <v>|Garasje|42317.3|</v>
      </c>
    </row>
    <row r="8" spans="1:8" x14ac:dyDescent="0.25">
      <c r="A8" s="18" t="s">
        <v>103</v>
      </c>
      <c r="B8" s="17">
        <f>Details!B55</f>
        <v>25000</v>
      </c>
      <c r="C8" s="9">
        <f t="shared" si="3"/>
        <v>20161.290322580644</v>
      </c>
      <c r="D8" s="8">
        <v>1000</v>
      </c>
      <c r="E8" s="9">
        <f t="shared" ref="E8" si="6">C8-D8</f>
        <v>19161.290322580644</v>
      </c>
      <c r="F8" s="12"/>
      <c r="H8" t="str">
        <f t="shared" si="2"/>
        <v>|Fast monterte møbler|25000|</v>
      </c>
    </row>
    <row r="9" spans="1:8" ht="30" x14ac:dyDescent="0.25">
      <c r="A9" s="18" t="s">
        <v>93</v>
      </c>
      <c r="B9" s="17">
        <f>Details!B29</f>
        <v>95900</v>
      </c>
      <c r="C9" s="9">
        <f t="shared" si="3"/>
        <v>77338.709677419349</v>
      </c>
      <c r="D9" s="8">
        <f>-1.24*0.8*32000 +5000</f>
        <v>-26744</v>
      </c>
      <c r="E9" s="9">
        <f t="shared" si="4"/>
        <v>104082.70967741935</v>
      </c>
      <c r="F9" s="47" t="s">
        <v>114</v>
      </c>
      <c r="H9" t="str">
        <f t="shared" si="2"/>
        <v>|Peis|95900|</v>
      </c>
    </row>
    <row r="10" spans="1:8" ht="15.75" thickBot="1" x14ac:dyDescent="0.3">
      <c r="A10" s="38" t="s">
        <v>81</v>
      </c>
      <c r="B10" s="39">
        <f>Details!B35</f>
        <v>73233.7</v>
      </c>
      <c r="C10" s="40">
        <f t="shared" si="3"/>
        <v>59059.435483870962</v>
      </c>
      <c r="D10" s="41">
        <v>1000</v>
      </c>
      <c r="E10" s="40">
        <f t="shared" si="4"/>
        <v>58059.435483870962</v>
      </c>
      <c r="F10" s="16" t="s">
        <v>113</v>
      </c>
      <c r="H10" t="str">
        <f t="shared" si="2"/>
        <v>|Ventilasjon|73233.7|</v>
      </c>
    </row>
    <row r="11" spans="1:8" x14ac:dyDescent="0.25">
      <c r="A11" s="20" t="s">
        <v>13</v>
      </c>
      <c r="B11" s="56">
        <f ca="1">SUM(B2:B13)</f>
        <v>1544022.19</v>
      </c>
      <c r="C11" s="52">
        <f ca="1">SUM(C2:C13)</f>
        <v>1245179.1854838708</v>
      </c>
      <c r="D11" s="10">
        <f ca="1">SUM(D2:D13)</f>
        <v>145256</v>
      </c>
      <c r="E11" s="53">
        <f ca="1">SUM(E2:E13)</f>
        <v>1099923.1854838708</v>
      </c>
      <c r="H11">
        <f ca="1">"|"&amp;A11&amp;"|"&amp;B11&amp;"|"</f>
        <v>0</v>
      </c>
    </row>
    <row r="12" spans="1:8" x14ac:dyDescent="0.25">
      <c r="A12" s="11" t="s">
        <v>115</v>
      </c>
      <c r="B12" s="8"/>
      <c r="C12" s="8"/>
      <c r="D12" s="8"/>
      <c r="E12" s="54">
        <f>Verdivurdering!E9</f>
        <v>415246</v>
      </c>
    </row>
    <row r="13" spans="1:8" ht="15.75" thickBot="1" x14ac:dyDescent="0.3">
      <c r="A13" s="13" t="s">
        <v>100</v>
      </c>
      <c r="B13" s="15"/>
      <c r="C13" s="15"/>
      <c r="D13" s="15"/>
      <c r="E13" s="55">
        <f ca="1">E11-E12</f>
        <v>684677.18548387079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E58B1-5863-4C03-A0E2-C74EBB4DA0C4}">
  <sheetPr codeName="Sheet3"/>
  <dimension ref="A2:F79"/>
  <sheetViews>
    <sheetView topLeftCell="A13" workbookViewId="0">
      <selection activeCell="C20" sqref="C20"/>
    </sheetView>
  </sheetViews>
  <sheetFormatPr defaultColWidth="11.42578125" defaultRowHeight="15" x14ac:dyDescent="0.25"/>
  <cols>
    <col min="1" max="1" width="60.7109375" customWidth="1"/>
    <col min="2" max="2" width="21.85546875" customWidth="1"/>
    <col min="3" max="3" width="64" bestFit="1" customWidth="1"/>
    <col min="4" max="4" width="22.42578125" customWidth="1"/>
    <col min="6" max="6" width="11.85546875" bestFit="1" customWidth="1"/>
  </cols>
  <sheetData>
    <row r="2" spans="1:2" x14ac:dyDescent="0.25">
      <c r="A2" s="5" t="s">
        <v>80</v>
      </c>
    </row>
    <row r="3" spans="1:2" x14ac:dyDescent="0.25">
      <c r="A3" t="s">
        <v>6</v>
      </c>
      <c r="B3">
        <v>60000</v>
      </c>
    </row>
    <row r="4" spans="1:2" x14ac:dyDescent="0.25">
      <c r="A4" t="s">
        <v>7</v>
      </c>
      <c r="B4">
        <f>24*5000</f>
        <v>120000</v>
      </c>
    </row>
    <row r="5" spans="1:2" x14ac:dyDescent="0.25">
      <c r="A5" t="s">
        <v>8</v>
      </c>
      <c r="B5">
        <v>50000</v>
      </c>
    </row>
    <row r="6" spans="1:2" x14ac:dyDescent="0.25">
      <c r="A6" t="s">
        <v>9</v>
      </c>
      <c r="B6">
        <f>1800*(22+31)</f>
        <v>95400</v>
      </c>
    </row>
    <row r="7" spans="1:2" x14ac:dyDescent="0.25">
      <c r="A7" t="s">
        <v>10</v>
      </c>
      <c r="B7">
        <f>(90-4.5*8)*1000</f>
        <v>54000</v>
      </c>
    </row>
    <row r="8" spans="1:2" x14ac:dyDescent="0.25">
      <c r="A8" t="s">
        <v>11</v>
      </c>
      <c r="B8">
        <f>2000*59</f>
        <v>118000</v>
      </c>
    </row>
    <row r="9" spans="1:2" x14ac:dyDescent="0.25">
      <c r="A9" t="s">
        <v>12</v>
      </c>
      <c r="B9">
        <f>5*2000</f>
        <v>10000</v>
      </c>
    </row>
    <row r="10" spans="1:2" x14ac:dyDescent="0.25">
      <c r="A10" t="s">
        <v>13</v>
      </c>
      <c r="B10">
        <f>SUM(B3:B9)</f>
        <v>507400</v>
      </c>
    </row>
    <row r="12" spans="1:2" x14ac:dyDescent="0.25">
      <c r="A12" s="5" t="s">
        <v>47</v>
      </c>
    </row>
    <row r="13" spans="1:2" x14ac:dyDescent="0.25">
      <c r="A13" t="s">
        <v>14</v>
      </c>
      <c r="B13">
        <f>20525+7000</f>
        <v>27525</v>
      </c>
    </row>
    <row r="14" spans="1:2" x14ac:dyDescent="0.25">
      <c r="A14" t="s">
        <v>15</v>
      </c>
      <c r="B14">
        <f>20525+13000</f>
        <v>33525</v>
      </c>
    </row>
    <row r="15" spans="1:2" x14ac:dyDescent="0.25">
      <c r="A15" t="s">
        <v>16</v>
      </c>
      <c r="B15">
        <v>62061</v>
      </c>
    </row>
    <row r="16" spans="1:2" x14ac:dyDescent="0.25">
      <c r="A16" t="s">
        <v>13</v>
      </c>
      <c r="B16">
        <f>SUM(B13:B15)</f>
        <v>123111</v>
      </c>
    </row>
    <row r="18" spans="1:6" x14ac:dyDescent="0.25">
      <c r="A18" s="5" t="s">
        <v>98</v>
      </c>
    </row>
    <row r="19" spans="1:6" x14ac:dyDescent="0.25">
      <c r="A19" t="s">
        <v>99</v>
      </c>
      <c r="B19">
        <f>Nettbank!C4+Nettbank!C9+Nettbank!C26-B15</f>
        <v>103490.45999999999</v>
      </c>
    </row>
    <row r="20" spans="1:6" x14ac:dyDescent="0.25">
      <c r="A20" t="s">
        <v>48</v>
      </c>
      <c r="B20">
        <f>Nettbank!C31*2</f>
        <v>51862.5</v>
      </c>
    </row>
    <row r="21" spans="1:6" x14ac:dyDescent="0.25">
      <c r="A21" t="s">
        <v>39</v>
      </c>
      <c r="B21">
        <f>Nettbank!C20</f>
        <v>17530.559999999998</v>
      </c>
    </row>
    <row r="22" spans="1:6" x14ac:dyDescent="0.25">
      <c r="A22" t="s">
        <v>29</v>
      </c>
      <c r="B22">
        <f>SUM(B19:B20)</f>
        <v>155352.95999999999</v>
      </c>
    </row>
    <row r="24" spans="1:6" x14ac:dyDescent="0.25">
      <c r="A24" s="5" t="s">
        <v>18</v>
      </c>
    </row>
    <row r="25" spans="1:6" x14ac:dyDescent="0.25">
      <c r="A25" t="s">
        <v>17</v>
      </c>
      <c r="B25">
        <v>29000</v>
      </c>
    </row>
    <row r="26" spans="1:6" x14ac:dyDescent="0.25">
      <c r="A26" t="s">
        <v>18</v>
      </c>
      <c r="B26">
        <v>54300</v>
      </c>
    </row>
    <row r="27" spans="1:6" x14ac:dyDescent="0.25">
      <c r="A27" t="s">
        <v>30</v>
      </c>
      <c r="B27">
        <v>11000</v>
      </c>
    </row>
    <row r="28" spans="1:6" x14ac:dyDescent="0.25">
      <c r="A28" t="s">
        <v>49</v>
      </c>
      <c r="B28">
        <v>1600</v>
      </c>
    </row>
    <row r="29" spans="1:6" x14ac:dyDescent="0.25">
      <c r="A29" t="s">
        <v>29</v>
      </c>
      <c r="B29">
        <f>SUM(B25:B28)</f>
        <v>95900</v>
      </c>
      <c r="C29" t="s">
        <v>50</v>
      </c>
    </row>
    <row r="31" spans="1:6" x14ac:dyDescent="0.25">
      <c r="A31" s="5" t="s">
        <v>81</v>
      </c>
    </row>
    <row r="32" spans="1:6" x14ac:dyDescent="0.25">
      <c r="A32" t="s">
        <v>19</v>
      </c>
      <c r="B32">
        <v>41601</v>
      </c>
      <c r="D32" s="1"/>
      <c r="F32" s="1"/>
    </row>
    <row r="33" spans="1:6" x14ac:dyDescent="0.25">
      <c r="A33" t="s">
        <v>20</v>
      </c>
      <c r="B33">
        <f>Nettbank!C42</f>
        <v>15882.7</v>
      </c>
      <c r="D33" s="1"/>
      <c r="F33" s="1"/>
    </row>
    <row r="34" spans="1:6" x14ac:dyDescent="0.25">
      <c r="A34" t="s">
        <v>30</v>
      </c>
      <c r="B34">
        <f>18*875</f>
        <v>15750</v>
      </c>
      <c r="D34" s="1"/>
      <c r="F34" s="1"/>
    </row>
    <row r="35" spans="1:6" x14ac:dyDescent="0.25">
      <c r="A35" t="s">
        <v>29</v>
      </c>
      <c r="B35">
        <f>SUM(B32:B34)</f>
        <v>73233.7</v>
      </c>
      <c r="C35" t="s">
        <v>51</v>
      </c>
      <c r="D35" s="1"/>
      <c r="F35" s="1"/>
    </row>
    <row r="36" spans="1:6" x14ac:dyDescent="0.25">
      <c r="D36" s="1"/>
      <c r="F36" s="1"/>
    </row>
    <row r="37" spans="1:6" x14ac:dyDescent="0.25">
      <c r="A37" s="5" t="s">
        <v>97</v>
      </c>
      <c r="D37" s="1"/>
      <c r="F37" s="1"/>
    </row>
    <row r="38" spans="1:6" x14ac:dyDescent="0.25">
      <c r="A38" t="s">
        <v>21</v>
      </c>
      <c r="B38">
        <f>13646+12390+8093</f>
        <v>34129</v>
      </c>
      <c r="C38" t="s">
        <v>57</v>
      </c>
      <c r="D38" s="1"/>
      <c r="F38" s="1"/>
    </row>
    <row r="39" spans="1:6" x14ac:dyDescent="0.25">
      <c r="A39" t="s">
        <v>22</v>
      </c>
      <c r="B39">
        <v>25000</v>
      </c>
      <c r="C39" t="s">
        <v>58</v>
      </c>
      <c r="D39" s="1"/>
      <c r="F39" s="1"/>
    </row>
    <row r="40" spans="1:6" x14ac:dyDescent="0.25">
      <c r="A40" t="s">
        <v>23</v>
      </c>
      <c r="B40">
        <f>1792+5788+9060+4494+3422+3068+354+5787</f>
        <v>33765</v>
      </c>
      <c r="C40" t="s">
        <v>59</v>
      </c>
      <c r="D40" s="1"/>
      <c r="F40" s="1"/>
    </row>
    <row r="41" spans="1:6" x14ac:dyDescent="0.25">
      <c r="A41" t="s">
        <v>24</v>
      </c>
      <c r="B41">
        <v>5000</v>
      </c>
      <c r="C41" t="s">
        <v>52</v>
      </c>
      <c r="D41" s="1"/>
      <c r="F41" s="1"/>
    </row>
    <row r="42" spans="1:6" x14ac:dyDescent="0.25">
      <c r="A42" t="s">
        <v>25</v>
      </c>
      <c r="B42">
        <v>32000</v>
      </c>
      <c r="C42" t="s">
        <v>126</v>
      </c>
      <c r="D42" s="1"/>
      <c r="F42" s="1"/>
    </row>
    <row r="43" spans="1:6" x14ac:dyDescent="0.25">
      <c r="A43" t="s">
        <v>26</v>
      </c>
      <c r="B43">
        <v>10000</v>
      </c>
      <c r="C43" t="s">
        <v>127</v>
      </c>
      <c r="D43" s="1"/>
      <c r="F43" s="1"/>
    </row>
    <row r="44" spans="1:6" x14ac:dyDescent="0.25">
      <c r="A44" t="s">
        <v>83</v>
      </c>
      <c r="B44">
        <v>42882.229999999996</v>
      </c>
      <c r="C44" t="s">
        <v>60</v>
      </c>
      <c r="D44" s="1"/>
      <c r="F44" s="1"/>
    </row>
    <row r="45" spans="1:6" x14ac:dyDescent="0.25">
      <c r="A45" t="s">
        <v>27</v>
      </c>
      <c r="B45">
        <f>32000/200*875</f>
        <v>140000</v>
      </c>
      <c r="C45" t="s">
        <v>84</v>
      </c>
      <c r="D45" s="1"/>
      <c r="F45" s="1"/>
    </row>
    <row r="46" spans="1:6" x14ac:dyDescent="0.25">
      <c r="A46" t="s">
        <v>28</v>
      </c>
      <c r="B46">
        <v>0</v>
      </c>
      <c r="C46" t="s">
        <v>56</v>
      </c>
      <c r="D46" s="1"/>
      <c r="F46" s="1"/>
    </row>
    <row r="47" spans="1:6" x14ac:dyDescent="0.25">
      <c r="A47" t="s">
        <v>76</v>
      </c>
      <c r="B47">
        <v>6737.5</v>
      </c>
      <c r="C47" t="s">
        <v>128</v>
      </c>
      <c r="D47" s="1"/>
      <c r="F47" s="1"/>
    </row>
    <row r="48" spans="1:6" x14ac:dyDescent="0.25">
      <c r="A48" t="s">
        <v>129</v>
      </c>
      <c r="B48">
        <v>0</v>
      </c>
      <c r="C48" t="s">
        <v>130</v>
      </c>
      <c r="D48" s="1"/>
      <c r="F48" s="1"/>
    </row>
    <row r="49" spans="1:6" x14ac:dyDescent="0.25">
      <c r="A49" t="s">
        <v>29</v>
      </c>
      <c r="B49">
        <f>SUM(B38:B48)</f>
        <v>329513.73</v>
      </c>
      <c r="C49" t="s">
        <v>131</v>
      </c>
      <c r="D49" s="1"/>
      <c r="F49" s="1"/>
    </row>
    <row r="50" spans="1:6" x14ac:dyDescent="0.25">
      <c r="D50" s="1"/>
      <c r="F50" s="1"/>
    </row>
    <row r="51" spans="1:6" x14ac:dyDescent="0.25">
      <c r="A51" s="5" t="s">
        <v>103</v>
      </c>
      <c r="D51" s="1"/>
      <c r="F51" s="1"/>
    </row>
    <row r="52" spans="1:6" x14ac:dyDescent="0.25">
      <c r="A52" t="s">
        <v>31</v>
      </c>
      <c r="B52">
        <v>11000</v>
      </c>
      <c r="D52" s="1"/>
      <c r="F52" s="1"/>
    </row>
    <row r="53" spans="1:6" x14ac:dyDescent="0.25">
      <c r="A53" t="s">
        <v>65</v>
      </c>
      <c r="B53">
        <v>6000</v>
      </c>
      <c r="D53" s="1"/>
      <c r="F53" s="1"/>
    </row>
    <row r="54" spans="1:6" x14ac:dyDescent="0.25">
      <c r="A54" t="s">
        <v>125</v>
      </c>
      <c r="B54">
        <v>8000</v>
      </c>
    </row>
    <row r="55" spans="1:6" x14ac:dyDescent="0.25">
      <c r="A55" t="s">
        <v>29</v>
      </c>
      <c r="B55">
        <f>SUM(B52:B54)</f>
        <v>25000</v>
      </c>
    </row>
    <row r="57" spans="1:6" x14ac:dyDescent="0.25">
      <c r="A57" s="5" t="s">
        <v>132</v>
      </c>
    </row>
    <row r="58" spans="1:6" x14ac:dyDescent="0.25">
      <c r="A58" t="s">
        <v>34</v>
      </c>
      <c r="B58">
        <v>20317.3</v>
      </c>
    </row>
    <row r="59" spans="1:6" x14ac:dyDescent="0.25">
      <c r="A59" t="s">
        <v>37</v>
      </c>
      <c r="B59">
        <v>11000</v>
      </c>
      <c r="C59" t="s">
        <v>133</v>
      </c>
    </row>
    <row r="60" spans="1:6" x14ac:dyDescent="0.25">
      <c r="A60" t="s">
        <v>35</v>
      </c>
      <c r="B60">
        <v>0</v>
      </c>
    </row>
    <row r="61" spans="1:6" x14ac:dyDescent="0.25">
      <c r="A61" t="s">
        <v>36</v>
      </c>
      <c r="B61">
        <v>11000</v>
      </c>
      <c r="C61" t="s">
        <v>134</v>
      </c>
    </row>
    <row r="62" spans="1:6" x14ac:dyDescent="0.25">
      <c r="A62" t="s">
        <v>29</v>
      </c>
      <c r="B62">
        <f>SUM(B58:B61)</f>
        <v>42317.3</v>
      </c>
    </row>
    <row r="64" spans="1:6" x14ac:dyDescent="0.25">
      <c r="A64" s="5" t="s">
        <v>92</v>
      </c>
      <c r="C64" t="s">
        <v>78</v>
      </c>
    </row>
    <row r="65" spans="1:3" x14ac:dyDescent="0.25">
      <c r="A65" t="s">
        <v>106</v>
      </c>
      <c r="B65">
        <f>11614*4+5500</f>
        <v>51956</v>
      </c>
      <c r="C65" t="s">
        <v>138</v>
      </c>
    </row>
    <row r="66" spans="1:3" x14ac:dyDescent="0.25">
      <c r="A66" t="s">
        <v>107</v>
      </c>
      <c r="B66">
        <f>800*75</f>
        <v>60000</v>
      </c>
      <c r="C66" t="s">
        <v>108</v>
      </c>
    </row>
    <row r="67" spans="1:3" x14ac:dyDescent="0.25">
      <c r="A67" t="s">
        <v>33</v>
      </c>
      <c r="B67">
        <v>12000</v>
      </c>
      <c r="C67" t="s">
        <v>53</v>
      </c>
    </row>
    <row r="68" spans="1:3" x14ac:dyDescent="0.25">
      <c r="A68" t="s">
        <v>38</v>
      </c>
      <c r="B68">
        <v>0</v>
      </c>
      <c r="C68" t="s">
        <v>62</v>
      </c>
    </row>
    <row r="69" spans="1:3" x14ac:dyDescent="0.25">
      <c r="A69" t="s">
        <v>40</v>
      </c>
      <c r="B69">
        <v>0</v>
      </c>
      <c r="C69" t="s">
        <v>62</v>
      </c>
    </row>
    <row r="70" spans="1:3" x14ac:dyDescent="0.25">
      <c r="A70" t="s">
        <v>39</v>
      </c>
      <c r="B70">
        <v>0</v>
      </c>
      <c r="C70" t="s">
        <v>62</v>
      </c>
    </row>
    <row r="71" spans="1:3" x14ac:dyDescent="0.25">
      <c r="A71" t="s">
        <v>44</v>
      </c>
      <c r="B71">
        <v>0</v>
      </c>
      <c r="C71" t="s">
        <v>62</v>
      </c>
    </row>
    <row r="72" spans="1:3" x14ac:dyDescent="0.25">
      <c r="A72" t="s">
        <v>41</v>
      </c>
      <c r="B72">
        <v>15000</v>
      </c>
      <c r="C72" t="s">
        <v>54</v>
      </c>
    </row>
    <row r="73" spans="1:3" x14ac:dyDescent="0.25">
      <c r="A73" t="s">
        <v>42</v>
      </c>
      <c r="B73">
        <v>5000</v>
      </c>
      <c r="C73" t="s">
        <v>55</v>
      </c>
    </row>
    <row r="74" spans="1:3" x14ac:dyDescent="0.25">
      <c r="A74" t="s">
        <v>43</v>
      </c>
      <c r="B74">
        <f>30590*1.25</f>
        <v>38237.5</v>
      </c>
      <c r="C74" t="s">
        <v>139</v>
      </c>
    </row>
    <row r="75" spans="1:3" x14ac:dyDescent="0.25">
      <c r="A75" t="s">
        <v>45</v>
      </c>
      <c r="B75">
        <v>6000</v>
      </c>
    </row>
    <row r="76" spans="1:3" x14ac:dyDescent="0.25">
      <c r="A76" t="s">
        <v>46</v>
      </c>
      <c r="B76">
        <v>4000</v>
      </c>
    </row>
    <row r="77" spans="1:3" x14ac:dyDescent="0.25">
      <c r="A77" t="s">
        <v>13</v>
      </c>
      <c r="B77">
        <f>SUM(B65:B76)</f>
        <v>192193.5</v>
      </c>
    </row>
    <row r="79" spans="1:3" x14ac:dyDescent="0.25">
      <c r="A79" t="s">
        <v>32</v>
      </c>
      <c r="B79">
        <f>SUMIF(A2:A79,"totalt",B2:B79)</f>
        <v>1544022.19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FB343-5F2D-472E-91D2-60B0A8725A2E}">
  <sheetPr codeName="Sheet4"/>
  <dimension ref="A2:B9"/>
  <sheetViews>
    <sheetView topLeftCell="A6" workbookViewId="0">
      <selection activeCell="B9" sqref="B9"/>
    </sheetView>
  </sheetViews>
  <sheetFormatPr defaultColWidth="11.42578125" defaultRowHeight="15" x14ac:dyDescent="0.25"/>
  <cols>
    <col min="1" max="1" width="11.5703125" bestFit="1" customWidth="1"/>
  </cols>
  <sheetData>
    <row r="2" spans="1:2" x14ac:dyDescent="0.25">
      <c r="A2" t="s">
        <v>101</v>
      </c>
      <c r="B2">
        <v>42</v>
      </c>
    </row>
    <row r="3" spans="1:2" x14ac:dyDescent="0.25">
      <c r="A3" t="s">
        <v>142</v>
      </c>
      <c r="B3">
        <v>66</v>
      </c>
    </row>
    <row r="4" spans="1:2" x14ac:dyDescent="0.25">
      <c r="A4" t="s">
        <v>93</v>
      </c>
      <c r="B4">
        <v>11</v>
      </c>
    </row>
    <row r="5" spans="1:2" x14ac:dyDescent="0.25">
      <c r="A5" t="s">
        <v>143</v>
      </c>
      <c r="B5">
        <v>18</v>
      </c>
    </row>
    <row r="6" spans="1:2" x14ac:dyDescent="0.25">
      <c r="A6" t="s">
        <v>144</v>
      </c>
      <c r="B6">
        <f>15+11+33</f>
        <v>59</v>
      </c>
    </row>
    <row r="7" spans="1:2" x14ac:dyDescent="0.25">
      <c r="A7" t="s">
        <v>145</v>
      </c>
      <c r="B7">
        <v>34</v>
      </c>
    </row>
    <row r="8" spans="1:2" x14ac:dyDescent="0.25">
      <c r="A8" t="s">
        <v>146</v>
      </c>
      <c r="B8">
        <v>175</v>
      </c>
    </row>
    <row r="9" spans="1:2" x14ac:dyDescent="0.25">
      <c r="A9" t="s">
        <v>29</v>
      </c>
      <c r="B9">
        <f>SUM(B2:B8)</f>
        <v>405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D874-D425-4F81-809A-8D8BD3D011CA}">
  <sheetPr codeName="Sheet5"/>
  <dimension ref="A1:C62"/>
  <sheetViews>
    <sheetView topLeftCell="A26" workbookViewId="0">
      <selection activeCell="H38" sqref="H38"/>
    </sheetView>
  </sheetViews>
  <sheetFormatPr defaultColWidth="11.42578125" defaultRowHeight="15" x14ac:dyDescent="0.25"/>
  <sheetData>
    <row r="1" spans="1:3" x14ac:dyDescent="0.25">
      <c r="A1" t="s">
        <v>70</v>
      </c>
      <c r="C1">
        <v>16911</v>
      </c>
    </row>
    <row r="2" spans="1:3" x14ac:dyDescent="0.25">
      <c r="C2">
        <v>26060</v>
      </c>
    </row>
    <row r="3" spans="1:3" x14ac:dyDescent="0.25">
      <c r="C3">
        <v>10242</v>
      </c>
    </row>
    <row r="4" spans="1:3" x14ac:dyDescent="0.25">
      <c r="A4" t="s">
        <v>29</v>
      </c>
      <c r="C4" s="7">
        <f>SUM(C1:C3)</f>
        <v>53213</v>
      </c>
    </row>
    <row r="6" spans="1:3" x14ac:dyDescent="0.25">
      <c r="A6" t="s">
        <v>71</v>
      </c>
      <c r="C6">
        <v>22157</v>
      </c>
    </row>
    <row r="7" spans="1:3" x14ac:dyDescent="0.25">
      <c r="C7">
        <v>14729</v>
      </c>
    </row>
    <row r="8" spans="1:3" x14ac:dyDescent="0.25">
      <c r="C8">
        <v>62061</v>
      </c>
    </row>
    <row r="9" spans="1:3" x14ac:dyDescent="0.25">
      <c r="A9" t="s">
        <v>29</v>
      </c>
      <c r="C9" s="7">
        <f>SUM(C6:C8)</f>
        <v>98947</v>
      </c>
    </row>
    <row r="11" spans="1:3" x14ac:dyDescent="0.25">
      <c r="A11" t="s">
        <v>72</v>
      </c>
      <c r="C11">
        <v>4171</v>
      </c>
    </row>
    <row r="12" spans="1:3" x14ac:dyDescent="0.25">
      <c r="C12">
        <v>2766</v>
      </c>
    </row>
    <row r="13" spans="1:3" x14ac:dyDescent="0.25">
      <c r="C13">
        <v>8392.5</v>
      </c>
    </row>
    <row r="14" spans="1:3" x14ac:dyDescent="0.25">
      <c r="C14">
        <v>27552.73</v>
      </c>
    </row>
    <row r="15" spans="1:3" x14ac:dyDescent="0.25">
      <c r="A15" t="s">
        <v>29</v>
      </c>
      <c r="C15" s="7">
        <f>SUM(C11:C14)</f>
        <v>42882.229999999996</v>
      </c>
    </row>
    <row r="17" spans="1:3" x14ac:dyDescent="0.25">
      <c r="A17" t="s">
        <v>73</v>
      </c>
      <c r="C17">
        <v>4867</v>
      </c>
    </row>
    <row r="18" spans="1:3" x14ac:dyDescent="0.25">
      <c r="C18">
        <v>1025</v>
      </c>
    </row>
    <row r="19" spans="1:3" x14ac:dyDescent="0.25">
      <c r="C19">
        <v>11638.56</v>
      </c>
    </row>
    <row r="20" spans="1:3" x14ac:dyDescent="0.25">
      <c r="A20" t="s">
        <v>29</v>
      </c>
      <c r="C20" s="7">
        <f>SUM(C17:C19)</f>
        <v>17530.559999999998</v>
      </c>
    </row>
    <row r="22" spans="1:3" x14ac:dyDescent="0.25">
      <c r="A22" t="s">
        <v>90</v>
      </c>
      <c r="C22">
        <v>9132.9699999999993</v>
      </c>
    </row>
    <row r="23" spans="1:3" x14ac:dyDescent="0.25">
      <c r="C23">
        <v>621.70000000000005</v>
      </c>
    </row>
    <row r="24" spans="1:3" x14ac:dyDescent="0.25">
      <c r="C24">
        <v>3567.1</v>
      </c>
    </row>
    <row r="25" spans="1:3" x14ac:dyDescent="0.25">
      <c r="C25">
        <v>69.69</v>
      </c>
    </row>
    <row r="26" spans="1:3" x14ac:dyDescent="0.25">
      <c r="A26" t="s">
        <v>29</v>
      </c>
      <c r="C26" s="7">
        <f>SUM(C22:C25)</f>
        <v>13391.460000000001</v>
      </c>
    </row>
    <row r="28" spans="1:3" x14ac:dyDescent="0.25">
      <c r="A28" t="s">
        <v>101</v>
      </c>
      <c r="C28">
        <v>6806.25</v>
      </c>
    </row>
    <row r="29" spans="1:3" x14ac:dyDescent="0.25">
      <c r="C29">
        <v>14025</v>
      </c>
    </row>
    <row r="30" spans="1:3" x14ac:dyDescent="0.25">
      <c r="A30" t="s">
        <v>102</v>
      </c>
      <c r="C30">
        <f>8*510*1.25</f>
        <v>5100</v>
      </c>
    </row>
    <row r="31" spans="1:3" x14ac:dyDescent="0.25">
      <c r="A31" t="s">
        <v>29</v>
      </c>
      <c r="C31" s="7">
        <f>SUM(C28:C30)</f>
        <v>25931.25</v>
      </c>
    </row>
    <row r="33" spans="1:3" x14ac:dyDescent="0.25">
      <c r="A33" t="s">
        <v>74</v>
      </c>
      <c r="C33">
        <v>24358</v>
      </c>
    </row>
    <row r="34" spans="1:3" x14ac:dyDescent="0.25">
      <c r="C34">
        <v>1560</v>
      </c>
    </row>
    <row r="35" spans="1:3" x14ac:dyDescent="0.25">
      <c r="C35">
        <v>789</v>
      </c>
    </row>
    <row r="36" spans="1:3" x14ac:dyDescent="0.25">
      <c r="C36">
        <v>1912</v>
      </c>
    </row>
    <row r="37" spans="1:3" x14ac:dyDescent="0.25">
      <c r="A37" t="s">
        <v>29</v>
      </c>
      <c r="C37">
        <f>SUM(C33:C36)</f>
        <v>28619</v>
      </c>
    </row>
    <row r="39" spans="1:3" x14ac:dyDescent="0.25">
      <c r="A39" t="s">
        <v>75</v>
      </c>
      <c r="C39">
        <v>10378.700000000001</v>
      </c>
    </row>
    <row r="40" spans="1:3" x14ac:dyDescent="0.25">
      <c r="C40">
        <v>1971</v>
      </c>
    </row>
    <row r="41" spans="1:3" x14ac:dyDescent="0.25">
      <c r="C41">
        <v>3533</v>
      </c>
    </row>
    <row r="42" spans="1:3" x14ac:dyDescent="0.25">
      <c r="A42" t="s">
        <v>29</v>
      </c>
      <c r="C42" s="7">
        <f>SUM(C39:C41)</f>
        <v>15882.7</v>
      </c>
    </row>
    <row r="44" spans="1:3" x14ac:dyDescent="0.25">
      <c r="A44" t="s">
        <v>77</v>
      </c>
      <c r="C44">
        <v>12197.89</v>
      </c>
    </row>
    <row r="45" spans="1:3" x14ac:dyDescent="0.25">
      <c r="C45">
        <v>17287.580000000002</v>
      </c>
    </row>
    <row r="46" spans="1:3" x14ac:dyDescent="0.25">
      <c r="C46">
        <v>1574.5</v>
      </c>
    </row>
    <row r="47" spans="1:3" x14ac:dyDescent="0.25">
      <c r="C47">
        <v>4714.28</v>
      </c>
    </row>
    <row r="48" spans="1:3" x14ac:dyDescent="0.25">
      <c r="C48">
        <v>5299.81</v>
      </c>
    </row>
    <row r="49" spans="1:3" x14ac:dyDescent="0.25">
      <c r="C49">
        <v>3655.65</v>
      </c>
    </row>
    <row r="50" spans="1:3" x14ac:dyDescent="0.25">
      <c r="A50" t="s">
        <v>29</v>
      </c>
      <c r="C50">
        <f>SUM(C44:C49)</f>
        <v>44729.71</v>
      </c>
    </row>
    <row r="53" spans="1:3" x14ac:dyDescent="0.25">
      <c r="A53" t="s">
        <v>79</v>
      </c>
      <c r="C53">
        <v>4000</v>
      </c>
    </row>
    <row r="62" spans="1:3" x14ac:dyDescent="0.25">
      <c r="A62" t="s">
        <v>13</v>
      </c>
      <c r="C62">
        <f>SUM(C1:C41)</f>
        <v>576911.69999999995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DD94-AE47-4051-AD12-3FDA19D5126D}">
  <sheetPr codeName="Sheet6"/>
  <dimension ref="A1:G12"/>
  <sheetViews>
    <sheetView workbookViewId="0">
      <selection activeCell="I14" sqref="I14"/>
    </sheetView>
  </sheetViews>
  <sheetFormatPr defaultColWidth="11.42578125" defaultRowHeight="15" x14ac:dyDescent="0.25"/>
  <sheetData>
    <row r="1" spans="1:7" x14ac:dyDescent="0.25">
      <c r="A1" t="s">
        <v>85</v>
      </c>
      <c r="B1">
        <v>8</v>
      </c>
    </row>
    <row r="2" spans="1:7" x14ac:dyDescent="0.25">
      <c r="A2" t="s">
        <v>86</v>
      </c>
      <c r="B2">
        <v>299</v>
      </c>
    </row>
    <row r="3" spans="1:7" x14ac:dyDescent="0.25">
      <c r="A3" t="s">
        <v>63</v>
      </c>
      <c r="B3">
        <f>B2/B1</f>
        <v>37.375</v>
      </c>
    </row>
    <row r="5" spans="1:7" x14ac:dyDescent="0.25">
      <c r="B5" t="s">
        <v>87</v>
      </c>
      <c r="C5" t="s">
        <v>88</v>
      </c>
      <c r="D5" t="s">
        <v>89</v>
      </c>
      <c r="F5" t="s">
        <v>147</v>
      </c>
    </row>
    <row r="6" spans="1:7" x14ac:dyDescent="0.25">
      <c r="A6" t="s">
        <v>64</v>
      </c>
      <c r="B6">
        <v>28.36</v>
      </c>
      <c r="C6">
        <f>2*B6</f>
        <v>56.72</v>
      </c>
      <c r="D6" s="1">
        <f>C6*$B$3</f>
        <v>2119.91</v>
      </c>
      <c r="F6" s="4">
        <f>B6/3</f>
        <v>9.4533333333333331</v>
      </c>
      <c r="G6">
        <f>3150/350</f>
        <v>9</v>
      </c>
    </row>
    <row r="7" spans="1:7" x14ac:dyDescent="0.25">
      <c r="A7" t="s">
        <v>65</v>
      </c>
      <c r="B7">
        <v>40.950000000000003</v>
      </c>
      <c r="C7">
        <f t="shared" ref="C7:C11" si="0">2*B7</f>
        <v>81.900000000000006</v>
      </c>
      <c r="D7" s="1">
        <f t="shared" ref="D7:D11" si="1">C7*$B$3</f>
        <v>3061.0125000000003</v>
      </c>
      <c r="F7" s="4">
        <f t="shared" ref="F7:F11" si="2">B7/3</f>
        <v>13.65</v>
      </c>
    </row>
    <row r="8" spans="1:7" x14ac:dyDescent="0.25">
      <c r="A8" t="s">
        <v>66</v>
      </c>
      <c r="B8">
        <v>37.39</v>
      </c>
      <c r="C8">
        <f t="shared" si="0"/>
        <v>74.78</v>
      </c>
      <c r="D8" s="1">
        <f t="shared" si="1"/>
        <v>2794.9025000000001</v>
      </c>
      <c r="F8" s="4">
        <f t="shared" si="2"/>
        <v>12.463333333333333</v>
      </c>
    </row>
    <row r="9" spans="1:7" x14ac:dyDescent="0.25">
      <c r="A9" t="s">
        <v>67</v>
      </c>
      <c r="B9">
        <v>47.7</v>
      </c>
      <c r="C9">
        <f t="shared" si="0"/>
        <v>95.4</v>
      </c>
      <c r="D9" s="1">
        <f t="shared" si="1"/>
        <v>3565.5750000000003</v>
      </c>
      <c r="F9" s="4">
        <f t="shared" si="2"/>
        <v>15.9</v>
      </c>
    </row>
    <row r="10" spans="1:7" x14ac:dyDescent="0.25">
      <c r="A10" t="s">
        <v>68</v>
      </c>
      <c r="B10" s="6">
        <v>7.9</v>
      </c>
      <c r="C10">
        <f t="shared" si="0"/>
        <v>15.8</v>
      </c>
      <c r="D10" s="1">
        <f t="shared" si="1"/>
        <v>590.52499999999998</v>
      </c>
      <c r="F10" s="4">
        <f t="shared" si="2"/>
        <v>2.6333333333333333</v>
      </c>
    </row>
    <row r="11" spans="1:7" x14ac:dyDescent="0.25">
      <c r="A11" t="s">
        <v>148</v>
      </c>
      <c r="B11">
        <v>35</v>
      </c>
      <c r="C11">
        <f t="shared" si="0"/>
        <v>70</v>
      </c>
      <c r="D11" s="1">
        <f t="shared" si="1"/>
        <v>2616.25</v>
      </c>
      <c r="F11" s="4">
        <f t="shared" si="2"/>
        <v>11.666666666666666</v>
      </c>
    </row>
    <row r="12" spans="1:7" x14ac:dyDescent="0.25">
      <c r="A12" t="s">
        <v>29</v>
      </c>
      <c r="B12">
        <f>SUM(B6:B11)</f>
        <v>197.3</v>
      </c>
      <c r="C12">
        <f>2*B12</f>
        <v>394.6</v>
      </c>
      <c r="D12" s="1">
        <f>C12*$B$3</f>
        <v>14748.175000000001</v>
      </c>
      <c r="F12" s="4">
        <f>SUM(F6:F11)</f>
        <v>65.766666666666666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Verdivurdering</vt:lpstr>
      <vt:lpstr>Summary</vt:lpstr>
      <vt:lpstr>Details</vt:lpstr>
      <vt:lpstr>Timer</vt:lpstr>
      <vt:lpstr>Nettbank</vt:lpstr>
      <vt:lpstr>Arealer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Skåtun</dc:creator>
  <cp:lastModifiedBy>Kim Skåtun</cp:lastModifiedBy>
  <dcterms:created xsi:type="dcterms:W3CDTF">2022-11-26T09:01:12Z</dcterms:created>
  <dcterms:modified xsi:type="dcterms:W3CDTF">2023-03-16T14:02:01Z</dcterms:modified>
</cp:coreProperties>
</file>